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2\"/>
    </mc:Choice>
  </mc:AlternateContent>
  <xr:revisionPtr revIDLastSave="0" documentId="13_ncr:1_{BD3FA8F9-BCFC-4766-A1B5-35D08BCBE0F0}" xr6:coauthVersionLast="47" xr6:coauthVersionMax="47" xr10:uidLastSave="{00000000-0000-0000-0000-000000000000}"/>
  <bookViews>
    <workbookView xWindow="-108" yWindow="-108" windowWidth="23256" windowHeight="12456" tabRatio="621" firstSheet="21" activeTab="22" xr2:uid="{00000000-000D-0000-FFFF-FFFF00000000}"/>
  </bookViews>
  <sheets>
    <sheet name="AutoIncrement" sheetId="5" r:id="rId1"/>
    <sheet name="TC1" sheetId="71" r:id="rId2"/>
    <sheet name="TC2" sheetId="72" r:id="rId3"/>
    <sheet name="TC3" sheetId="1" r:id="rId4"/>
    <sheet name="TC3-Req to Parts Master" sheetId="73" r:id="rId5"/>
    <sheet name="TC3.1" sheetId="74" r:id="rId6"/>
    <sheet name="TC4-Contract Parts Info" sheetId="4" r:id="rId7"/>
    <sheet name="TC4" sheetId="3" r:id="rId8"/>
    <sheet name="TC5" sheetId="6" r:id="rId9"/>
    <sheet name="TC6" sheetId="7" r:id="rId10"/>
    <sheet name="TC6.1" sheetId="75" r:id="rId11"/>
    <sheet name="TC6.2" sheetId="9" r:id="rId12"/>
    <sheet name="TC6.2_ETAnWeek" sheetId="10" r:id="rId13"/>
    <sheet name="TC7-Contract Parts Info" sheetId="76" r:id="rId14"/>
    <sheet name="TC7" sheetId="11" r:id="rId15"/>
    <sheet name="TC8" sheetId="53" r:id="rId16"/>
    <sheet name="TC9" sheetId="12" r:id="rId17"/>
    <sheet name="TC10" sheetId="13" r:id="rId18"/>
    <sheet name="TC11-Period Generator" sheetId="77" r:id="rId19"/>
    <sheet name="TC11-Order Regular" sheetId="15" r:id="rId20"/>
    <sheet name="TC11-Inbound Dates Regular" sheetId="16" r:id="rId21"/>
    <sheet name="TC11-Order Spot" sheetId="17" r:id="rId22"/>
    <sheet name="TC11-Inbound Dates Spot" sheetId="18" r:id="rId23"/>
    <sheet name="TC11-Customer CO" sheetId="25" r:id="rId24"/>
    <sheet name="TC12" sheetId="54" r:id="rId25"/>
    <sheet name="TC14-BU SO" sheetId="19" r:id="rId26"/>
    <sheet name="TC15-BU PO" sheetId="20" r:id="rId27"/>
    <sheet name="TC16-Supplier SO" sheetId="21" r:id="rId28"/>
    <sheet name="TC17-Supplier SO -Regular" sheetId="23" r:id="rId29"/>
    <sheet name="TC17-Supplier SO -Spot" sheetId="24" r:id="rId30"/>
    <sheet name="TC18-Forecast Change" sheetId="26" r:id="rId31"/>
    <sheet name="TC20-BU Change Request" sheetId="28" r:id="rId32"/>
    <sheet name="TC19-Customer Change Request" sheetId="27" r:id="rId33"/>
    <sheet name="TC21-Supplier Approve Change " sheetId="29" r:id="rId34"/>
    <sheet name="TC22-Customer Forecast CO " sheetId="30" r:id="rId35"/>
    <sheet name="TC23-BU Forecast SO" sheetId="31" r:id="rId36"/>
    <sheet name="TC24-BU Forecast PO" sheetId="32" r:id="rId37"/>
    <sheet name="TC25-Customer Order Change" sheetId="33" r:id="rId38"/>
    <sheet name="TC25-Change Inbound Date" sheetId="34" r:id="rId39"/>
    <sheet name="TC25-Change Request No" sheetId="40" r:id="rId40"/>
    <sheet name="TC26-Customer AutoGen Change" sheetId="35" r:id="rId41"/>
    <sheet name="TC27-BU AutoGen Change" sheetId="38" r:id="rId42"/>
    <sheet name="TC28-Supplier Approve Change" sheetId="39" r:id="rId43"/>
    <sheet name="TC29-Customer Check CO" sheetId="43" r:id="rId44"/>
    <sheet name="TC30-BU Check SO" sheetId="44" r:id="rId45"/>
    <sheet name="TC31-BU Check PO" sheetId="45" r:id="rId46"/>
    <sheet name="TC32-Supplier Check SO" sheetId="46" r:id="rId47"/>
    <sheet name="TC33-New Outbound Date" sheetId="55" r:id="rId48"/>
    <sheet name="TC33-New Firm Qty" sheetId="70" r:id="rId49"/>
    <sheet name="TC33-Change Request No" sheetId="56" r:id="rId50"/>
    <sheet name="TC34" sheetId="67" r:id="rId51"/>
    <sheet name="TC35" sheetId="68" r:id="rId52"/>
    <sheet name="TC36" sheetId="57" r:id="rId53"/>
    <sheet name="TC44-Supplier Outbound -Regular" sheetId="47" r:id="rId54"/>
    <sheet name="TC44-Supplier Outbound -Spot" sheetId="49" r:id="rId55"/>
    <sheet name="TC44-Outbound No" sheetId="50" r:id="rId56"/>
    <sheet name="TC45-Supplier SellerGI Invoice" sheetId="52" r:id="rId57"/>
    <sheet name="TC50.1-Customer Cargo -Regular" sheetId="59" r:id="rId58"/>
    <sheet name="TC50.2-Customer Cargo -Spot" sheetId="60" r:id="rId59"/>
    <sheet name="TC53-Shipping Detail" sheetId="62" r:id="rId60"/>
    <sheet name="TC61-BU SellerGI Invoice" sheetId="64" r:id="rId61"/>
    <sheet name="TC68-DC Inbound" sheetId="65" r:id="rId62"/>
  </sheets>
  <externalReferences>
    <externalReference r:id="rId63"/>
  </externalReferences>
  <definedNames>
    <definedName name="activeFlagListArr" localSheetId="4">#REF!</definedName>
    <definedName name="activeFlagListArr">[1]activeFlagListArr!$A$1:$A$2</definedName>
    <definedName name="activeFlagStrArr">#REF!</definedName>
    <definedName name="CURRENCY_CODE">#REF!</definedName>
    <definedName name="findAllUomArr" localSheetId="4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name="partsTypeArr" localSheetId="4">#REF!</definedName>
    <definedName name="partsTypeArr">[1]partsTypeArr!$A$1:$A$4</definedName>
    <definedName name="REPACKING_TYPE">#REF!</definedName>
    <definedName name="rolledPartsFlagArr" localSheetId="4">#REF!</definedName>
    <definedName name="rolledPartsFlagArr">[1]rolledPartsFlagArr!$A$1:$A$2</definedName>
    <definedName name="rolledPartsUomArr" localSheetId="4">#REF!</definedName>
    <definedName name="rolledPartsUomArr">[1]rolledPartsUomArr!$A$1:$A$41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8" l="1"/>
  <c r="A2" i="40"/>
  <c r="B3" i="30"/>
  <c r="B4" i="30"/>
  <c r="B5" i="30"/>
  <c r="B6" i="30"/>
  <c r="B7" i="30"/>
  <c r="B2" i="30"/>
  <c r="D2" i="26"/>
  <c r="A2" i="12"/>
  <c r="A2" i="34"/>
  <c r="B2" i="64"/>
  <c r="B5" i="50"/>
  <c r="B4" i="50"/>
  <c r="B3" i="50"/>
  <c r="B2" i="50"/>
  <c r="C10" i="49"/>
  <c r="C9" i="49"/>
  <c r="C8" i="49"/>
  <c r="C7" i="49"/>
  <c r="C6" i="49"/>
  <c r="C5" i="49"/>
  <c r="C4" i="49"/>
  <c r="C3" i="49"/>
  <c r="A8" i="47"/>
  <c r="A7" i="47"/>
  <c r="A6" i="47"/>
  <c r="A5" i="47"/>
  <c r="A4" i="47"/>
  <c r="A3" i="47"/>
  <c r="D2" i="55"/>
  <c r="C2" i="55"/>
  <c r="B2" i="55"/>
  <c r="A2" i="55"/>
  <c r="C15" i="65" l="1"/>
  <c r="C14" i="65"/>
  <c r="C13" i="65"/>
  <c r="C12" i="65"/>
  <c r="C11" i="65"/>
  <c r="C10" i="65"/>
  <c r="C9" i="65"/>
  <c r="C8" i="65"/>
  <c r="C7" i="65"/>
  <c r="C6" i="65"/>
  <c r="C5" i="65"/>
  <c r="C4" i="65"/>
  <c r="C3" i="65"/>
  <c r="B15" i="65"/>
  <c r="B14" i="65"/>
  <c r="B13" i="65"/>
  <c r="B12" i="65"/>
  <c r="B11" i="65"/>
  <c r="B10" i="65"/>
  <c r="B9" i="65"/>
  <c r="B8" i="65"/>
  <c r="B7" i="65"/>
  <c r="B6" i="65"/>
  <c r="B5" i="65"/>
  <c r="B4" i="65"/>
  <c r="B3" i="65"/>
  <c r="C2" i="65"/>
  <c r="B2" i="65"/>
  <c r="B5" i="64"/>
  <c r="B4" i="64"/>
  <c r="B3" i="64"/>
  <c r="B9" i="62"/>
  <c r="B8" i="62"/>
  <c r="B7" i="62"/>
  <c r="B6" i="62"/>
  <c r="B5" i="62"/>
  <c r="B4" i="62"/>
  <c r="B3" i="62"/>
  <c r="B2" i="52"/>
  <c r="F10" i="49"/>
  <c r="A5" i="60" s="1"/>
  <c r="F9" i="49"/>
  <c r="F8" i="49"/>
  <c r="A4" i="60" s="1"/>
  <c r="F7" i="49"/>
  <c r="A2" i="60" s="1"/>
  <c r="C8" i="47"/>
  <c r="C7" i="47"/>
  <c r="C6" i="47"/>
  <c r="C5" i="47"/>
  <c r="C4" i="47"/>
  <c r="C3" i="47"/>
  <c r="A2" i="59" s="1"/>
  <c r="A3" i="53"/>
  <c r="A4" i="53"/>
  <c r="A5" i="53"/>
  <c r="A6" i="53"/>
  <c r="A7" i="53"/>
  <c r="A2" i="53"/>
  <c r="B5" i="52"/>
  <c r="B4" i="52"/>
  <c r="B3" i="52"/>
  <c r="AJ9" i="49"/>
  <c r="AJ10" i="49" s="1"/>
  <c r="AJ8" i="49"/>
  <c r="AJ7" i="49"/>
  <c r="AJ6" i="49"/>
  <c r="AJ5" i="49"/>
  <c r="AJ3" i="49"/>
  <c r="AJ4" i="49" s="1"/>
  <c r="AI10" i="49"/>
  <c r="AI3" i="49"/>
  <c r="AI4" i="49" s="1"/>
  <c r="AI6" i="49"/>
  <c r="AI7" i="49"/>
  <c r="AI8" i="49"/>
  <c r="AI9" i="49"/>
  <c r="AI5" i="49"/>
  <c r="N3" i="49"/>
  <c r="N4" i="49"/>
  <c r="N5" i="49"/>
  <c r="N6" i="49"/>
  <c r="N7" i="49"/>
  <c r="N8" i="49"/>
  <c r="N9" i="49"/>
  <c r="N10" i="49"/>
  <c r="AB10" i="49"/>
  <c r="AB9" i="49"/>
  <c r="AB6" i="49"/>
  <c r="AB5" i="49"/>
  <c r="AB4" i="49"/>
  <c r="AB3" i="49"/>
  <c r="W10" i="49"/>
  <c r="W9" i="49"/>
  <c r="W8" i="49"/>
  <c r="W7" i="49"/>
  <c r="W6" i="49"/>
  <c r="W4" i="49"/>
  <c r="W5" i="49"/>
  <c r="W3" i="49"/>
  <c r="S8" i="47"/>
  <c r="S7" i="47"/>
  <c r="S4" i="47"/>
  <c r="S3" i="47"/>
  <c r="N8" i="47"/>
  <c r="N7" i="47"/>
  <c r="N6" i="47"/>
  <c r="N5" i="47"/>
  <c r="N4" i="47"/>
  <c r="O10" i="49"/>
  <c r="O9" i="49"/>
  <c r="D10" i="49"/>
  <c r="D9" i="49"/>
  <c r="D8" i="49"/>
  <c r="D7" i="49"/>
  <c r="D6" i="49"/>
  <c r="D5" i="49"/>
  <c r="D4" i="49"/>
  <c r="O8" i="49"/>
  <c r="O7" i="49"/>
  <c r="O6" i="49"/>
  <c r="O5" i="49"/>
  <c r="O4" i="49"/>
  <c r="O3" i="49"/>
  <c r="D3" i="49"/>
  <c r="B8" i="47"/>
  <c r="B7" i="47"/>
  <c r="B6" i="47"/>
  <c r="B5" i="47"/>
  <c r="B4" i="47"/>
  <c r="B3" i="47"/>
  <c r="E3" i="47"/>
  <c r="F8" i="47"/>
  <c r="F7" i="47"/>
  <c r="F6" i="47"/>
  <c r="F5" i="47"/>
  <c r="F4" i="47"/>
  <c r="F3" i="47"/>
  <c r="N3" i="47"/>
  <c r="E8" i="47"/>
  <c r="E7" i="47"/>
  <c r="E6" i="47"/>
  <c r="E5" i="47"/>
  <c r="E4" i="47"/>
  <c r="A3" i="62" l="1"/>
  <c r="A2" i="62"/>
  <c r="A8" i="62"/>
  <c r="A9" i="62"/>
  <c r="A4" i="62"/>
  <c r="A5" i="62"/>
  <c r="A10" i="62"/>
  <c r="A5" i="59"/>
  <c r="A4" i="59"/>
  <c r="A3" i="59"/>
  <c r="C2" i="34"/>
  <c r="B2" i="34"/>
  <c r="C2" i="5" l="1"/>
  <c r="B2" i="25"/>
  <c r="C2" i="25"/>
  <c r="B2" i="19"/>
  <c r="D2" i="30" s="1"/>
  <c r="C2" i="19"/>
  <c r="A2" i="56" l="1"/>
  <c r="A2" i="13"/>
  <c r="D6" i="45"/>
  <c r="D7" i="45"/>
  <c r="D4" i="45"/>
  <c r="D5" i="45"/>
  <c r="D2" i="45"/>
  <c r="D3" i="45"/>
  <c r="D6" i="44"/>
  <c r="D7" i="44"/>
  <c r="D4" i="44"/>
  <c r="D5" i="44"/>
  <c r="D2" i="44"/>
  <c r="D3" i="44"/>
  <c r="D6" i="43"/>
  <c r="D7" i="43"/>
  <c r="D4" i="43"/>
  <c r="D5" i="43"/>
  <c r="D2" i="43"/>
  <c r="D3" i="43"/>
  <c r="D6" i="32"/>
  <c r="D7" i="32"/>
  <c r="D4" i="32"/>
  <c r="D5" i="32"/>
  <c r="D2" i="32"/>
  <c r="D3" i="32"/>
  <c r="D6" i="31"/>
  <c r="D7" i="31"/>
  <c r="D4" i="31"/>
  <c r="D5" i="31"/>
  <c r="D2" i="31"/>
  <c r="D3" i="31"/>
  <c r="D6" i="30"/>
  <c r="D7" i="30"/>
  <c r="D4" i="30"/>
  <c r="D5" i="30"/>
  <c r="D3" i="30"/>
  <c r="C2" i="16"/>
  <c r="B2" i="16"/>
  <c r="E2" i="7" l="1"/>
  <c r="H2" i="3"/>
  <c r="B2" i="1" s="1"/>
  <c r="O2" i="9"/>
  <c r="H2" i="11" l="1"/>
  <c r="C2" i="11" s="1"/>
  <c r="C2" i="21"/>
  <c r="AG10" i="49" s="1"/>
  <c r="B2" i="21"/>
  <c r="A2" i="23" s="1"/>
  <c r="C2" i="20"/>
  <c r="B2" i="20"/>
  <c r="I7" i="23" s="1"/>
  <c r="N2" i="3"/>
  <c r="S2" i="11" s="1"/>
  <c r="I2" i="3"/>
  <c r="O2" i="10"/>
  <c r="X2" i="9" s="1"/>
  <c r="D7" i="76" l="1"/>
  <c r="D6" i="76"/>
  <c r="D5" i="76"/>
  <c r="D4" i="76"/>
  <c r="D3" i="76"/>
  <c r="D2" i="76"/>
  <c r="D2" i="13"/>
  <c r="D7" i="53"/>
  <c r="D6" i="53"/>
  <c r="D5" i="53"/>
  <c r="D4" i="53"/>
  <c r="D3" i="53"/>
  <c r="D2" i="53"/>
  <c r="AG8" i="49"/>
  <c r="AG9" i="49"/>
  <c r="AG6" i="49"/>
  <c r="AG7" i="49"/>
  <c r="AG4" i="49"/>
  <c r="AG5" i="49"/>
  <c r="AG3" i="49"/>
  <c r="D6" i="46"/>
  <c r="D7" i="46"/>
  <c r="D4" i="46"/>
  <c r="D5" i="46"/>
  <c r="D2" i="46"/>
  <c r="D3" i="46"/>
  <c r="I2" i="23"/>
  <c r="I2" i="11"/>
  <c r="I6" i="24"/>
  <c r="I7" i="24"/>
  <c r="I4" i="24"/>
  <c r="I5" i="24"/>
  <c r="I2" i="24"/>
  <c r="I3" i="24"/>
  <c r="I6" i="23"/>
  <c r="I4" i="23"/>
  <c r="I5" i="23"/>
  <c r="I3" i="23"/>
  <c r="A2" i="24"/>
  <c r="E7" i="7"/>
  <c r="E6" i="7"/>
  <c r="E5" i="7"/>
  <c r="E4" i="7"/>
  <c r="E3" i="7"/>
  <c r="C2" i="3"/>
  <c r="E7" i="4" l="1"/>
  <c r="E6" i="4"/>
  <c r="E5" i="4"/>
  <c r="E4" i="4"/>
  <c r="E2" i="4"/>
  <c r="E3" i="4"/>
  <c r="B2" i="6"/>
  <c r="D2" i="7"/>
  <c r="B2" i="54"/>
  <c r="D2" i="12"/>
  <c r="D5" i="7"/>
  <c r="D7" i="7"/>
  <c r="D6" i="7"/>
  <c r="D3" i="7"/>
  <c r="D4" i="7"/>
</calcChain>
</file>

<file path=xl/sharedStrings.xml><?xml version="1.0" encoding="utf-8"?>
<sst xmlns="http://schemas.openxmlformats.org/spreadsheetml/2006/main" count="1959" uniqueCount="495">
  <si>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</si>
  <si>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</si>
  <si>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</si>
  <si>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</si>
  <si>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</si>
  <si>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</si>
  <si>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</si>
  <si>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</si>
  <si>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</si>
  <si>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</si>
  <si>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</si>
  <si>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</si>
  <si>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</si>
  <si>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</si>
  <si>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</si>
  <si>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</si>
  <si>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</si>
  <si>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</si>
  <si>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</si>
  <si>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</si>
  <si>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</si>
  <si>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TT60BL(T/T REMITTANCE AT 60 DAYS FROM THE END OF B/L MONTH)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</si>
  <si>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</si>
  <si>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</si>
  <si>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</si>
  <si>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</si>
  <si>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</si>
  <si>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</si>
  <si>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</si>
  <si>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</si>
  <si>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</si>
  <si>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</si>
  <si>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</si>
  <si>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</si>
  <si>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TC052_UOF_IterationNo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</si>
  <si>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</si>
  <si>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</si>
  <si>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</si>
  <si>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</si>
  <si>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</si>
  <si>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</si>
  <si>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</si>
  <si>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</si>
  <si>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</si>
  <si>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</si>
  <si>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</si>
  <si>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</si>
  <si>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</si>
  <si>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</si>
  <si>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</si>
  <si>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</si>
  <si>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</si>
  <si>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</si>
  <si>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</si>
  <si>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</si>
  <si>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</si>
  <si>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</si>
  <si>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</si>
  <si>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</si>
  <si>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</si>
  <si>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</si>
  <si>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</si>
  <si>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</si>
  <si>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</si>
  <si>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</si>
  <si>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</si>
  <si>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</si>
  <si>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</si>
  <si>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</si>
  <si>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</si>
  <si>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</si>
  <si>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</si>
  <si>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</si>
  <si>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</si>
  <si>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</si>
  <si>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</si>
  <si>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</si>
  <si>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</si>
  <si>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</si>
  <si>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</si>
  <si>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</si>
  <si>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</si>
  <si>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</si>
  <si>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</si>
  <si>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</si>
  <si>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</si>
  <si>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</si>
  <si>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</si>
  <si>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</si>
  <si>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</si>
  <si>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</si>
  <si>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</si>
  <si>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</si>
  <si>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</si>
  <si>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</si>
  <si>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</si>
  <si>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</si>
  <si>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</si>
  <si>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</si>
  <si>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</si>
  <si>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</si>
  <si>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</si>
  <si>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</si>
  <si>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</si>
  <si>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</si>
  <si>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</si>
  <si>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</si>
  <si>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</si>
  <si>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</si>
  <si>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</si>
  <si>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SGBAFCO-VNAKIRA(SGBAFCO-VNAKIRA)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</si>
  <si>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</si>
  <si>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</si>
  <si>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</si>
  <si>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</si>
  <si>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</si>
  <si>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</si>
  <si>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</si>
  <si>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</si>
  <si>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</si>
  <si>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</si>
  <si>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</si>
  <si>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Please set ShortCode and iteration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</si>
  <si>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</si>
  <si>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</si>
  <si>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</si>
  <si>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</si>
  <si>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</si>
  <si>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</si>
  <si>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</si>
  <si>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</si>
  <si>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</si>
  <si>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SO id</t>
  </si>
  <si>
    <t>SO status</t>
  </si>
  <si>
    <t>Delay status</t>
  </si>
  <si>
    <t>inbound plan date</t>
  </si>
  <si>
    <t>estimate inbound plan date</t>
  </si>
  <si>
    <t>Part no</t>
  </si>
  <si>
    <t>Customer unit part no</t>
  </si>
  <si>
    <t>Back no</t>
  </si>
  <si>
    <t>Purchase order no</t>
  </si>
  <si>
    <t>Customer code</t>
  </si>
  <si>
    <t>SPQ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</si>
  <si>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</si>
  <si>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</si>
  <si>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</si>
  <si>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</si>
  <si>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</si>
  <si>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</si>
  <si>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</si>
  <si>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</si>
  <si>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</si>
  <si>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</si>
  <si>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</si>
  <si>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</si>
  <si>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</si>
  <si>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</si>
  <si>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</si>
  <si>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</si>
  <si>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</si>
  <si>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</si>
  <si>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</si>
  <si>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</si>
  <si>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7" type="noConversion"/>
  </si>
  <si>
    <t>Received</t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</si>
  <si>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</si>
  <si>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</si>
  <si>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</si>
  <si>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</si>
  <si>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</si>
  <si>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</si>
  <si>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</si>
  <si>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</si>
  <si>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</si>
  <si>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</si>
  <si>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</si>
  <si>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</si>
  <si>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</si>
  <si>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</si>
  <si>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</si>
  <si>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</si>
  <si>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</si>
  <si>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</si>
  <si>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</si>
  <si>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</si>
  <si>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</si>
  <si>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</si>
  <si>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</si>
  <si>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</si>
  <si>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</si>
  <si>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</si>
  <si>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</si>
  <si>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</si>
  <si>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</si>
  <si>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</si>
  <si>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</si>
  <si>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</si>
  <si>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</si>
  <si>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</si>
  <si>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</si>
  <si>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</si>
  <si>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</si>
  <si>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</si>
  <si>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</si>
  <si>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</si>
  <si>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</si>
  <si>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</si>
  <si>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</si>
  <si>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</si>
  <si>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</si>
  <si>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</si>
  <si>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</si>
  <si>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</si>
  <si>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</si>
  <si>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</si>
  <si>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</si>
  <si>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</si>
  <si>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</si>
  <si>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</si>
  <si>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</si>
  <si>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</si>
  <si>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</si>
  <si>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</si>
  <si>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</si>
  <si>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</si>
  <si>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</si>
  <si>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</si>
  <si>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</si>
  <si>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</si>
  <si>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</si>
  <si>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</si>
  <si>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</si>
  <si>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</si>
  <si>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</si>
  <si>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</si>
  <si>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</si>
  <si>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</si>
  <si>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</si>
  <si>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</si>
  <si>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7" type="noConversion"/>
  </si>
  <si>
    <t>C-230506001-001</t>
    <phoneticPr fontId="7" type="noConversion"/>
  </si>
  <si>
    <t>CARTONBOX1</t>
    <phoneticPr fontId="7" type="noConversion"/>
  </si>
  <si>
    <t>CARTONBOX</t>
    <phoneticPr fontId="7" type="noConversion"/>
  </si>
  <si>
    <t>DRUM</t>
    <phoneticPr fontId="7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</si>
  <si>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</si>
  <si>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</si>
  <si>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</si>
  <si>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</si>
  <si>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</si>
  <si>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</si>
  <si>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</si>
  <si>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7" type="noConversion"/>
  </si>
  <si>
    <t>20FT</t>
    <phoneticPr fontId="7" type="noConversion"/>
  </si>
  <si>
    <t>Commodity Type-1</t>
    <phoneticPr fontId="7" type="noConversion"/>
  </si>
  <si>
    <t>S-230506001-001</t>
    <phoneticPr fontId="7" type="noConversion"/>
  </si>
  <si>
    <t>40FT</t>
    <phoneticPr fontId="7" type="noConversion"/>
  </si>
  <si>
    <t>Commodity Type-2</t>
    <phoneticPr fontId="7" type="noConversion"/>
  </si>
  <si>
    <t>S-230506001-002</t>
    <phoneticPr fontId="7" type="noConversion"/>
  </si>
  <si>
    <t>Inner Package Type-3</t>
    <phoneticPr fontId="7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</si>
  <si>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</si>
  <si>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</si>
  <si>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</si>
  <si>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</si>
  <si>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</si>
  <si>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</si>
  <si>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</si>
  <si>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</si>
  <si>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</si>
  <si>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</si>
  <si>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</si>
  <si>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</si>
  <si>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</si>
  <si>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</si>
  <si>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</si>
  <si>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</si>
  <si>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</si>
  <si>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</si>
  <si>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</si>
  <si>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</si>
  <si>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</si>
  <si>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</si>
  <si>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</si>
  <si>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</si>
  <si>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</si>
  <si>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</si>
  <si>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</si>
  <si>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</si>
  <si>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</si>
  <si>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</si>
  <si>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</si>
  <si>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OutboudTime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</si>
  <si>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</si>
  <si>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</si>
  <si>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</si>
  <si>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</si>
  <si>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</si>
  <si>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</si>
  <si>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</si>
  <si>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</si>
  <si>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</si>
  <si>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</si>
  <si>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</si>
  <si>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</si>
  <si>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</si>
  <si>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</si>
  <si>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</si>
  <si>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</si>
  <si>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</si>
  <si>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</si>
  <si>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</si>
  <si>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</si>
  <si>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</si>
  <si>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</si>
  <si>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</si>
  <si>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</si>
  <si>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</si>
  <si>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</si>
  <si>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</si>
  <si>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</si>
  <si>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</si>
  <si>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</si>
  <si>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</si>
  <si>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</si>
  <si>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</si>
  <si>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</si>
  <si>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</si>
  <si>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</si>
  <si>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</si>
  <si>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</si>
  <si>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</si>
  <si>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</si>
  <si>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</si>
  <si>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</si>
  <si>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</si>
  <si>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</si>
  <si>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</si>
  <si>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</si>
  <si>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</si>
  <si>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</si>
  <si>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</si>
  <si>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</si>
  <si>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</si>
  <si>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</si>
  <si>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</si>
  <si>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</si>
  <si>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NYKU8417026</t>
  </si>
  <si>
    <t>C-230506001-001</t>
  </si>
  <si>
    <t>C-230508001-001</t>
  </si>
  <si>
    <t>Inbound_plan_3</t>
  </si>
  <si>
    <t>Inbound_status_3</t>
  </si>
  <si>
    <t>Plan_OutIn_3</t>
  </si>
  <si>
    <t>Status_OutIn_3</t>
  </si>
  <si>
    <t>Plan_OutIn_4</t>
  </si>
  <si>
    <t>Status_OutIn_4</t>
  </si>
  <si>
    <t>Plan_OutIn_5</t>
  </si>
  <si>
    <t>Status_OutIn_5</t>
  </si>
  <si>
    <t>&lt;--- should end with 01</t>
  </si>
  <si>
    <t>&lt;---shoud end with 02</t>
  </si>
  <si>
    <t>combine</t>
  </si>
  <si>
    <t>&lt;-- combineInvoiceNo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</si>
  <si>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</si>
  <si>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</si>
  <si>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</si>
  <si>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</si>
  <si>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</si>
  <si>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</si>
  <si>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</si>
  <si>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</si>
  <si>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</si>
  <si>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</si>
  <si>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</si>
  <si>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</si>
  <si>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</si>
  <si>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</si>
  <si>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&lt;---should end with 01</t>
  </si>
  <si>
    <t>NEWMOD</t>
  </si>
  <si>
    <t>MOD</t>
  </si>
  <si>
    <t>DisplayPartsNo</t>
  </si>
  <si>
    <t>scenario12-20230504001</t>
    <phoneticPr fontId="12" type="noConversion"/>
  </si>
  <si>
    <t>scenario12-20230504002</t>
    <phoneticPr fontId="12" type="noConversion"/>
  </si>
  <si>
    <t>scenario12-20230504003</t>
    <phoneticPr fontId="12" type="noConversion"/>
  </si>
  <si>
    <t>scenario12-20230504004</t>
    <phoneticPr fontId="12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</si>
  <si>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</si>
  <si>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</si>
  <si>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</si>
  <si>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</si>
  <si>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</si>
  <si>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</si>
  <si>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</si>
  <si>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</si>
  <si>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</si>
  <si>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</si>
  <si>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</si>
  <si>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</si>
  <si>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</si>
  <si>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</si>
  <si>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</si>
  <si>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</si>
  <si>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</si>
  <si>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</si>
  <si>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</si>
  <si>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</si>
  <si>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</si>
  <si>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</si>
  <si>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</si>
  <si>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</si>
  <si>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</si>
  <si>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</si>
  <si>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</si>
  <si>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</si>
  <si>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</si>
  <si>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</si>
  <si>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</si>
  <si>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</si>
  <si>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</si>
  <si>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</si>
  <si>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</si>
  <si>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</si>
  <si>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</si>
  <si>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</si>
  <si>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</si>
  <si>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</si>
  <si>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</si>
  <si>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</si>
  <si>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</si>
  <si>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</si>
  <si>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</si>
  <si>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</si>
  <si>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</si>
  <si>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</si>
  <si>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</si>
  <si>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</si>
  <si>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</si>
  <si>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</si>
  <si>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</si>
  <si>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</si>
  <si>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</si>
  <si>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</si>
  <si>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</si>
  <si>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</si>
  <si>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</si>
  <si>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</si>
  <si>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</si>
  <si>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</si>
  <si>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</si>
  <si>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</si>
  <si>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</si>
  <si>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</si>
  <si>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</si>
  <si>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</si>
  <si>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</si>
  <si>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</si>
  <si>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</si>
  <si>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</si>
  <si>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</si>
  <si>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</si>
  <si>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</si>
  <si>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</si>
  <si>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</si>
  <si>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</si>
  <si>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</si>
  <si>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</si>
  <si>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</si>
  <si>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</si>
  <si>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</si>
  <si>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</si>
  <si>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</si>
  <si>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</si>
  <si>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</si>
  <si>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</si>
  <si>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</si>
  <si>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</si>
  <si>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EA</t>
  </si>
  <si>
    <t>Inbound_plan_4</t>
  </si>
  <si>
    <t>Inbound_status_4</t>
  </si>
  <si>
    <t>NG-1000</t>
  </si>
  <si>
    <t>05</t>
  </si>
  <si>
    <t>R-VN-TTVN-2310007</t>
  </si>
  <si>
    <t>CR-VN-TTVN-2310007</t>
  </si>
  <si>
    <t>R-SG-TTAP-2310013</t>
  </si>
  <si>
    <t>o-SG-BAFCO-231013009</t>
  </si>
  <si>
    <t>o-SG-BAFCO-231013010</t>
  </si>
  <si>
    <t>o-SG-BAFCO-231013011</t>
  </si>
  <si>
    <t>o-SG-BAFCO-231013012</t>
  </si>
  <si>
    <t>BAFCO2310016</t>
  </si>
  <si>
    <t>BAFCO2310017</t>
  </si>
  <si>
    <t>BAFCO2310018</t>
  </si>
  <si>
    <t>BAFCO2310019</t>
  </si>
  <si>
    <t>BAFCO2310020</t>
  </si>
  <si>
    <t>TTAP2310013</t>
  </si>
  <si>
    <t>TTAP2310014</t>
  </si>
  <si>
    <t>TTAP2310015</t>
  </si>
  <si>
    <t>TTAP2310016</t>
  </si>
  <si>
    <t>十月 30, 2023 ~ 十一月 05, 2023</t>
  </si>
  <si>
    <t xml:space="preserve">Period Generator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</si>
</sst>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_ "/>
    <numFmt numFmtId="166" formatCode="#,##0.00_ "/>
    <numFmt numFmtId="167" formatCode="_-* #,##0_-;\-* #,##0_-;_-* &quot;-&quot;??_-;_-@_-"/>
    <numFmt numFmtId="168" formatCode="0.000_ "/>
    <numFmt numFmtId="169" formatCode="#,##0.000"/>
    <numFmt numFmtId="170" formatCode="0_ "/>
    <numFmt numFmtId="171" formatCode="0.00_ "/>
    <numFmt numFmtId="172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8" fillId="0" borderId="0"/>
    <xf numFmtId="164" fontId="6" fillId="0" borderId="0" applyFont="0" applyFill="0" applyBorder="0" applyAlignment="0" applyProtection="0"/>
    <xf numFmtId="0" fontId="8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/>
    <xf numFmtId="0" fontId="4" fillId="3" borderId="0" xfId="0" applyFont="1" applyFill="1"/>
    <xf numFmtId="0" fontId="3" fillId="4" borderId="0" xfId="1" applyFill="1" applyBorder="1" applyAlignment="1"/>
    <xf numFmtId="0" fontId="4" fillId="4" borderId="0" xfId="0" applyFont="1" applyFill="1"/>
    <xf numFmtId="0" fontId="3" fillId="3" borderId="0" xfId="1" applyFill="1" applyBorder="1" applyAlignment="1"/>
    <xf numFmtId="0" fontId="4" fillId="0" borderId="0" xfId="0" applyFont="1"/>
    <xf numFmtId="0" fontId="5" fillId="0" borderId="0" xfId="0" applyFont="1"/>
    <xf numFmtId="1" fontId="0" fillId="0" borderId="0" xfId="0" applyNumberFormat="1"/>
    <xf numFmtId="165" fontId="6" fillId="0" borderId="0" xfId="2" applyNumberFormat="1" applyFo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4" fillId="5" borderId="0" xfId="0" applyFont="1" applyFill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0" fillId="0" borderId="0" xfId="0" applyNumberFormat="1"/>
    <xf numFmtId="3" fontId="0" fillId="0" borderId="0" xfId="0" applyNumberFormat="1" applyAlignment="1">
      <alignment wrapText="1"/>
    </xf>
    <xf numFmtId="167" fontId="0" fillId="0" borderId="0" xfId="4" applyNumberFormat="1" applyFont="1" applyBorder="1"/>
    <xf numFmtId="166" fontId="0" fillId="0" borderId="0" xfId="2" applyNumberFormat="1" applyFont="1" applyProtection="1">
      <alignment vertical="center"/>
      <protection locked="0"/>
    </xf>
    <xf numFmtId="165" fontId="0" fillId="0" borderId="0" xfId="2" applyNumberFormat="1" applyFont="1" applyProtection="1">
      <alignment vertical="center"/>
      <protection locked="0"/>
    </xf>
    <xf numFmtId="49" fontId="0" fillId="0" borderId="0" xfId="0" applyNumberFormat="1" applyAlignment="1">
      <alignment horizontal="left"/>
    </xf>
    <xf numFmtId="167" fontId="0" fillId="0" borderId="0" xfId="4" applyNumberFormat="1" applyFont="1"/>
    <xf numFmtId="1" fontId="0" fillId="0" borderId="0" xfId="4" applyNumberFormat="1" applyFont="1"/>
    <xf numFmtId="0" fontId="0" fillId="0" borderId="0" xfId="0" applyAlignment="1">
      <alignment vertical="top"/>
    </xf>
    <xf numFmtId="0" fontId="10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168" fontId="1" fillId="0" borderId="0" xfId="5" applyNumberFormat="1" applyFont="1" applyAlignment="1" applyProtection="1">
      <alignment horizontal="right" vertical="top"/>
      <protection locked="0"/>
    </xf>
    <xf numFmtId="169" fontId="1" fillId="0" borderId="0" xfId="5" applyNumberFormat="1" applyFont="1" applyAlignment="1" applyProtection="1">
      <alignment horizontal="left" vertical="top"/>
      <protection locked="0"/>
    </xf>
    <xf numFmtId="170" fontId="1" fillId="0" borderId="0" xfId="5" applyNumberFormat="1" applyFont="1" applyAlignment="1" applyProtection="1">
      <alignment horizontal="right" vertical="top"/>
      <protection locked="0"/>
    </xf>
    <xf numFmtId="1" fontId="0" fillId="0" borderId="0" xfId="0" applyNumberFormat="1" applyAlignment="1">
      <alignment vertical="top"/>
    </xf>
    <xf numFmtId="168" fontId="1" fillId="0" borderId="0" xfId="5" applyNumberFormat="1" applyFont="1" applyAlignment="1" applyProtection="1">
      <alignment horizontal="right" vertical="center"/>
      <protection locked="0"/>
    </xf>
    <xf numFmtId="169" fontId="1" fillId="0" borderId="0" xfId="5" applyNumberFormat="1" applyFont="1" applyAlignment="1" applyProtection="1">
      <alignment horizontal="left" vertical="center"/>
      <protection locked="0"/>
    </xf>
    <xf numFmtId="171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top"/>
    </xf>
    <xf numFmtId="171" fontId="0" fillId="0" borderId="0" xfId="0" applyNumberFormat="1" applyAlignment="1">
      <alignment horizontal="right"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wrapText="1"/>
    </xf>
    <xf numFmtId="169" fontId="1" fillId="0" borderId="0" xfId="5" applyNumberFormat="1" applyFont="1" applyAlignment="1" applyProtection="1">
      <alignment vertical="center"/>
      <protection locked="0"/>
    </xf>
    <xf numFmtId="171" fontId="13" fillId="6" borderId="1" xfId="6" applyNumberFormat="1" applyFont="1" applyFill="1" applyBorder="1" applyAlignment="1">
      <alignment horizontal="right" vertical="center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3" fontId="14" fillId="0" borderId="0" xfId="0" applyNumberFormat="1" applyFont="1" applyAlignment="1">
      <alignment horizontal="right" vertical="center"/>
    </xf>
    <xf numFmtId="172" fontId="14" fillId="0" borderId="0" xfId="0" applyNumberFormat="1" applyFont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67" fontId="0" fillId="0" borderId="0" xfId="4" applyNumberFormat="1" applyFont="1" applyAlignment="1"/>
  </cellXfs>
  <cellStyles count="12">
    <cellStyle name="Comma" xfId="4" builtinId="3"/>
    <cellStyle name="Hyperlink" xfId="1" builtinId="8"/>
    <cellStyle name="Normal" xfId="0" builtinId="0"/>
    <cellStyle name="Normal 13" xfId="7" xr:uid="{DAC2F1B6-5F0C-4911-9B5C-B5CAE8654FF7}"/>
    <cellStyle name="Normal 2" xfId="9" xr:uid="{05CD56BC-B259-455F-8B6E-D7A790BD14E2}"/>
    <cellStyle name="Normal 2 2" xfId="5" xr:uid="{0077DFB7-1F7C-4A43-8985-01F7EAF42D54}"/>
    <cellStyle name="Normal 2 2 2" xfId="8" xr:uid="{D3001AFC-E9BC-437B-9561-274EDEC0B5EC}"/>
    <cellStyle name="Normal 3" xfId="6" xr:uid="{18A370DC-2DA4-4843-81D2-A03F67F9F8A1}"/>
    <cellStyle name="Normal 6 2" xfId="3" xr:uid="{BAAA7FF1-FB45-45E3-98F7-2540607BBF71}"/>
    <cellStyle name="Normal 6 2 2" xfId="10" xr:uid="{D164D6BE-F1E4-4E09-9DCC-742EC6D5787E}"/>
    <cellStyle name="常规 2" xfId="2" xr:uid="{9007EC35-BB59-45F3-B047-482B139D4152}"/>
    <cellStyle name="常规 2 2" xfId="11" xr:uid="{A5C60366-A437-4C5C-871D-F40796786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Global%20Parts.20231010145051.xlsx" TargetMode="External"/><Relationship Id="rId1" Type="http://schemas.openxmlformats.org/officeDocument/2006/relationships/externalLinkPath" Target="/Users/huawe/Downloads/Global%20Parts.202310101450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dimension ref="A1:G4"/>
  <sheetViews>
    <sheetView workbookViewId="0">
      <selection activeCell="C13" sqref="C13"/>
    </sheetView>
  </sheetViews>
  <sheetFormatPr defaultRowHeight="14.4" x14ac:dyDescent="0.3"/>
  <cols>
    <col min="1" max="1" width="21.5546875" bestFit="1" customWidth="1" collapsed="1"/>
    <col min="2" max="3" width="15.77734375" customWidth="1" collapsed="1"/>
    <col min="5" max="5" width="15.77734375" customWidth="1" collapsed="1"/>
  </cols>
  <sheetData>
    <row r="1" spans="1:7" x14ac:dyDescent="0.3">
      <c r="A1" t="s">
        <v>34</v>
      </c>
      <c r="B1" t="s">
        <v>118</v>
      </c>
      <c r="C1" t="s">
        <v>118</v>
      </c>
      <c r="E1" s="14" t="s">
        <v>122</v>
      </c>
      <c r="F1" s="14"/>
      <c r="G1" s="14"/>
    </row>
    <row r="2" spans="1:7" x14ac:dyDescent="0.3">
      <c r="A2" s="2" t="s">
        <v>476</v>
      </c>
      <c r="B2" t="s">
        <v>472</v>
      </c>
      <c r="C2" t="str">
        <f>B2&amp;"s"</f>
        <v>EAs</v>
      </c>
      <c r="E2" s="14" t="s">
        <v>118</v>
      </c>
      <c r="F2" s="14" t="s">
        <v>119</v>
      </c>
    </row>
    <row r="3" spans="1:7" x14ac:dyDescent="0.3">
      <c r="E3" s="14" t="s">
        <v>121</v>
      </c>
      <c r="F3" s="14" t="s">
        <v>120</v>
      </c>
    </row>
    <row r="4" spans="1:7" x14ac:dyDescent="0.3">
      <c r="E4" s="14"/>
      <c r="F4" s="1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F7"/>
  <sheetViews>
    <sheetView workbookViewId="0">
      <selection activeCell="C31" sqref="C31"/>
    </sheetView>
  </sheetViews>
  <sheetFormatPr defaultRowHeight="14.4" x14ac:dyDescent="0.3"/>
  <cols>
    <col min="1" max="2" width="25.77734375" customWidth="1" collapsed="1"/>
    <col min="3" max="3" width="15.77734375" customWidth="1" collapsed="1"/>
    <col min="4" max="4" width="25.77734375" customWidth="1" collapsed="1"/>
    <col min="5" max="6" width="15.77734375" customWidth="1" collapsed="1"/>
  </cols>
  <sheetData>
    <row r="1" spans="1:6" s="6" customFormat="1" x14ac:dyDescent="0.3">
      <c r="A1" s="6" t="s">
        <v>48</v>
      </c>
      <c r="B1" s="6" t="s">
        <v>49</v>
      </c>
      <c r="C1" s="6" t="s">
        <v>50</v>
      </c>
      <c r="D1" s="7" t="s">
        <v>51</v>
      </c>
      <c r="E1" s="7" t="s">
        <v>52</v>
      </c>
      <c r="F1" s="7" t="s">
        <v>53</v>
      </c>
    </row>
    <row r="2" spans="1:6" x14ac:dyDescent="0.3">
      <c r="A2" s="4" t="s">
        <v>27</v>
      </c>
      <c r="B2" s="5" t="s">
        <v>117</v>
      </c>
      <c r="C2" s="1" t="s">
        <v>36</v>
      </c>
      <c r="D2" t="str">
        <f>'TC4'!C2</f>
        <v>SGTTAP-VNTTVN-EA-05-005</v>
      </c>
      <c r="E2" t="str">
        <f>'TC4'!L2</f>
        <v>Basis Order</v>
      </c>
      <c r="F2" t="s">
        <v>39</v>
      </c>
    </row>
    <row r="3" spans="1:6" x14ac:dyDescent="0.3">
      <c r="A3" s="4" t="s">
        <v>28</v>
      </c>
      <c r="B3" s="5" t="s">
        <v>42</v>
      </c>
      <c r="C3" s="1" t="s">
        <v>36</v>
      </c>
      <c r="D3" t="str">
        <f>'TC4'!C2</f>
        <v>SGTTAP-VNTTVN-EA-05-005</v>
      </c>
      <c r="E3" t="str">
        <f>'TC4'!L2</f>
        <v>Basis Order</v>
      </c>
      <c r="F3" t="s">
        <v>39</v>
      </c>
    </row>
    <row r="4" spans="1:6" x14ac:dyDescent="0.3">
      <c r="A4" s="4" t="s">
        <v>29</v>
      </c>
      <c r="B4" s="5" t="s">
        <v>43</v>
      </c>
      <c r="C4" s="1" t="s">
        <v>36</v>
      </c>
      <c r="D4" t="str">
        <f>'TC4'!C2</f>
        <v>SGTTAP-VNTTVN-EA-05-005</v>
      </c>
      <c r="E4" t="str">
        <f>'TC4'!L2</f>
        <v>Basis Order</v>
      </c>
      <c r="F4" t="s">
        <v>39</v>
      </c>
    </row>
    <row r="5" spans="1:6" x14ac:dyDescent="0.3">
      <c r="A5" s="4" t="s">
        <v>30</v>
      </c>
      <c r="B5" s="5" t="s">
        <v>44</v>
      </c>
      <c r="C5" s="1" t="s">
        <v>36</v>
      </c>
      <c r="D5" t="str">
        <f>'TC4'!C2</f>
        <v>SGTTAP-VNTTVN-EA-05-005</v>
      </c>
      <c r="E5" t="str">
        <f>'TC4'!L2</f>
        <v>Basis Order</v>
      </c>
      <c r="F5" t="s">
        <v>39</v>
      </c>
    </row>
    <row r="6" spans="1:6" x14ac:dyDescent="0.3">
      <c r="A6" s="4" t="s">
        <v>31</v>
      </c>
      <c r="B6" s="5" t="s">
        <v>45</v>
      </c>
      <c r="C6" s="1" t="s">
        <v>36</v>
      </c>
      <c r="D6" t="str">
        <f>'TC4'!C2</f>
        <v>SGTTAP-VNTTVN-EA-05-005</v>
      </c>
      <c r="E6" t="str">
        <f>'TC4'!L2</f>
        <v>Basis Order</v>
      </c>
      <c r="F6" t="s">
        <v>39</v>
      </c>
    </row>
    <row r="7" spans="1:6" x14ac:dyDescent="0.3">
      <c r="A7" s="4" t="s">
        <v>32</v>
      </c>
      <c r="B7" s="5" t="s">
        <v>46</v>
      </c>
      <c r="C7" s="1" t="s">
        <v>36</v>
      </c>
      <c r="D7" t="str">
        <f>'TC4'!C2</f>
        <v>SGTTAP-VNTTVN-EA-05-005</v>
      </c>
      <c r="E7" t="str">
        <f>'TC4'!L2</f>
        <v>Basis Order</v>
      </c>
      <c r="F7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G2"/>
  <sheetViews>
    <sheetView workbookViewId="0">
      <selection activeCell="F13" sqref="F13"/>
    </sheetView>
  </sheetViews>
  <sheetFormatPr defaultRowHeight="14.4" x14ac:dyDescent="0.3"/>
  <cols>
    <col min="1" max="7" width="15.77734375" customWidth="1" collapsed="1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X2"/>
  <sheetViews>
    <sheetView topLeftCell="J1" zoomScale="90" zoomScaleNormal="90" workbookViewId="0">
      <selection activeCell="D16" sqref="D16"/>
    </sheetView>
  </sheetViews>
  <sheetFormatPr defaultRowHeight="14.4" x14ac:dyDescent="0.3"/>
  <cols>
    <col min="1" max="2" width="25.77734375" customWidth="1" collapsed="1"/>
    <col min="3" max="24" width="15.77734375" customWidth="1" collapsed="1"/>
  </cols>
  <sheetData>
    <row r="1" spans="1:24" x14ac:dyDescent="0.3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8" t="s">
        <v>60</v>
      </c>
      <c r="H1" s="8" t="s">
        <v>61</v>
      </c>
      <c r="I1" s="8" t="s">
        <v>62</v>
      </c>
      <c r="J1" s="8" t="s">
        <v>63</v>
      </c>
      <c r="K1" s="9" t="s">
        <v>64</v>
      </c>
      <c r="L1" s="9" t="s">
        <v>65</v>
      </c>
      <c r="M1" s="9" t="s">
        <v>66</v>
      </c>
      <c r="N1" s="9" t="s">
        <v>67</v>
      </c>
      <c r="O1" s="10" t="s">
        <v>68</v>
      </c>
      <c r="P1" s="11" t="s">
        <v>69</v>
      </c>
      <c r="Q1" s="11" t="s">
        <v>70</v>
      </c>
      <c r="R1" s="11" t="s">
        <v>71</v>
      </c>
      <c r="S1" s="11" t="s">
        <v>72</v>
      </c>
      <c r="T1" s="11" t="s">
        <v>73</v>
      </c>
      <c r="U1" s="11" t="s">
        <v>74</v>
      </c>
      <c r="V1" s="11" t="s">
        <v>75</v>
      </c>
      <c r="W1" s="11" t="s">
        <v>76</v>
      </c>
      <c r="X1" s="12" t="s">
        <v>77</v>
      </c>
    </row>
    <row r="2" spans="1:24" x14ac:dyDescent="0.3">
      <c r="A2" s="13" t="s">
        <v>79</v>
      </c>
      <c r="B2" s="13" t="s">
        <v>79</v>
      </c>
      <c r="C2" s="13" t="s">
        <v>78</v>
      </c>
      <c r="D2" s="13" t="s">
        <v>80</v>
      </c>
      <c r="E2" s="13" t="s">
        <v>81</v>
      </c>
      <c r="F2" s="13" t="s">
        <v>82</v>
      </c>
      <c r="G2" s="13"/>
      <c r="H2" s="13"/>
      <c r="I2" s="13" t="s">
        <v>83</v>
      </c>
      <c r="J2" s="13" t="s">
        <v>39</v>
      </c>
      <c r="K2" s="13" t="s">
        <v>84</v>
      </c>
      <c r="L2" s="13" t="s">
        <v>85</v>
      </c>
      <c r="M2" s="13">
        <v>3</v>
      </c>
      <c r="N2" s="13">
        <v>2</v>
      </c>
      <c r="O2" s="13" t="str">
        <f>'TC6.2_ETAnWeek'!I2</f>
        <v>MON,WED,FRI,</v>
      </c>
      <c r="P2" s="13">
        <v>10</v>
      </c>
      <c r="Q2" s="13">
        <v>0</v>
      </c>
      <c r="R2" s="13">
        <v>1</v>
      </c>
      <c r="S2" s="13">
        <v>6</v>
      </c>
      <c r="T2" s="13">
        <v>2023</v>
      </c>
      <c r="U2" s="13">
        <v>31</v>
      </c>
      <c r="V2" s="13">
        <v>12</v>
      </c>
      <c r="W2" s="13">
        <v>2024</v>
      </c>
      <c r="X2" s="13" t="str">
        <f>'TC6.2_ETAnWeek'!O2</f>
        <v>2nd Week,4th Week,</v>
      </c>
    </row>
  </sheetData>
  <hyperlinks>
    <hyperlink ref="O1" location="RANGE!A1" display="ETDWeekDay (click here to set ETD days)" xr:uid="{1C7673BD-D021-4EBC-A8EA-37195950B339}"/>
    <hyperlink ref="X1" location="RANGE!A1" display="Shipping Frequency Weeks (Click here to add week)" xr:uid="{6C9F0010-90E9-4E4F-A948-C184B314A49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O2"/>
  <sheetViews>
    <sheetView workbookViewId="0">
      <selection activeCell="G14" sqref="G14"/>
    </sheetView>
  </sheetViews>
  <sheetFormatPr defaultRowHeight="14.4" x14ac:dyDescent="0.3"/>
  <cols>
    <col min="1" max="1" width="25.77734375" customWidth="1" collapsed="1"/>
    <col min="2" max="15" width="15.77734375" customWidth="1" collapsed="1"/>
  </cols>
  <sheetData>
    <row r="1" spans="1:15" x14ac:dyDescent="0.3">
      <c r="A1" s="13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93</v>
      </c>
      <c r="I1" s="8" t="s">
        <v>94</v>
      </c>
      <c r="J1" s="9" t="s">
        <v>95</v>
      </c>
      <c r="K1" s="9" t="s">
        <v>96</v>
      </c>
      <c r="L1" s="9" t="s">
        <v>97</v>
      </c>
      <c r="M1" s="9" t="s">
        <v>98</v>
      </c>
      <c r="N1" s="9" t="s">
        <v>99</v>
      </c>
      <c r="O1" s="9" t="s">
        <v>100</v>
      </c>
    </row>
    <row r="2" spans="1:15" x14ac:dyDescent="0.3">
      <c r="A2" s="13" t="s">
        <v>79</v>
      </c>
      <c r="B2" s="13" t="s">
        <v>101</v>
      </c>
      <c r="C2" s="13" t="s">
        <v>102</v>
      </c>
      <c r="D2" s="13" t="s">
        <v>101</v>
      </c>
      <c r="E2" s="13" t="s">
        <v>102</v>
      </c>
      <c r="F2" s="13" t="s">
        <v>101</v>
      </c>
      <c r="G2" s="13" t="s">
        <v>102</v>
      </c>
      <c r="H2" s="13" t="s">
        <v>101</v>
      </c>
      <c r="I2" s="13" t="s">
        <v>103</v>
      </c>
      <c r="J2" s="13" t="s">
        <v>101</v>
      </c>
      <c r="K2" s="13" t="s">
        <v>102</v>
      </c>
      <c r="L2" s="13" t="s">
        <v>101</v>
      </c>
      <c r="M2" s="13" t="s">
        <v>102</v>
      </c>
      <c r="N2" s="13" t="s">
        <v>101</v>
      </c>
      <c r="O2" s="13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R8"/>
  <sheetViews>
    <sheetView workbookViewId="0">
      <selection activeCell="B2" sqref="B2:B7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4" width="26.77734375" customWidth="1" collapsed="1"/>
    <col min="5" max="11" width="15.77734375" customWidth="1" collapsed="1"/>
    <col min="17" max="17" width="8.88671875" collapsed="1"/>
    <col min="19" max="16384" width="8.88671875" collapsed="1"/>
  </cols>
  <sheetData>
    <row r="1" spans="1:9" x14ac:dyDescent="0.3">
      <c r="A1" t="s">
        <v>0</v>
      </c>
      <c r="B1" t="s">
        <v>434</v>
      </c>
      <c r="C1" t="s">
        <v>441</v>
      </c>
      <c r="D1" t="s">
        <v>2</v>
      </c>
      <c r="E1" t="s">
        <v>450</v>
      </c>
      <c r="F1" t="s">
        <v>461</v>
      </c>
      <c r="G1" t="s">
        <v>10</v>
      </c>
      <c r="H1" t="s">
        <v>452</v>
      </c>
      <c r="I1" t="s">
        <v>462</v>
      </c>
    </row>
    <row r="2" spans="1:9" x14ac:dyDescent="0.3">
      <c r="A2">
        <v>1</v>
      </c>
      <c r="B2" s="17" t="s">
        <v>157</v>
      </c>
      <c r="C2" s="17" t="s">
        <v>455</v>
      </c>
      <c r="D2" t="str">
        <f>'TC7'!C2</f>
        <v>SGBAFCO-SGTTAP-EAs-05-005</v>
      </c>
      <c r="E2" t="s">
        <v>212</v>
      </c>
      <c r="F2">
        <v>1</v>
      </c>
      <c r="G2" t="s">
        <v>22</v>
      </c>
      <c r="H2">
        <v>2</v>
      </c>
    </row>
    <row r="3" spans="1:9" x14ac:dyDescent="0.3">
      <c r="A3">
        <v>2</v>
      </c>
      <c r="B3" s="17" t="s">
        <v>158</v>
      </c>
      <c r="C3" s="17" t="s">
        <v>456</v>
      </c>
      <c r="D3" s="53" t="str">
        <f>'TC7'!C2</f>
        <v>SGBAFCO-SGTTAP-EAs-05-005</v>
      </c>
      <c r="E3" t="s">
        <v>213</v>
      </c>
      <c r="F3">
        <v>1</v>
      </c>
      <c r="G3" t="s">
        <v>22</v>
      </c>
      <c r="H3">
        <v>2</v>
      </c>
    </row>
    <row r="4" spans="1:9" x14ac:dyDescent="0.3">
      <c r="A4">
        <v>3</v>
      </c>
      <c r="B4" s="17" t="s">
        <v>159</v>
      </c>
      <c r="C4" s="17" t="s">
        <v>457</v>
      </c>
      <c r="D4" s="53" t="str">
        <f>'TC7'!C2</f>
        <v>SGBAFCO-SGTTAP-EAs-05-005</v>
      </c>
      <c r="E4" t="s">
        <v>214</v>
      </c>
      <c r="F4">
        <v>1</v>
      </c>
      <c r="G4" t="s">
        <v>22</v>
      </c>
      <c r="H4">
        <v>2</v>
      </c>
    </row>
    <row r="5" spans="1:9" x14ac:dyDescent="0.3">
      <c r="A5">
        <v>4</v>
      </c>
      <c r="B5" s="17" t="s">
        <v>160</v>
      </c>
      <c r="C5" s="17" t="s">
        <v>458</v>
      </c>
      <c r="D5" s="53" t="str">
        <f>'TC7'!C2</f>
        <v>SGBAFCO-SGTTAP-EAs-05-005</v>
      </c>
      <c r="E5" t="s">
        <v>289</v>
      </c>
      <c r="F5">
        <v>1</v>
      </c>
      <c r="G5" t="s">
        <v>22</v>
      </c>
      <c r="H5">
        <v>2</v>
      </c>
    </row>
    <row r="6" spans="1:9" x14ac:dyDescent="0.3">
      <c r="A6">
        <v>5</v>
      </c>
      <c r="B6" s="17" t="s">
        <v>161</v>
      </c>
      <c r="C6" s="17" t="s">
        <v>459</v>
      </c>
      <c r="D6" s="53" t="str">
        <f>'TC7'!C2</f>
        <v>SGBAFCO-SGTTAP-EAs-05-005</v>
      </c>
      <c r="E6" t="s">
        <v>214</v>
      </c>
      <c r="F6">
        <v>1</v>
      </c>
      <c r="G6" t="s">
        <v>22</v>
      </c>
      <c r="H6">
        <v>2</v>
      </c>
    </row>
    <row r="7" spans="1:9" x14ac:dyDescent="0.3">
      <c r="A7">
        <v>6</v>
      </c>
      <c r="B7" s="17" t="s">
        <v>162</v>
      </c>
      <c r="C7" s="17" t="s">
        <v>460</v>
      </c>
      <c r="D7" s="53" t="str">
        <f>'TC7'!C2</f>
        <v>SGBAFCO-SGTTAP-EAs-05-005</v>
      </c>
      <c r="E7" t="s">
        <v>214</v>
      </c>
      <c r="F7">
        <v>1</v>
      </c>
      <c r="G7" t="s">
        <v>22</v>
      </c>
      <c r="H7">
        <v>2</v>
      </c>
    </row>
    <row r="8" spans="1:9" x14ac:dyDescent="0.3">
      <c r="B8" s="54"/>
      <c r="C8" s="54"/>
      <c r="D8" s="54"/>
      <c r="E8" s="54"/>
      <c r="F8" s="54"/>
      <c r="G8" s="54"/>
      <c r="H8" s="54"/>
      <c r="I8" s="5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T2"/>
  <sheetViews>
    <sheetView topLeftCell="G1" workbookViewId="0">
      <selection activeCell="S1" sqref="S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2" width="15.77734375" customWidth="1" collapsed="1"/>
    <col min="13" max="14" width="25.77734375" customWidth="1" collapsed="1"/>
    <col min="15" max="19" width="15.77734375" customWidth="1" collapsed="1"/>
    <col min="20" max="20" width="25.77734375" customWidth="1" collapsed="1"/>
  </cols>
  <sheetData>
    <row r="1" spans="1:20" x14ac:dyDescent="0.3">
      <c r="A1" t="s">
        <v>0</v>
      </c>
      <c r="B1" t="s">
        <v>104</v>
      </c>
      <c r="C1" t="s">
        <v>2</v>
      </c>
      <c r="D1" t="s">
        <v>105</v>
      </c>
      <c r="E1" t="s">
        <v>108</v>
      </c>
      <c r="F1" t="s">
        <v>106</v>
      </c>
      <c r="G1" t="s">
        <v>109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54</v>
      </c>
      <c r="N1" t="s">
        <v>107</v>
      </c>
      <c r="O1" t="s">
        <v>13</v>
      </c>
      <c r="P1" t="s">
        <v>14</v>
      </c>
      <c r="Q1" t="s">
        <v>15</v>
      </c>
      <c r="R1" t="s">
        <v>16</v>
      </c>
      <c r="S1" t="s">
        <v>12</v>
      </c>
      <c r="T1" s="3" t="s">
        <v>19</v>
      </c>
    </row>
    <row r="2" spans="1:20" x14ac:dyDescent="0.3">
      <c r="A2">
        <v>1</v>
      </c>
      <c r="B2" t="s">
        <v>479</v>
      </c>
      <c r="C2" t="str">
        <f>"SGBAFCO-SGTTAP-"&amp;'TC7'!H2&amp;"-0"&amp;AutoIncrement!A2</f>
        <v>SGBAFCO-SGTTAP-EAs-05-005</v>
      </c>
      <c r="D2" t="s">
        <v>39</v>
      </c>
      <c r="E2">
        <v>1</v>
      </c>
      <c r="F2">
        <v>3</v>
      </c>
      <c r="G2">
        <v>0</v>
      </c>
      <c r="H2" t="str">
        <f>AutoIncrement!C2&amp;"-"&amp;AutoIncrement!A2</f>
        <v>EAs-05</v>
      </c>
      <c r="I2" t="str">
        <f>"CD-"&amp;H2</f>
        <v>CD-EAs-05</v>
      </c>
      <c r="J2" t="s">
        <v>21</v>
      </c>
      <c r="K2" t="s">
        <v>22</v>
      </c>
      <c r="L2" t="s">
        <v>23</v>
      </c>
      <c r="M2" t="s">
        <v>110</v>
      </c>
      <c r="N2" t="s">
        <v>79</v>
      </c>
      <c r="O2" t="s">
        <v>24</v>
      </c>
      <c r="P2" t="s">
        <v>35</v>
      </c>
      <c r="Q2" t="s">
        <v>36</v>
      </c>
      <c r="R2" t="s">
        <v>25</v>
      </c>
      <c r="S2" t="str">
        <f>'TC4'!N2</f>
        <v>RD-EA-05</v>
      </c>
      <c r="T2" t="s">
        <v>478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G7"/>
  <sheetViews>
    <sheetView workbookViewId="0">
      <selection activeCell="E14" sqref="E14"/>
    </sheetView>
  </sheetViews>
  <sheetFormatPr defaultRowHeight="14.4" x14ac:dyDescent="0.3"/>
  <cols>
    <col min="1" max="1" width="24.109375" customWidth="1" collapsed="1"/>
    <col min="2" max="2" width="31.44140625" customWidth="1" collapsed="1"/>
    <col min="3" max="3" width="12.21875" customWidth="1" collapsed="1"/>
    <col min="4" max="4" width="31.109375" customWidth="1" collapsed="1"/>
    <col min="5" max="5" width="15.44140625" customWidth="1" collapsed="1"/>
    <col min="6" max="6" width="18.77734375" customWidth="1" collapsed="1"/>
    <col min="7" max="7" width="21" customWidth="1" collapsed="1"/>
  </cols>
  <sheetData>
    <row r="1" spans="1:7" x14ac:dyDescent="0.3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3">
      <c r="A2" s="2" t="str">
        <f>'TC4-Contract Parts Info'!C2</f>
        <v>scenario1220230504001</v>
      </c>
      <c r="B2" s="17" t="s">
        <v>157</v>
      </c>
      <c r="C2" s="2" t="s">
        <v>35</v>
      </c>
      <c r="D2" t="str">
        <f>'TC7'!C2</f>
        <v>SGBAFCO-SGTTAP-EAs-05-005</v>
      </c>
      <c r="E2" s="2" t="s">
        <v>23</v>
      </c>
      <c r="F2" s="2" t="s">
        <v>39</v>
      </c>
      <c r="G2" t="s">
        <v>79</v>
      </c>
    </row>
    <row r="3" spans="1:7" x14ac:dyDescent="0.3">
      <c r="A3" s="2" t="str">
        <f>'TC4-Contract Parts Info'!C3</f>
        <v>scenario1220230504002</v>
      </c>
      <c r="B3" s="17" t="s">
        <v>158</v>
      </c>
      <c r="C3" s="2" t="s">
        <v>35</v>
      </c>
      <c r="D3" t="str">
        <f>'TC7'!C2</f>
        <v>SGBAFCO-SGTTAP-EAs-05-005</v>
      </c>
      <c r="E3" s="2" t="s">
        <v>23</v>
      </c>
      <c r="F3" s="2" t="s">
        <v>39</v>
      </c>
      <c r="G3" t="s">
        <v>79</v>
      </c>
    </row>
    <row r="4" spans="1:7" x14ac:dyDescent="0.3">
      <c r="A4" s="2" t="str">
        <f>'TC4-Contract Parts Info'!C4</f>
        <v>scenario1220230504003</v>
      </c>
      <c r="B4" s="17" t="s">
        <v>159</v>
      </c>
      <c r="C4" s="2" t="s">
        <v>35</v>
      </c>
      <c r="D4" t="str">
        <f>'TC7'!C2</f>
        <v>SGBAFCO-SGTTAP-EAs-05-005</v>
      </c>
      <c r="E4" s="2" t="s">
        <v>23</v>
      </c>
      <c r="F4" s="2" t="s">
        <v>39</v>
      </c>
      <c r="G4" t="s">
        <v>79</v>
      </c>
    </row>
    <row r="5" spans="1:7" x14ac:dyDescent="0.3">
      <c r="A5" s="2" t="str">
        <f>'TC4-Contract Parts Info'!C5</f>
        <v>scenario1220230504004</v>
      </c>
      <c r="B5" s="17" t="s">
        <v>160</v>
      </c>
      <c r="C5" s="2" t="s">
        <v>35</v>
      </c>
      <c r="D5" t="str">
        <f>'TC7'!C2</f>
        <v>SGBAFCO-SGTTAP-EAs-05-005</v>
      </c>
      <c r="E5" s="2" t="s">
        <v>23</v>
      </c>
      <c r="F5" s="2" t="s">
        <v>39</v>
      </c>
      <c r="G5" t="s">
        <v>79</v>
      </c>
    </row>
    <row r="6" spans="1:7" x14ac:dyDescent="0.3">
      <c r="A6" s="2" t="str">
        <f>'TC4-Contract Parts Info'!C6</f>
        <v>scenario1220230504005</v>
      </c>
      <c r="B6" s="17" t="s">
        <v>161</v>
      </c>
      <c r="C6" s="2" t="s">
        <v>35</v>
      </c>
      <c r="D6" t="str">
        <f>'TC7'!C2</f>
        <v>SGBAFCO-SGTTAP-EAs-05-005</v>
      </c>
      <c r="E6" s="2" t="s">
        <v>23</v>
      </c>
      <c r="F6" s="2" t="s">
        <v>39</v>
      </c>
      <c r="G6" t="s">
        <v>79</v>
      </c>
    </row>
    <row r="7" spans="1:7" x14ac:dyDescent="0.3">
      <c r="A7" s="2" t="str">
        <f>'TC4-Contract Parts Info'!C7</f>
        <v>scenario1220230504006</v>
      </c>
      <c r="B7" s="17" t="s">
        <v>162</v>
      </c>
      <c r="C7" s="2" t="s">
        <v>35</v>
      </c>
      <c r="D7" t="str">
        <f>'TC7'!C2</f>
        <v>SGBAFCO-SGTTAP-EAs-05-005</v>
      </c>
      <c r="E7" s="2" t="s">
        <v>23</v>
      </c>
      <c r="F7" s="2" t="s">
        <v>39</v>
      </c>
      <c r="G7" t="s">
        <v>79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D2"/>
  <sheetViews>
    <sheetView workbookViewId="0">
      <selection activeCell="A3" sqref="A3"/>
    </sheetView>
  </sheetViews>
  <sheetFormatPr defaultRowHeight="14.4" x14ac:dyDescent="0.3"/>
  <cols>
    <col min="1" max="1" width="25.77734375" customWidth="1" collapsed="1"/>
    <col min="2" max="3" width="15.77734375" customWidth="1" collapsed="1"/>
    <col min="4" max="4" width="25.77734375" customWidth="1" collapsed="1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"CS-"&amp;AutoIncrement!B2&amp;"-"&amp;AutoIncrement!A2</f>
        <v>CS-EA-05</v>
      </c>
      <c r="B2" t="s">
        <v>36</v>
      </c>
      <c r="C2" t="s">
        <v>114</v>
      </c>
      <c r="D2" t="str">
        <f>'TC4'!C2</f>
        <v>SGTTAP-VNTTVN-EA-05-005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D2"/>
  <sheetViews>
    <sheetView workbookViewId="0">
      <selection activeCell="A2" sqref="A2"/>
    </sheetView>
  </sheetViews>
  <sheetFormatPr defaultRowHeight="14.4" x14ac:dyDescent="0.3"/>
  <cols>
    <col min="1" max="1" width="25.77734375" customWidth="1" collapsed="1"/>
    <col min="2" max="3" width="15.77734375" customWidth="1" collapsed="1"/>
    <col min="4" max="4" width="25.77734375" customWidth="1" collapsed="1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"CS-"&amp;AutoIncrement!C2&amp;"-"&amp;AutoIncrement!A2</f>
        <v>CS-EAs-05</v>
      </c>
      <c r="B2" t="s">
        <v>36</v>
      </c>
      <c r="C2" t="s">
        <v>116</v>
      </c>
      <c r="D2" t="str">
        <f>'TC7'!C2</f>
        <v>SGBAFCO-SGTTAP-EAs-05-005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3ECF-E9BE-4D6E-8DC6-0D5B67DB1A0A}">
  <dimension ref="A1:A2"/>
  <sheetViews>
    <sheetView workbookViewId="0">
      <selection activeCell="A2" sqref="A2"/>
    </sheetView>
  </sheetViews>
  <sheetFormatPr defaultRowHeight="14.4" x14ac:dyDescent="0.3"/>
  <cols>
    <col min="1" max="1" width="28.5546875" customWidth="1"/>
  </cols>
  <sheetData>
    <row r="1" spans="1:1" x14ac:dyDescent="0.3">
      <c r="A1" t="s">
        <v>494</v>
      </c>
    </row>
    <row r="2" spans="1:1" x14ac:dyDescent="0.3">
      <c r="A2" t="s">
        <v>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I5"/>
  <sheetViews>
    <sheetView zoomScale="90" zoomScaleNormal="90" workbookViewId="0"/>
  </sheetViews>
  <sheetFormatPr defaultRowHeight="13.8" x14ac:dyDescent="0.3"/>
  <cols>
    <col min="1" max="1" width="15.77734375" style="45" customWidth="1" collapsed="1"/>
    <col min="2" max="3" width="25.77734375" style="45" customWidth="1" collapsed="1"/>
    <col min="4" max="13" width="15.77734375" style="45" customWidth="1" collapsed="1"/>
    <col min="14" max="16384" width="8.88671875" style="45" collapsed="1"/>
  </cols>
  <sheetData>
    <row r="1" spans="1:9" x14ac:dyDescent="0.3">
      <c r="A1" s="45" t="s">
        <v>375</v>
      </c>
      <c r="B1" s="45" t="s">
        <v>26</v>
      </c>
      <c r="C1" s="45" t="s">
        <v>377</v>
      </c>
      <c r="D1" s="45" t="s">
        <v>288</v>
      </c>
      <c r="E1" s="45" t="s">
        <v>363</v>
      </c>
      <c r="F1" s="45" t="s">
        <v>389</v>
      </c>
      <c r="G1" s="45" t="s">
        <v>390</v>
      </c>
      <c r="H1" s="45" t="s">
        <v>391</v>
      </c>
      <c r="I1" s="45" t="s">
        <v>56</v>
      </c>
    </row>
    <row r="2" spans="1:9" x14ac:dyDescent="0.3">
      <c r="A2" s="45" t="s">
        <v>376</v>
      </c>
      <c r="B2" s="46" t="s">
        <v>210</v>
      </c>
      <c r="C2" s="46" t="s">
        <v>378</v>
      </c>
      <c r="D2" s="45" t="s">
        <v>212</v>
      </c>
      <c r="E2" s="45">
        <v>0.1</v>
      </c>
      <c r="F2" s="45" t="s">
        <v>382</v>
      </c>
      <c r="G2" s="45" t="s">
        <v>383</v>
      </c>
      <c r="H2" s="45" t="s">
        <v>384</v>
      </c>
      <c r="I2" s="45" t="s">
        <v>78</v>
      </c>
    </row>
    <row r="3" spans="1:9" x14ac:dyDescent="0.3">
      <c r="A3" s="45" t="s">
        <v>376</v>
      </c>
      <c r="B3" s="46" t="s">
        <v>28</v>
      </c>
      <c r="C3" s="46" t="s">
        <v>379</v>
      </c>
      <c r="D3" s="45" t="s">
        <v>213</v>
      </c>
      <c r="E3" s="45">
        <v>0.1</v>
      </c>
      <c r="F3" s="45" t="s">
        <v>385</v>
      </c>
      <c r="H3" s="45" t="s">
        <v>386</v>
      </c>
      <c r="I3" s="45" t="s">
        <v>78</v>
      </c>
    </row>
    <row r="4" spans="1:9" x14ac:dyDescent="0.3">
      <c r="A4" s="45" t="s">
        <v>376</v>
      </c>
      <c r="B4" s="46" t="s">
        <v>29</v>
      </c>
      <c r="C4" s="46" t="s">
        <v>380</v>
      </c>
      <c r="D4" s="45" t="s">
        <v>214</v>
      </c>
      <c r="E4" s="45">
        <v>0.1</v>
      </c>
      <c r="F4" s="45" t="s">
        <v>385</v>
      </c>
      <c r="H4" s="45" t="s">
        <v>387</v>
      </c>
      <c r="I4" s="45" t="s">
        <v>78</v>
      </c>
    </row>
    <row r="5" spans="1:9" x14ac:dyDescent="0.3">
      <c r="A5" s="45" t="s">
        <v>376</v>
      </c>
      <c r="B5" s="46" t="s">
        <v>30</v>
      </c>
      <c r="C5" s="46" t="s">
        <v>381</v>
      </c>
      <c r="D5" s="45" t="s">
        <v>289</v>
      </c>
      <c r="E5" s="45">
        <v>0.1</v>
      </c>
      <c r="F5" s="45" t="s">
        <v>385</v>
      </c>
      <c r="H5" s="45" t="s">
        <v>388</v>
      </c>
      <c r="I5" s="45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E7"/>
  <sheetViews>
    <sheetView workbookViewId="0">
      <selection activeCell="G18" sqref="G18"/>
    </sheetView>
  </sheetViews>
  <sheetFormatPr defaultRowHeight="14.4" x14ac:dyDescent="0.3"/>
  <sheetData>
    <row r="1" spans="1:5" x14ac:dyDescent="0.3">
      <c r="A1" s="15" t="s">
        <v>0</v>
      </c>
      <c r="B1" t="s">
        <v>20</v>
      </c>
      <c r="C1" t="s">
        <v>123</v>
      </c>
      <c r="D1" t="s">
        <v>124</v>
      </c>
      <c r="E1" t="s">
        <v>125</v>
      </c>
    </row>
    <row r="2" spans="1:5" x14ac:dyDescent="0.3">
      <c r="A2" s="15">
        <v>1</v>
      </c>
      <c r="B2">
        <v>1000</v>
      </c>
      <c r="C2">
        <v>1000</v>
      </c>
      <c r="D2" s="16">
        <v>500</v>
      </c>
      <c r="E2" s="16">
        <v>500</v>
      </c>
    </row>
    <row r="3" spans="1:5" x14ac:dyDescent="0.3">
      <c r="A3" s="15">
        <v>2</v>
      </c>
      <c r="B3">
        <v>1000</v>
      </c>
      <c r="C3">
        <v>1000</v>
      </c>
      <c r="D3" s="16">
        <v>500</v>
      </c>
      <c r="E3" s="16">
        <v>500</v>
      </c>
    </row>
    <row r="4" spans="1:5" x14ac:dyDescent="0.3">
      <c r="A4" s="15">
        <v>3</v>
      </c>
      <c r="B4">
        <v>1000</v>
      </c>
      <c r="C4">
        <v>1000</v>
      </c>
      <c r="D4" s="16">
        <v>500</v>
      </c>
      <c r="E4" s="16">
        <v>500</v>
      </c>
    </row>
    <row r="5" spans="1:5" x14ac:dyDescent="0.3">
      <c r="A5" s="15">
        <v>6</v>
      </c>
      <c r="B5">
        <v>1000</v>
      </c>
      <c r="C5">
        <v>1000</v>
      </c>
      <c r="D5" s="16">
        <v>0</v>
      </c>
      <c r="E5">
        <v>1000</v>
      </c>
    </row>
    <row r="6" spans="1:5" x14ac:dyDescent="0.3">
      <c r="A6" s="15">
        <v>4</v>
      </c>
      <c r="B6">
        <v>1000</v>
      </c>
      <c r="C6">
        <v>1000</v>
      </c>
      <c r="D6" s="16">
        <v>500</v>
      </c>
      <c r="E6" s="16">
        <v>500</v>
      </c>
    </row>
    <row r="7" spans="1:5" x14ac:dyDescent="0.3">
      <c r="A7" s="15">
        <v>5</v>
      </c>
      <c r="B7">
        <v>1000</v>
      </c>
      <c r="C7">
        <v>1000</v>
      </c>
      <c r="D7">
        <v>1000</v>
      </c>
      <c r="E7" s="1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C2"/>
  <sheetViews>
    <sheetView topLeftCell="B1" workbookViewId="0">
      <selection activeCell="B1" sqref="B1:C2"/>
    </sheetView>
  </sheetViews>
  <sheetFormatPr defaultRowHeight="14.4" x14ac:dyDescent="0.3"/>
  <sheetData>
    <row r="1" spans="1:3" x14ac:dyDescent="0.3">
      <c r="A1" t="s">
        <v>0</v>
      </c>
      <c r="B1" t="s">
        <v>126</v>
      </c>
      <c r="C1" t="s">
        <v>127</v>
      </c>
    </row>
    <row r="2" spans="1:3" x14ac:dyDescent="0.3">
      <c r="A2">
        <v>1</v>
      </c>
      <c r="B2" t="str">
        <f ca="1">TEXT(DATE(YEAR(TODAY()), MONTH(TODAY())+2, DAY(TODAY())), "dd MMM yyyy")</f>
        <v>01 Jan 2024</v>
      </c>
      <c r="C2" t="str">
        <f ca="1">TEXT(DATE(YEAR(TODAY()), MONTH(TODAY())+3, DAY(TODAY())), "dd MMM yyyy")</f>
        <v>01 Feb 2024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C7"/>
  <sheetViews>
    <sheetView workbookViewId="0">
      <selection activeCell="H27" sqref="H27"/>
    </sheetView>
  </sheetViews>
  <sheetFormatPr defaultRowHeight="14.4" x14ac:dyDescent="0.3"/>
  <sheetData>
    <row r="1" spans="1:3" x14ac:dyDescent="0.3">
      <c r="A1" s="15" t="s">
        <v>0</v>
      </c>
      <c r="B1" t="s">
        <v>20</v>
      </c>
      <c r="C1" t="s">
        <v>124</v>
      </c>
    </row>
    <row r="2" spans="1:3" x14ac:dyDescent="0.3">
      <c r="A2" s="15">
        <v>1</v>
      </c>
      <c r="B2">
        <v>100</v>
      </c>
      <c r="C2">
        <v>100</v>
      </c>
    </row>
    <row r="3" spans="1:3" x14ac:dyDescent="0.3">
      <c r="A3" s="15">
        <v>2</v>
      </c>
      <c r="B3">
        <v>100</v>
      </c>
      <c r="C3">
        <v>100</v>
      </c>
    </row>
    <row r="4" spans="1:3" x14ac:dyDescent="0.3">
      <c r="A4" s="15">
        <v>3</v>
      </c>
      <c r="B4">
        <v>100</v>
      </c>
      <c r="C4">
        <v>100</v>
      </c>
    </row>
    <row r="5" spans="1:3" x14ac:dyDescent="0.3">
      <c r="A5" s="15">
        <v>4</v>
      </c>
      <c r="B5">
        <v>100</v>
      </c>
      <c r="C5">
        <v>100</v>
      </c>
    </row>
    <row r="6" spans="1:3" x14ac:dyDescent="0.3">
      <c r="A6" s="15">
        <v>5</v>
      </c>
      <c r="B6">
        <v>100</v>
      </c>
      <c r="C6">
        <v>100</v>
      </c>
    </row>
    <row r="7" spans="1:3" x14ac:dyDescent="0.3">
      <c r="A7" s="15">
        <v>6</v>
      </c>
      <c r="B7">
        <v>100</v>
      </c>
      <c r="C7">
        <v>100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B2"/>
  <sheetViews>
    <sheetView tabSelected="1" topLeftCell="B1" workbookViewId="0">
      <selection activeCell="F20" sqref="F20"/>
    </sheetView>
  </sheetViews>
  <sheetFormatPr defaultRowHeight="14.4" x14ac:dyDescent="0.3"/>
  <cols>
    <col min="2" max="2" width="20.77734375" customWidth="1"/>
  </cols>
  <sheetData>
    <row r="1" spans="1:2" x14ac:dyDescent="0.3">
      <c r="A1" t="s">
        <v>0</v>
      </c>
      <c r="B1" t="s">
        <v>126</v>
      </c>
    </row>
    <row r="2" spans="1:2" x14ac:dyDescent="0.3">
      <c r="A2">
        <v>1</v>
      </c>
      <c r="B2" t="str">
        <f ca="1">TEXT(DATE(YEAR(TODAY()), MONTH(TODAY())+2, DAY(TODAY())+10), "dd MMM yyyy")</f>
        <v>11 Jan 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C2"/>
  <sheetViews>
    <sheetView workbookViewId="0">
      <selection activeCell="B2" sqref="B2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165</v>
      </c>
      <c r="C1" t="s">
        <v>166</v>
      </c>
    </row>
    <row r="2" spans="1:3" x14ac:dyDescent="0.3">
      <c r="A2">
        <v>1</v>
      </c>
      <c r="B2" t="str">
        <f ca="1">"c" &amp; AutoIncrement!B2&amp;AutoIncrement!A2&amp;"-23"&amp;TEXT(TODAY(),"mm")&amp;"001"</f>
        <v>cEA05-2311001</v>
      </c>
      <c r="C2" t="str">
        <f ca="1">"c" &amp; AutoIncrement!B2&amp;AutoIncrement!A2&amp;"-23"&amp;TEXT(TODAY(),"mm")&amp;"002"</f>
        <v>cEA05-2311002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B2"/>
  <sheetViews>
    <sheetView workbookViewId="0">
      <selection activeCell="F20" sqref="F20"/>
    </sheetView>
  </sheetViews>
  <sheetFormatPr defaultRowHeight="14.4" x14ac:dyDescent="0.3"/>
  <cols>
    <col min="2" max="2" width="25" customWidth="1" collapsed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C2"/>
  <sheetViews>
    <sheetView topLeftCell="A7" workbookViewId="0">
      <selection activeCell="E33" sqref="E33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AutoIncrement!B2&amp;AutoIncrement!A2&amp;"-23"&amp;TEXT(TODAY(),"mm")&amp;"001"</f>
        <v>sEA05-2311001</v>
      </c>
      <c r="C2" t="str">
        <f ca="1">"s" &amp; AutoIncrement!B2&amp;AutoIncrement!A2&amp;"-23"&amp;TEXT(TODAY(),"mm")&amp;"002"</f>
        <v>sEA05-2311002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C2"/>
  <sheetViews>
    <sheetView workbookViewId="0">
      <selection activeCell="G19" sqref="G19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130</v>
      </c>
      <c r="C1" t="s">
        <v>131</v>
      </c>
    </row>
    <row r="2" spans="1:3" x14ac:dyDescent="0.3">
      <c r="A2">
        <v>1</v>
      </c>
      <c r="B2" t="str">
        <f ca="1">"p" &amp; AutoIncrement!C2&amp;AutoIncrement!A2&amp;"-23"&amp;TEXT(TODAY(),"mm")&amp;"001"</f>
        <v>pEAs05-2311001</v>
      </c>
      <c r="C2" t="str">
        <f ca="1">"p" &amp; AutoIncrement!C2&amp;AutoIncrement!A2&amp;"-23"&amp;TEXT(TODAY(),"mm")&amp;"002"</f>
        <v>pEAs05-2311002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C2"/>
  <sheetViews>
    <sheetView workbookViewId="0">
      <selection activeCell="J16" sqref="J16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AutoIncrement!C2&amp;AutoIncrement!A2&amp;"-23"&amp;TEXT(TODAY(),"mm")&amp;"001"</f>
        <v>sEAs05-2311001</v>
      </c>
      <c r="C2" t="str">
        <f ca="1">"s" &amp; AutoIncrement!C2&amp;AutoIncrement!A2&amp;"-23"&amp;TEXT(TODAY(),"mm")&amp;"002"</f>
        <v>sEAs05-2311002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EBCE-3EF3-45B3-88FE-D4D7B8803E0D}">
  <dimension ref="A1:Y7"/>
  <sheetViews>
    <sheetView topLeftCell="G1" workbookViewId="0">
      <selection activeCell="P3" sqref="P3:P7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5" x14ac:dyDescent="0.3">
      <c r="A1" s="13" t="s">
        <v>132</v>
      </c>
      <c r="B1" s="13" t="s">
        <v>133</v>
      </c>
      <c r="C1" s="13" t="s">
        <v>134</v>
      </c>
      <c r="D1" s="13" t="s">
        <v>135</v>
      </c>
      <c r="E1" s="13" t="s">
        <v>136</v>
      </c>
      <c r="F1" s="13" t="s">
        <v>137</v>
      </c>
      <c r="G1" s="18" t="s">
        <v>138</v>
      </c>
      <c r="H1" s="13" t="s">
        <v>139</v>
      </c>
      <c r="I1" s="13" t="s">
        <v>140</v>
      </c>
      <c r="J1" s="13" t="s">
        <v>141</v>
      </c>
      <c r="K1" s="13" t="s">
        <v>142</v>
      </c>
      <c r="L1" s="13" t="s">
        <v>143</v>
      </c>
      <c r="M1" s="13" t="s">
        <v>144</v>
      </c>
      <c r="N1" s="13" t="s">
        <v>145</v>
      </c>
      <c r="O1" s="13" t="s">
        <v>10</v>
      </c>
      <c r="P1" s="13" t="s">
        <v>146</v>
      </c>
      <c r="Q1" s="13" t="s">
        <v>147</v>
      </c>
      <c r="R1" s="13" t="s">
        <v>148</v>
      </c>
      <c r="S1" s="13" t="s">
        <v>149</v>
      </c>
      <c r="T1" s="13" t="s">
        <v>150</v>
      </c>
      <c r="U1" s="13" t="s">
        <v>151</v>
      </c>
      <c r="V1" s="13" t="s">
        <v>152</v>
      </c>
      <c r="W1" s="13" t="s">
        <v>153</v>
      </c>
      <c r="X1" s="13" t="s">
        <v>154</v>
      </c>
      <c r="Y1" s="13" t="s">
        <v>155</v>
      </c>
    </row>
    <row r="2" spans="1:25" ht="15.75" customHeight="1" x14ac:dyDescent="0.3">
      <c r="A2" s="13" t="str">
        <f ca="1">'TC16-Supplier SO'!B2</f>
        <v>sEAs05-2311001</v>
      </c>
      <c r="B2" s="13" t="s">
        <v>164</v>
      </c>
      <c r="C2" s="13"/>
      <c r="D2" s="13"/>
      <c r="E2" s="13"/>
      <c r="F2" s="4" t="s">
        <v>27</v>
      </c>
      <c r="G2" s="17" t="s">
        <v>157</v>
      </c>
      <c r="H2" s="13"/>
      <c r="I2" s="13" t="str">
        <f ca="1">'TC15-BU PO'!B2</f>
        <v>pEAs05-2311001</v>
      </c>
      <c r="J2" t="s">
        <v>36</v>
      </c>
      <c r="K2" s="13">
        <v>5</v>
      </c>
      <c r="L2" s="13">
        <v>10</v>
      </c>
      <c r="M2" s="19">
        <v>1000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500</v>
      </c>
      <c r="U2" s="13" t="s">
        <v>156</v>
      </c>
      <c r="V2" s="13">
        <v>500</v>
      </c>
      <c r="W2" s="13" t="s">
        <v>156</v>
      </c>
      <c r="X2" s="13">
        <v>500</v>
      </c>
      <c r="Y2" s="13">
        <v>500</v>
      </c>
    </row>
    <row r="3" spans="1:25" x14ac:dyDescent="0.3">
      <c r="C3" s="13"/>
      <c r="D3" s="13"/>
      <c r="E3" s="13"/>
      <c r="F3" s="4" t="s">
        <v>28</v>
      </c>
      <c r="G3" s="17" t="s">
        <v>158</v>
      </c>
      <c r="H3" s="13"/>
      <c r="I3" s="13" t="str">
        <f ca="1">'TC15-BU PO'!B2</f>
        <v>pEAs05-2311001</v>
      </c>
      <c r="J3" t="s">
        <v>36</v>
      </c>
      <c r="K3" s="13">
        <v>5</v>
      </c>
      <c r="L3" s="13">
        <v>10</v>
      </c>
      <c r="M3" s="19">
        <v>1000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500</v>
      </c>
      <c r="U3" s="13" t="s">
        <v>156</v>
      </c>
      <c r="V3" s="13">
        <v>500</v>
      </c>
      <c r="W3" s="13" t="s">
        <v>156</v>
      </c>
      <c r="X3" s="13">
        <v>500</v>
      </c>
      <c r="Y3" s="13">
        <v>500</v>
      </c>
    </row>
    <row r="4" spans="1:25" x14ac:dyDescent="0.3">
      <c r="A4" s="13"/>
      <c r="B4" s="13"/>
      <c r="C4" s="13"/>
      <c r="D4" s="13"/>
      <c r="E4" s="13"/>
      <c r="F4" s="4" t="s">
        <v>29</v>
      </c>
      <c r="G4" s="17" t="s">
        <v>159</v>
      </c>
      <c r="H4" s="13"/>
      <c r="I4" s="13" t="str">
        <f ca="1">'TC15-BU PO'!B2</f>
        <v>pEAs05-2311001</v>
      </c>
      <c r="J4" t="s">
        <v>36</v>
      </c>
      <c r="K4" s="13">
        <v>5</v>
      </c>
      <c r="L4" s="13">
        <v>10</v>
      </c>
      <c r="M4" s="19">
        <v>1000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500</v>
      </c>
      <c r="U4" s="13" t="s">
        <v>156</v>
      </c>
      <c r="V4" s="13">
        <v>500</v>
      </c>
      <c r="W4" s="13" t="s">
        <v>156</v>
      </c>
      <c r="X4" s="13">
        <v>500</v>
      </c>
      <c r="Y4" s="13">
        <v>500</v>
      </c>
    </row>
    <row r="5" spans="1:25" x14ac:dyDescent="0.3">
      <c r="F5" s="4" t="s">
        <v>30</v>
      </c>
      <c r="G5" s="17" t="s">
        <v>160</v>
      </c>
      <c r="I5" s="13" t="str">
        <f ca="1">'TC15-BU PO'!B2</f>
        <v>pEAs05-2311001</v>
      </c>
      <c r="J5" t="s">
        <v>36</v>
      </c>
      <c r="K5" s="13">
        <v>5</v>
      </c>
      <c r="L5" s="13">
        <v>10</v>
      </c>
      <c r="M5" s="19">
        <v>1000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0</v>
      </c>
      <c r="U5" s="13" t="s">
        <v>156</v>
      </c>
      <c r="V5" s="19">
        <v>1000</v>
      </c>
      <c r="W5" s="13" t="s">
        <v>156</v>
      </c>
      <c r="X5" s="13">
        <v>0</v>
      </c>
      <c r="Y5" s="19">
        <v>1000</v>
      </c>
    </row>
    <row r="6" spans="1:25" x14ac:dyDescent="0.3">
      <c r="F6" s="4" t="s">
        <v>31</v>
      </c>
      <c r="G6" s="17" t="s">
        <v>161</v>
      </c>
      <c r="I6" s="13" t="str">
        <f ca="1">'TC15-BU PO'!B2</f>
        <v>pEAs05-2311001</v>
      </c>
      <c r="J6" t="s">
        <v>36</v>
      </c>
      <c r="K6" s="13">
        <v>10</v>
      </c>
      <c r="L6" s="13">
        <v>10</v>
      </c>
      <c r="M6" s="19">
        <v>1000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9">
        <v>500</v>
      </c>
      <c r="U6" s="13" t="s">
        <v>156</v>
      </c>
      <c r="V6" s="13">
        <v>500</v>
      </c>
      <c r="W6" s="13" t="s">
        <v>156</v>
      </c>
      <c r="X6" s="13">
        <v>500</v>
      </c>
      <c r="Y6" s="13">
        <v>500</v>
      </c>
    </row>
    <row r="7" spans="1:25" x14ac:dyDescent="0.3">
      <c r="F7" s="4" t="s">
        <v>32</v>
      </c>
      <c r="G7" s="17" t="s">
        <v>162</v>
      </c>
      <c r="I7" s="13" t="str">
        <f ca="1">'TC15-BU PO'!B2</f>
        <v>pEAs05-2311001</v>
      </c>
      <c r="J7" t="s">
        <v>36</v>
      </c>
      <c r="K7" s="13">
        <v>10</v>
      </c>
      <c r="L7" s="13">
        <v>10</v>
      </c>
      <c r="M7" s="19">
        <v>1000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9">
        <v>1000</v>
      </c>
      <c r="U7" s="13" t="s">
        <v>156</v>
      </c>
      <c r="V7" s="19">
        <v>0</v>
      </c>
      <c r="W7" s="13" t="s">
        <v>156</v>
      </c>
      <c r="X7" s="19">
        <v>1000</v>
      </c>
      <c r="Y7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L5"/>
  <sheetViews>
    <sheetView zoomScale="90" zoomScaleNormal="90" workbookViewId="0">
      <selection activeCell="L1" sqref="L1"/>
    </sheetView>
  </sheetViews>
  <sheetFormatPr defaultRowHeight="13.8" x14ac:dyDescent="0.3"/>
  <cols>
    <col min="1" max="1" width="15.77734375" style="45" customWidth="1" collapsed="1"/>
    <col min="2" max="4" width="25.77734375" style="45" customWidth="1" collapsed="1"/>
    <col min="5" max="16" width="15.77734375" style="45" customWidth="1" collapsed="1"/>
    <col min="17" max="16384" width="8.88671875" style="45" collapsed="1"/>
  </cols>
  <sheetData>
    <row r="1" spans="1:12" x14ac:dyDescent="0.3">
      <c r="A1" s="45" t="s">
        <v>375</v>
      </c>
      <c r="B1" s="45" t="s">
        <v>392</v>
      </c>
      <c r="C1" s="45" t="s">
        <v>26</v>
      </c>
      <c r="D1" s="45" t="s">
        <v>393</v>
      </c>
      <c r="E1" s="45" t="s">
        <v>398</v>
      </c>
      <c r="F1" s="45" t="s">
        <v>399</v>
      </c>
      <c r="G1" s="45" t="s">
        <v>400</v>
      </c>
      <c r="H1" s="45" t="s">
        <v>288</v>
      </c>
      <c r="I1" s="45" t="s">
        <v>413</v>
      </c>
      <c r="J1" s="45" t="s">
        <v>414</v>
      </c>
      <c r="K1" s="45" t="s">
        <v>412</v>
      </c>
      <c r="L1" s="45" t="s">
        <v>56</v>
      </c>
    </row>
    <row r="2" spans="1:12" x14ac:dyDescent="0.3">
      <c r="A2" s="45" t="s">
        <v>376</v>
      </c>
      <c r="B2" s="45" t="s">
        <v>179</v>
      </c>
      <c r="C2" s="46" t="s">
        <v>210</v>
      </c>
      <c r="D2" s="46" t="s">
        <v>394</v>
      </c>
      <c r="E2" s="46" t="s">
        <v>401</v>
      </c>
      <c r="F2" s="46" t="s">
        <v>183</v>
      </c>
      <c r="G2" s="46" t="s">
        <v>402</v>
      </c>
      <c r="H2" s="45" t="s">
        <v>212</v>
      </c>
      <c r="I2" s="45" t="s">
        <v>409</v>
      </c>
      <c r="L2" s="45" t="s">
        <v>78</v>
      </c>
    </row>
    <row r="3" spans="1:12" x14ac:dyDescent="0.3">
      <c r="A3" s="45" t="s">
        <v>376</v>
      </c>
      <c r="B3" s="45" t="s">
        <v>180</v>
      </c>
      <c r="C3" s="46" t="s">
        <v>28</v>
      </c>
      <c r="D3" s="46" t="s">
        <v>395</v>
      </c>
      <c r="E3" s="46" t="s">
        <v>403</v>
      </c>
      <c r="F3" s="46" t="s">
        <v>184</v>
      </c>
      <c r="G3" s="46" t="s">
        <v>404</v>
      </c>
      <c r="H3" s="45" t="s">
        <v>213</v>
      </c>
      <c r="I3" s="45" t="s">
        <v>409</v>
      </c>
      <c r="L3" s="45" t="s">
        <v>78</v>
      </c>
    </row>
    <row r="4" spans="1:12" x14ac:dyDescent="0.3">
      <c r="A4" s="45" t="s">
        <v>376</v>
      </c>
      <c r="B4" s="45" t="s">
        <v>181</v>
      </c>
      <c r="C4" s="46" t="s">
        <v>29</v>
      </c>
      <c r="D4" s="46" t="s">
        <v>396</v>
      </c>
      <c r="E4" s="46" t="s">
        <v>405</v>
      </c>
      <c r="F4" s="46" t="s">
        <v>185</v>
      </c>
      <c r="G4" s="46" t="s">
        <v>406</v>
      </c>
      <c r="H4" s="45" t="s">
        <v>214</v>
      </c>
      <c r="I4" s="45" t="s">
        <v>410</v>
      </c>
      <c r="J4" s="45" t="s">
        <v>172</v>
      </c>
      <c r="K4" s="45" t="s">
        <v>411</v>
      </c>
      <c r="L4" s="45" t="s">
        <v>78</v>
      </c>
    </row>
    <row r="5" spans="1:12" x14ac:dyDescent="0.3">
      <c r="A5" s="45" t="s">
        <v>376</v>
      </c>
      <c r="B5" s="45" t="s">
        <v>172</v>
      </c>
      <c r="C5" s="46" t="s">
        <v>30</v>
      </c>
      <c r="D5" s="46" t="s">
        <v>397</v>
      </c>
      <c r="E5" s="46" t="s">
        <v>407</v>
      </c>
      <c r="F5" s="46" t="s">
        <v>186</v>
      </c>
      <c r="G5" s="46" t="s">
        <v>408</v>
      </c>
      <c r="H5" s="45" t="s">
        <v>289</v>
      </c>
      <c r="I5" s="45" t="s">
        <v>410</v>
      </c>
      <c r="J5" s="45" t="s">
        <v>181</v>
      </c>
      <c r="K5" s="45" t="s">
        <v>411</v>
      </c>
      <c r="L5" s="45" t="s">
        <v>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546E-02AD-440B-A3C9-375D7B113BFE}">
  <dimension ref="A1:V7"/>
  <sheetViews>
    <sheetView topLeftCell="F1" workbookViewId="0">
      <selection activeCell="F2" sqref="F2:F7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2" s="1" customFormat="1" ht="43.2" x14ac:dyDescent="0.3">
      <c r="A1" s="20" t="s">
        <v>132</v>
      </c>
      <c r="B1" s="20" t="s">
        <v>133</v>
      </c>
      <c r="C1" s="20" t="s">
        <v>134</v>
      </c>
      <c r="D1" s="20" t="s">
        <v>135</v>
      </c>
      <c r="E1" s="20" t="s">
        <v>136</v>
      </c>
      <c r="F1" s="20" t="s">
        <v>137</v>
      </c>
      <c r="G1" s="20" t="s">
        <v>138</v>
      </c>
      <c r="H1" s="20" t="s">
        <v>139</v>
      </c>
      <c r="I1" s="20" t="s">
        <v>140</v>
      </c>
      <c r="J1" s="20" t="s">
        <v>141</v>
      </c>
      <c r="K1" s="20" t="s">
        <v>142</v>
      </c>
      <c r="L1" s="20" t="s">
        <v>143</v>
      </c>
      <c r="M1" s="20" t="s">
        <v>144</v>
      </c>
      <c r="N1" s="20" t="s">
        <v>145</v>
      </c>
      <c r="O1" s="20" t="s">
        <v>10</v>
      </c>
      <c r="P1" s="20" t="s">
        <v>146</v>
      </c>
      <c r="Q1" s="20" t="s">
        <v>147</v>
      </c>
      <c r="R1" s="20" t="s">
        <v>148</v>
      </c>
      <c r="S1" s="20" t="s">
        <v>149</v>
      </c>
      <c r="T1" s="20" t="s">
        <v>150</v>
      </c>
      <c r="U1" s="20" t="s">
        <v>151</v>
      </c>
      <c r="V1" s="20" t="s">
        <v>154</v>
      </c>
    </row>
    <row r="2" spans="1:22" x14ac:dyDescent="0.3">
      <c r="A2" s="13" t="str">
        <f ca="1">'TC16-Supplier SO'!C2</f>
        <v>sEAs05-2311002</v>
      </c>
      <c r="B2" s="13" t="s">
        <v>164</v>
      </c>
      <c r="F2" s="4" t="s">
        <v>27</v>
      </c>
      <c r="G2" s="17" t="s">
        <v>157</v>
      </c>
      <c r="I2" s="13" t="str">
        <f ca="1">'TC15-BU PO'!C2</f>
        <v>pEAs05-2311002</v>
      </c>
      <c r="J2" t="s">
        <v>36</v>
      </c>
      <c r="K2" s="13">
        <v>5</v>
      </c>
      <c r="L2" s="13">
        <v>10</v>
      </c>
      <c r="M2" s="13">
        <v>100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100</v>
      </c>
      <c r="U2" s="13" t="s">
        <v>156</v>
      </c>
      <c r="V2" s="13">
        <v>100</v>
      </c>
    </row>
    <row r="3" spans="1:22" x14ac:dyDescent="0.3">
      <c r="F3" s="4" t="s">
        <v>28</v>
      </c>
      <c r="G3" s="17" t="s">
        <v>158</v>
      </c>
      <c r="I3" s="13" t="str">
        <f ca="1">'TC15-BU PO'!C2</f>
        <v>pEAs05-2311002</v>
      </c>
      <c r="J3" t="s">
        <v>36</v>
      </c>
      <c r="K3" s="13">
        <v>5</v>
      </c>
      <c r="L3" s="13">
        <v>10</v>
      </c>
      <c r="M3" s="13">
        <v>100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100</v>
      </c>
      <c r="U3" s="13" t="s">
        <v>156</v>
      </c>
      <c r="V3" s="13">
        <v>100</v>
      </c>
    </row>
    <row r="4" spans="1:22" x14ac:dyDescent="0.3">
      <c r="F4" s="4" t="s">
        <v>29</v>
      </c>
      <c r="G4" s="17" t="s">
        <v>159</v>
      </c>
      <c r="I4" s="13" t="str">
        <f ca="1">'TC15-BU PO'!C2</f>
        <v>pEAs05-2311002</v>
      </c>
      <c r="J4" t="s">
        <v>36</v>
      </c>
      <c r="K4" s="13">
        <v>5</v>
      </c>
      <c r="L4" s="13">
        <v>10</v>
      </c>
      <c r="M4" s="13">
        <v>100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100</v>
      </c>
      <c r="U4" s="13" t="s">
        <v>156</v>
      </c>
      <c r="V4" s="13">
        <v>100</v>
      </c>
    </row>
    <row r="5" spans="1:22" x14ac:dyDescent="0.3">
      <c r="F5" s="4" t="s">
        <v>30</v>
      </c>
      <c r="G5" s="17" t="s">
        <v>160</v>
      </c>
      <c r="I5" s="13" t="str">
        <f ca="1">'TC15-BU PO'!C2</f>
        <v>pEAs05-2311002</v>
      </c>
      <c r="J5" t="s">
        <v>36</v>
      </c>
      <c r="K5" s="13">
        <v>5</v>
      </c>
      <c r="L5" s="13">
        <v>10</v>
      </c>
      <c r="M5" s="13">
        <v>100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100</v>
      </c>
      <c r="U5" s="13" t="s">
        <v>156</v>
      </c>
      <c r="V5" s="13">
        <v>100</v>
      </c>
    </row>
    <row r="6" spans="1:22" x14ac:dyDescent="0.3">
      <c r="F6" s="4" t="s">
        <v>31</v>
      </c>
      <c r="G6" s="17" t="s">
        <v>161</v>
      </c>
      <c r="I6" s="13" t="str">
        <f ca="1">'TC15-BU PO'!C2</f>
        <v>pEAs05-2311002</v>
      </c>
      <c r="J6" t="s">
        <v>36</v>
      </c>
      <c r="K6" s="13">
        <v>10</v>
      </c>
      <c r="L6" s="13">
        <v>10</v>
      </c>
      <c r="M6" s="13">
        <v>100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3">
        <v>100</v>
      </c>
      <c r="U6" s="13" t="s">
        <v>156</v>
      </c>
      <c r="V6" s="13">
        <v>100</v>
      </c>
    </row>
    <row r="7" spans="1:22" x14ac:dyDescent="0.3">
      <c r="F7" s="4" t="s">
        <v>32</v>
      </c>
      <c r="G7" s="17" t="s">
        <v>162</v>
      </c>
      <c r="I7" s="13" t="str">
        <f ca="1">'TC15-BU PO'!C2</f>
        <v>pEAs05-2311002</v>
      </c>
      <c r="J7" t="s">
        <v>36</v>
      </c>
      <c r="K7" s="13">
        <v>10</v>
      </c>
      <c r="L7" s="13">
        <v>10</v>
      </c>
      <c r="M7" s="13">
        <v>100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3">
        <v>100</v>
      </c>
      <c r="U7" s="13" t="s">
        <v>156</v>
      </c>
      <c r="V7" s="13"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E7"/>
  <sheetViews>
    <sheetView workbookViewId="0">
      <selection activeCell="G29" sqref="G29"/>
    </sheetView>
  </sheetViews>
  <sheetFormatPr defaultRowHeight="14.4" x14ac:dyDescent="0.3"/>
  <cols>
    <col min="1" max="1" width="6.5546875" customWidth="1" collapsed="1"/>
    <col min="2" max="2" width="26.33203125" customWidth="1" collapsed="1"/>
    <col min="3" max="3" width="15.77734375" customWidth="1" collapsed="1"/>
    <col min="4" max="4" width="24.77734375" customWidth="1" collapsed="1"/>
  </cols>
  <sheetData>
    <row r="1" spans="1:5" x14ac:dyDescent="0.3">
      <c r="A1" t="s">
        <v>0</v>
      </c>
      <c r="B1" t="s">
        <v>26</v>
      </c>
      <c r="C1" t="s">
        <v>167</v>
      </c>
      <c r="D1" s="1" t="s">
        <v>168</v>
      </c>
    </row>
    <row r="2" spans="1:5" x14ac:dyDescent="0.3">
      <c r="A2">
        <v>1</v>
      </c>
      <c r="B2" s="4" t="s">
        <v>27</v>
      </c>
      <c r="C2" s="21">
        <v>1000</v>
      </c>
      <c r="D2" s="1" t="str">
        <f ca="1">"rc"&amp;AutoIncrement!B2&amp;AutoIncrement!A2&amp;"-23"&amp;TEXT(TODAY(),"mm")&amp;"001-01"</f>
        <v>rcEA05-2311001-01</v>
      </c>
      <c r="E2" t="s">
        <v>374</v>
      </c>
    </row>
    <row r="3" spans="1:5" x14ac:dyDescent="0.3">
      <c r="A3">
        <v>2</v>
      </c>
      <c r="B3" s="4" t="s">
        <v>28</v>
      </c>
      <c r="C3" s="21">
        <v>1000</v>
      </c>
    </row>
    <row r="4" spans="1:5" x14ac:dyDescent="0.3">
      <c r="A4">
        <v>3</v>
      </c>
      <c r="B4" s="4" t="s">
        <v>29</v>
      </c>
      <c r="C4" s="21">
        <v>1000</v>
      </c>
    </row>
    <row r="5" spans="1:5" x14ac:dyDescent="0.3">
      <c r="A5">
        <v>4</v>
      </c>
      <c r="B5" s="4" t="s">
        <v>30</v>
      </c>
      <c r="C5" s="21">
        <v>800</v>
      </c>
      <c r="D5" s="1"/>
    </row>
    <row r="6" spans="1:5" x14ac:dyDescent="0.3">
      <c r="A6">
        <v>5</v>
      </c>
      <c r="B6" s="4" t="s">
        <v>31</v>
      </c>
      <c r="C6" s="21">
        <v>800</v>
      </c>
    </row>
    <row r="7" spans="1:5" x14ac:dyDescent="0.3">
      <c r="A7">
        <v>6</v>
      </c>
      <c r="B7" s="4" t="s">
        <v>32</v>
      </c>
      <c r="C7" s="21">
        <v>1000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L3"/>
  <sheetViews>
    <sheetView workbookViewId="0">
      <selection activeCell="C1" sqref="C1:L1048576"/>
    </sheetView>
  </sheetViews>
  <sheetFormatPr defaultRowHeight="14.4" x14ac:dyDescent="0.3"/>
  <cols>
    <col min="1" max="1" width="15.77734375" customWidth="1" collapsed="1"/>
    <col min="2" max="2" width="20.44140625" bestFit="1" customWidth="1" collapsed="1"/>
    <col min="3" max="5" width="15.77734375" customWidth="1" collapsed="1"/>
    <col min="6" max="6" width="22.21875" customWidth="1" collapsed="1"/>
    <col min="7" max="12" width="15.77734375" customWidth="1" collapsed="1"/>
  </cols>
  <sheetData>
    <row r="1" spans="1:12" x14ac:dyDescent="0.3">
      <c r="A1" s="1" t="s">
        <v>169</v>
      </c>
      <c r="B1" t="s">
        <v>174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B2" t="s">
        <v>44</v>
      </c>
      <c r="D2" t="s">
        <v>83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B3" t="s">
        <v>45</v>
      </c>
      <c r="D3" t="s">
        <v>83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L3"/>
  <sheetViews>
    <sheetView workbookViewId="0">
      <selection activeCell="C1" sqref="C1:L1048576"/>
    </sheetView>
  </sheetViews>
  <sheetFormatPr defaultRowHeight="14.4" x14ac:dyDescent="0.3"/>
  <cols>
    <col min="1" max="1" width="22.33203125" customWidth="1" collapsed="1"/>
    <col min="2" max="2" width="26.44140625" customWidth="1" collapsed="1"/>
    <col min="3" max="5" width="15.77734375" customWidth="1" collapsed="1"/>
    <col min="6" max="6" width="22.21875" customWidth="1" collapsed="1"/>
    <col min="7" max="12" width="15.77734375" customWidth="1" collapsed="1"/>
  </cols>
  <sheetData>
    <row r="1" spans="1:12" x14ac:dyDescent="0.3">
      <c r="A1" t="s">
        <v>169</v>
      </c>
      <c r="B1" t="s">
        <v>170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A2" t="s">
        <v>30</v>
      </c>
      <c r="B2" t="s">
        <v>172</v>
      </c>
      <c r="C2" t="s">
        <v>186</v>
      </c>
      <c r="D2" t="s">
        <v>83</v>
      </c>
      <c r="F2" t="s">
        <v>29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A3" t="s">
        <v>171</v>
      </c>
      <c r="B3" t="s">
        <v>173</v>
      </c>
      <c r="C3" t="s">
        <v>187</v>
      </c>
      <c r="D3" t="s">
        <v>83</v>
      </c>
      <c r="F3" t="s">
        <v>287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K3"/>
  <sheetViews>
    <sheetView workbookViewId="0">
      <selection activeCell="F23" sqref="F23"/>
    </sheetView>
  </sheetViews>
  <sheetFormatPr defaultRowHeight="14.4" x14ac:dyDescent="0.3"/>
  <cols>
    <col min="1" max="2" width="20.77734375" customWidth="1" collapsed="1"/>
    <col min="3" max="4" width="15.77734375" customWidth="1" collapsed="1"/>
    <col min="5" max="5" width="22.21875" customWidth="1" collapsed="1"/>
    <col min="6" max="11" width="15.77734375" customWidth="1" collapsed="1"/>
  </cols>
  <sheetData>
    <row r="1" spans="1:11" x14ac:dyDescent="0.3">
      <c r="A1" s="1" t="s">
        <v>169</v>
      </c>
      <c r="B1" t="s">
        <v>174</v>
      </c>
      <c r="C1" t="s">
        <v>463</v>
      </c>
      <c r="D1" t="s">
        <v>465</v>
      </c>
      <c r="E1" t="s">
        <v>466</v>
      </c>
      <c r="F1" t="s">
        <v>288</v>
      </c>
      <c r="G1" t="s">
        <v>142</v>
      </c>
      <c r="H1" t="s">
        <v>467</v>
      </c>
      <c r="I1" t="s">
        <v>468</v>
      </c>
      <c r="J1" t="s">
        <v>469</v>
      </c>
      <c r="K1" t="s">
        <v>470</v>
      </c>
    </row>
    <row r="2" spans="1:11" x14ac:dyDescent="0.3">
      <c r="A2" t="s">
        <v>30</v>
      </c>
      <c r="B2" t="s">
        <v>160</v>
      </c>
      <c r="F2" t="s">
        <v>289</v>
      </c>
      <c r="G2">
        <v>5</v>
      </c>
      <c r="H2">
        <v>10</v>
      </c>
      <c r="I2" s="55">
        <v>1000</v>
      </c>
      <c r="J2" s="55">
        <v>1000</v>
      </c>
      <c r="K2">
        <v>800</v>
      </c>
    </row>
    <row r="3" spans="1:11" x14ac:dyDescent="0.3">
      <c r="A3" t="s">
        <v>171</v>
      </c>
      <c r="B3" t="s">
        <v>161</v>
      </c>
      <c r="F3" t="s">
        <v>214</v>
      </c>
      <c r="G3">
        <v>10</v>
      </c>
      <c r="H3">
        <v>10</v>
      </c>
      <c r="I3" s="55">
        <v>1000</v>
      </c>
      <c r="J3" s="55">
        <v>1000</v>
      </c>
      <c r="K3">
        <v>800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H7"/>
  <sheetViews>
    <sheetView workbookViewId="0">
      <selection activeCell="B1" sqref="B1"/>
    </sheetView>
  </sheetViews>
  <sheetFormatPr defaultRowHeight="14.4" x14ac:dyDescent="0.3"/>
  <cols>
    <col min="1" max="1" width="22.6640625" customWidth="1" collapsed="1"/>
    <col min="2" max="2" width="36.109375" customWidth="1" collapsed="1"/>
    <col min="3" max="8" width="15.77734375" customWidth="1" collapsed="1"/>
  </cols>
  <sheetData>
    <row r="1" spans="1:8" x14ac:dyDescent="0.3">
      <c r="A1" t="s">
        <v>137</v>
      </c>
      <c r="B1" t="s">
        <v>471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210</v>
      </c>
      <c r="B2" t="str">
        <f>'TC3-Req to Parts Master'!B2</f>
        <v>VN-TTVN-CUS:20230504-001</v>
      </c>
      <c r="C2" s="1" t="s">
        <v>183</v>
      </c>
      <c r="D2" s="1" t="str">
        <f ca="1">'TC14-BU SO'!B2</f>
        <v>sEA05-2311001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t="str">
        <f>'TC3-Req to Parts Master'!B3</f>
        <v>VN-TTVN-CUS:20230504-002</v>
      </c>
      <c r="C3" s="1" t="s">
        <v>184</v>
      </c>
      <c r="D3" s="1" t="str">
        <f ca="1">'TC14-BU SO'!B2</f>
        <v>sEA05-2311001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t="str">
        <f>'TC3-Req to Parts Master'!B4</f>
        <v>VN-TTVN-CUS:20230504-003</v>
      </c>
      <c r="C4" s="1" t="s">
        <v>185</v>
      </c>
      <c r="D4" s="1" t="str">
        <f ca="1">'TC14-BU SO'!B2</f>
        <v>sEA05-2311001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t="str">
        <f>'TC3-Req to Parts Master'!B5</f>
        <v>VN-TTVN-CUS:20230504-004</v>
      </c>
      <c r="C5" s="1" t="s">
        <v>186</v>
      </c>
      <c r="D5" s="1" t="str">
        <f ca="1">'TC14-BU SO'!B2</f>
        <v>sEA05-2311001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t="str">
        <f>'TC3-Req to Parts Master'!B6</f>
        <v>VN-TTVN-CUS:20230504-005</v>
      </c>
      <c r="C6" s="1" t="s">
        <v>187</v>
      </c>
      <c r="D6" s="1" t="str">
        <f ca="1">'TC14-BU SO'!B2</f>
        <v>sEA05-2311001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t="str">
        <f>'TC3-Req to Parts Master'!B7</f>
        <v>VN-TTVN-CUS:20230504-006</v>
      </c>
      <c r="C7" s="1" t="s">
        <v>188</v>
      </c>
      <c r="D7" s="1" t="str">
        <f ca="1">'TC14-BU SO'!B2</f>
        <v>sEA05-2311001</v>
      </c>
      <c r="E7" t="s">
        <v>83</v>
      </c>
      <c r="F7">
        <v>10</v>
      </c>
      <c r="G7">
        <v>10</v>
      </c>
      <c r="H7" s="22">
        <v>1000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J7"/>
  <sheetViews>
    <sheetView workbookViewId="0">
      <selection activeCell="D14" sqref="D14"/>
    </sheetView>
  </sheetViews>
  <sheetFormatPr defaultRowHeight="14.4" x14ac:dyDescent="0.3"/>
  <cols>
    <col min="1" max="10" width="15.77734375" customWidth="1" collapsed="1"/>
  </cols>
  <sheetData>
    <row r="1" spans="1:8" x14ac:dyDescent="0.3">
      <c r="A1" t="s">
        <v>137</v>
      </c>
      <c r="B1" t="s">
        <v>189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 t="s">
        <v>183</v>
      </c>
      <c r="D2" s="1" t="str">
        <f ca="1">'TC11-Customer CO'!B2</f>
        <v>cEA05-2311001</v>
      </c>
      <c r="E2" t="s">
        <v>36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 t="s">
        <v>184</v>
      </c>
      <c r="D3" s="1" t="str">
        <f ca="1">'TC11-Customer CO'!B2</f>
        <v>cEA05-2311001</v>
      </c>
      <c r="E3" t="s">
        <v>36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 t="s">
        <v>185</v>
      </c>
      <c r="D4" s="1" t="str">
        <f ca="1">'TC11-Customer CO'!B2</f>
        <v>cEA05-2311001</v>
      </c>
      <c r="E4" t="s">
        <v>36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 t="s">
        <v>186</v>
      </c>
      <c r="D5" s="1" t="str">
        <f ca="1">'TC11-Customer CO'!B2</f>
        <v>cEA05-2311001</v>
      </c>
      <c r="E5" t="s">
        <v>36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 t="s">
        <v>187</v>
      </c>
      <c r="D6" s="1" t="str">
        <f ca="1">'TC11-Customer CO'!B2</f>
        <v>cEA05-2311001</v>
      </c>
      <c r="E6" t="s">
        <v>36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 t="s">
        <v>188</v>
      </c>
      <c r="D7" s="1" t="str">
        <f ca="1">'TC11-Customer CO'!B2</f>
        <v>cEA05-2311001</v>
      </c>
      <c r="E7" t="s">
        <v>36</v>
      </c>
      <c r="F7">
        <v>10</v>
      </c>
      <c r="G7">
        <v>10</v>
      </c>
      <c r="H7" s="22">
        <v>1000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J7"/>
  <sheetViews>
    <sheetView workbookViewId="0">
      <selection activeCell="H12" sqref="H12"/>
    </sheetView>
  </sheetViews>
  <sheetFormatPr defaultRowHeight="14.4" x14ac:dyDescent="0.3"/>
  <cols>
    <col min="1" max="10" width="15.77734375" customWidth="1" collapsed="1"/>
  </cols>
  <sheetData>
    <row r="1" spans="1:8" x14ac:dyDescent="0.3">
      <c r="A1" t="s">
        <v>137</v>
      </c>
      <c r="B1" t="s">
        <v>190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/>
      <c r="D2" s="1" t="str">
        <f ca="1">'TC14-BU SO'!B2</f>
        <v>sEA05-2311001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/>
      <c r="D3" s="1" t="str">
        <f ca="1">'TC14-BU SO'!B2</f>
        <v>sEA05-2311001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/>
      <c r="D4" s="1" t="str">
        <f ca="1">'TC14-BU SO'!B2</f>
        <v>sEA05-2311001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/>
      <c r="D5" s="1" t="str">
        <f ca="1">'TC14-BU SO'!B2</f>
        <v>sEA05-2311001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/>
      <c r="D6" s="1" t="str">
        <f ca="1">'TC14-BU SO'!B2</f>
        <v>sEA05-2311001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/>
      <c r="D7" s="1" t="str">
        <f ca="1">'TC14-BU SO'!B2</f>
        <v>sEA05-2311001</v>
      </c>
      <c r="E7" t="s">
        <v>83</v>
      </c>
      <c r="F7">
        <v>10</v>
      </c>
      <c r="G7">
        <v>10</v>
      </c>
      <c r="H7" s="22">
        <v>1000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>
      <selection activeCell="G19" sqref="G19"/>
    </sheetView>
  </sheetViews>
  <sheetFormatPr defaultRowHeight="14.4" x14ac:dyDescent="0.3"/>
  <cols>
    <col min="2" max="2" width="23.5546875" customWidth="1" collapsed="1"/>
    <col min="3" max="3" width="15.77734375" customWidth="1" collapsed="1"/>
    <col min="4" max="4" width="20.88671875" customWidth="1" collapsed="1"/>
    <col min="5" max="5" width="22.109375" customWidth="1" collapsed="1"/>
    <col min="6" max="7" width="25.77734375" customWidth="1" collapsed="1"/>
  </cols>
  <sheetData>
    <row r="1" spans="1:6" x14ac:dyDescent="0.3">
      <c r="A1" t="s">
        <v>0</v>
      </c>
      <c r="B1" t="s">
        <v>26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>
        <v>1</v>
      </c>
      <c r="B2" s="4" t="s">
        <v>27</v>
      </c>
      <c r="C2" s="23">
        <v>1100</v>
      </c>
      <c r="D2" s="24">
        <v>500</v>
      </c>
      <c r="E2" s="24">
        <v>500</v>
      </c>
      <c r="F2" s="25">
        <v>100</v>
      </c>
    </row>
    <row r="3" spans="1:6" x14ac:dyDescent="0.3">
      <c r="A3">
        <v>2</v>
      </c>
      <c r="B3" s="4" t="s">
        <v>28</v>
      </c>
      <c r="C3" s="23">
        <v>900</v>
      </c>
      <c r="D3" s="25">
        <v>500</v>
      </c>
      <c r="E3" s="25">
        <v>400</v>
      </c>
      <c r="F3" s="25"/>
    </row>
    <row r="4" spans="1:6" x14ac:dyDescent="0.3">
      <c r="A4">
        <v>3</v>
      </c>
      <c r="B4" s="4" t="s">
        <v>29</v>
      </c>
      <c r="C4" s="23">
        <v>1000</v>
      </c>
      <c r="D4" s="25">
        <v>500</v>
      </c>
      <c r="E4" s="25">
        <v>500</v>
      </c>
      <c r="F4" s="25"/>
    </row>
    <row r="5" spans="1:6" x14ac:dyDescent="0.3">
      <c r="A5">
        <v>4</v>
      </c>
      <c r="B5" s="4" t="s">
        <v>30</v>
      </c>
      <c r="C5" s="23">
        <v>1000</v>
      </c>
      <c r="D5" s="25">
        <v>500</v>
      </c>
      <c r="E5" s="25">
        <v>500</v>
      </c>
      <c r="F5" s="25"/>
    </row>
    <row r="6" spans="1:6" x14ac:dyDescent="0.3">
      <c r="A6">
        <v>5</v>
      </c>
      <c r="B6" s="4" t="s">
        <v>31</v>
      </c>
      <c r="C6" s="23">
        <v>1000</v>
      </c>
      <c r="D6" s="25">
        <v>1000</v>
      </c>
      <c r="E6" s="25"/>
      <c r="F6" s="25"/>
    </row>
    <row r="7" spans="1:6" x14ac:dyDescent="0.3">
      <c r="A7">
        <v>6</v>
      </c>
      <c r="B7" s="4" t="s">
        <v>32</v>
      </c>
      <c r="C7" s="23">
        <v>1000</v>
      </c>
      <c r="D7" s="25"/>
      <c r="E7" s="25">
        <v>1000</v>
      </c>
      <c r="F7" s="2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C2"/>
  <sheetViews>
    <sheetView workbookViewId="0">
      <selection activeCell="A2" sqref="A2"/>
    </sheetView>
  </sheetViews>
  <sheetFormatPr defaultRowHeight="14.4" x14ac:dyDescent="0.3"/>
  <cols>
    <col min="1" max="3" width="15.77734375" customWidth="1" collapsed="1"/>
  </cols>
  <sheetData>
    <row r="1" spans="1:3" x14ac:dyDescent="0.3">
      <c r="A1" t="s">
        <v>195</v>
      </c>
      <c r="B1" t="s">
        <v>197</v>
      </c>
      <c r="C1" t="s">
        <v>196</v>
      </c>
    </row>
    <row r="2" spans="1:3" x14ac:dyDescent="0.3">
      <c r="A2" t="str">
        <f ca="1">TEXT(DATE(YEAR(TODAY()), MONTH(TODAY())+2, DAY(TODAY())), "dd MMM yyyy")</f>
        <v>01 Jan 2024</v>
      </c>
      <c r="B2" t="str">
        <f ca="1">TEXT(DATE(YEAR(TODAY()), MONTH(TODAY())+3, DAY(TODAY())), "dd MMM yyyy")</f>
        <v>01 Feb 2024</v>
      </c>
      <c r="C2" t="str">
        <f ca="1">TEXT(DATE(YEAR(TODAY()), MONTH(TODAY())+4, DAY(TODAY())), "dd MMM yyyy")</f>
        <v>01 Mar 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4.77734375" customWidth="1" collapsed="1"/>
    <col min="2" max="2" width="25.77734375" customWidth="1" collapsed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tr">
        <f>"RequestPart-"&amp;'TC4'!H2</f>
        <v>RequestPart-EA-05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B2"/>
  <sheetViews>
    <sheetView workbookViewId="0">
      <selection activeCell="H11" sqref="H11"/>
    </sheetView>
  </sheetViews>
  <sheetFormatPr defaultRowHeight="14.4" x14ac:dyDescent="0.3"/>
  <cols>
    <col min="1" max="1" width="23.6640625" customWidth="1" collapsed="1"/>
  </cols>
  <sheetData>
    <row r="1" spans="1:2" x14ac:dyDescent="0.3">
      <c r="A1" t="s">
        <v>104</v>
      </c>
    </row>
    <row r="2" spans="1:2" x14ac:dyDescent="0.3">
      <c r="A2" t="str">
        <f ca="1">"rc"&amp;AutoIncrement!B2&amp;AutoIncrement!A2&amp;"-23"&amp;TEXT(TODAY(),"mm")&amp;"001-02"</f>
        <v>rcEA05-2311001-02</v>
      </c>
      <c r="B2" t="s">
        <v>357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S6"/>
  <sheetViews>
    <sheetView topLeftCell="C1" zoomScale="90" zoomScaleNormal="90" workbookViewId="0">
      <selection activeCell="F31" sqref="F31"/>
    </sheetView>
  </sheetViews>
  <sheetFormatPr defaultRowHeight="14.4" x14ac:dyDescent="0.3"/>
  <cols>
    <col min="1" max="1" width="22.77734375" customWidth="1" collapsed="1"/>
    <col min="2" max="2" width="28" customWidth="1" collapsed="1"/>
    <col min="3" max="5" width="15.77734375" customWidth="1" collapsed="1"/>
    <col min="6" max="6" width="22.77734375" customWidth="1" collapsed="1"/>
    <col min="7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 t="s">
        <v>30</v>
      </c>
      <c r="B4" s="26" t="s">
        <v>172</v>
      </c>
      <c r="C4" s="1" t="s">
        <v>186</v>
      </c>
      <c r="D4" t="s">
        <v>83</v>
      </c>
      <c r="F4" s="4" t="s">
        <v>29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 t="s">
        <v>31</v>
      </c>
      <c r="B5" s="26" t="s">
        <v>173</v>
      </c>
      <c r="C5" s="1" t="s">
        <v>187</v>
      </c>
      <c r="D5" t="s">
        <v>83</v>
      </c>
      <c r="F5" s="4" t="s">
        <v>32</v>
      </c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 t="s">
        <v>32</v>
      </c>
      <c r="B6" s="26" t="s">
        <v>182</v>
      </c>
      <c r="C6" s="1" t="s">
        <v>188</v>
      </c>
      <c r="D6" t="s">
        <v>83</v>
      </c>
      <c r="F6" s="4" t="s">
        <v>31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S6"/>
  <sheetViews>
    <sheetView topLeftCell="B1" zoomScale="90" zoomScaleNormal="90" workbookViewId="0">
      <selection activeCell="K17" sqref="K17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5" width="15.77734375" customWidth="1" collapsed="1"/>
    <col min="6" max="6" width="22.77734375" customWidth="1" collapsed="1"/>
    <col min="7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/>
      <c r="B2" s="17" t="s">
        <v>163</v>
      </c>
      <c r="C2" s="1"/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/>
      <c r="B3" s="17" t="s">
        <v>42</v>
      </c>
      <c r="C3" s="1"/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/>
      <c r="B4" s="17" t="s">
        <v>44</v>
      </c>
      <c r="C4" s="1"/>
      <c r="D4" t="s">
        <v>83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/>
      <c r="B5" s="17" t="s">
        <v>45</v>
      </c>
      <c r="C5" s="1"/>
      <c r="D5" t="s">
        <v>83</v>
      </c>
      <c r="F5" s="4"/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/>
      <c r="B6" s="17" t="s">
        <v>46</v>
      </c>
      <c r="C6" s="1"/>
      <c r="D6" t="s">
        <v>83</v>
      </c>
      <c r="F6" s="4"/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R6"/>
  <sheetViews>
    <sheetView topLeftCell="B1" zoomScale="90" zoomScaleNormal="90" workbookViewId="0">
      <selection activeCell="D19" sqref="D19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4" width="15.77734375" customWidth="1" collapsed="1"/>
    <col min="5" max="5" width="22.77734375" customWidth="1" collapsed="1"/>
    <col min="6" max="18" width="15.77734375" customWidth="1" collapsed="1"/>
  </cols>
  <sheetData>
    <row r="1" spans="1:18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</row>
    <row r="2" spans="1:18" x14ac:dyDescent="0.3">
      <c r="A2" s="4" t="s">
        <v>210</v>
      </c>
      <c r="B2" s="17" t="s">
        <v>157</v>
      </c>
      <c r="C2" s="1"/>
      <c r="F2" t="s">
        <v>212</v>
      </c>
      <c r="G2">
        <v>5</v>
      </c>
      <c r="H2">
        <v>10</v>
      </c>
      <c r="I2" s="27">
        <v>1000</v>
      </c>
      <c r="J2" s="27">
        <v>1100</v>
      </c>
      <c r="L2" t="s">
        <v>215</v>
      </c>
      <c r="N2" s="27">
        <v>500</v>
      </c>
      <c r="O2" s="27">
        <v>500</v>
      </c>
      <c r="P2" s="27">
        <v>500</v>
      </c>
      <c r="Q2" s="27">
        <v>500</v>
      </c>
      <c r="R2" s="27">
        <v>100</v>
      </c>
    </row>
    <row r="3" spans="1:18" x14ac:dyDescent="0.3">
      <c r="A3" s="4" t="s">
        <v>28</v>
      </c>
      <c r="B3" s="17" t="s">
        <v>158</v>
      </c>
      <c r="C3" s="1"/>
      <c r="F3" t="s">
        <v>213</v>
      </c>
      <c r="G3">
        <v>5</v>
      </c>
      <c r="H3">
        <v>10</v>
      </c>
      <c r="I3" s="27">
        <v>1000</v>
      </c>
      <c r="J3" s="27">
        <v>900</v>
      </c>
      <c r="L3" t="s">
        <v>215</v>
      </c>
      <c r="N3" s="27">
        <v>500</v>
      </c>
      <c r="O3" s="27">
        <v>500</v>
      </c>
      <c r="P3" s="27">
        <v>500</v>
      </c>
      <c r="Q3" s="27">
        <v>400</v>
      </c>
    </row>
    <row r="4" spans="1:18" x14ac:dyDescent="0.3">
      <c r="A4" s="4" t="s">
        <v>30</v>
      </c>
      <c r="B4" s="17" t="s">
        <v>160</v>
      </c>
      <c r="C4" s="1"/>
      <c r="F4" t="s">
        <v>289</v>
      </c>
      <c r="G4">
        <v>5</v>
      </c>
      <c r="H4">
        <v>10</v>
      </c>
      <c r="I4" s="27">
        <v>1000</v>
      </c>
      <c r="J4" s="27">
        <v>1000</v>
      </c>
      <c r="L4" t="s">
        <v>215</v>
      </c>
      <c r="O4" s="27">
        <v>1000</v>
      </c>
      <c r="P4" s="27">
        <v>500</v>
      </c>
      <c r="Q4" s="27">
        <v>500</v>
      </c>
    </row>
    <row r="5" spans="1:18" x14ac:dyDescent="0.3">
      <c r="A5" s="4" t="s">
        <v>31</v>
      </c>
      <c r="B5" s="17" t="s">
        <v>161</v>
      </c>
      <c r="C5" s="1"/>
      <c r="E5" s="4"/>
      <c r="F5" t="s">
        <v>214</v>
      </c>
      <c r="G5">
        <v>10</v>
      </c>
      <c r="H5">
        <v>10</v>
      </c>
      <c r="I5" s="27">
        <v>1000</v>
      </c>
      <c r="J5" s="27">
        <v>1000</v>
      </c>
      <c r="L5" t="s">
        <v>215</v>
      </c>
      <c r="N5" s="27">
        <v>500</v>
      </c>
      <c r="O5" s="27">
        <v>500</v>
      </c>
      <c r="P5" s="27">
        <v>1000</v>
      </c>
    </row>
    <row r="6" spans="1:18" x14ac:dyDescent="0.3">
      <c r="A6" s="4" t="s">
        <v>32</v>
      </c>
      <c r="B6" s="17" t="s">
        <v>162</v>
      </c>
      <c r="C6" s="1"/>
      <c r="E6" s="4"/>
      <c r="F6" t="s">
        <v>214</v>
      </c>
      <c r="G6">
        <v>10</v>
      </c>
      <c r="H6">
        <v>10</v>
      </c>
      <c r="I6" s="27">
        <v>1000</v>
      </c>
      <c r="J6" s="27">
        <v>1000</v>
      </c>
      <c r="L6" t="s">
        <v>215</v>
      </c>
      <c r="N6" s="27">
        <v>1000</v>
      </c>
      <c r="P6" s="27"/>
      <c r="Q6" s="27">
        <v>1000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S7"/>
  <sheetViews>
    <sheetView topLeftCell="G1" zoomScale="80" zoomScaleNormal="80" workbookViewId="0">
      <selection activeCell="W18" sqref="W18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3" width="15.77734375" customWidth="1" collapsed="1"/>
    <col min="4" max="4" width="26.44140625" customWidth="1" collapsed="1"/>
    <col min="5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217</v>
      </c>
      <c r="E1" t="s">
        <v>177</v>
      </c>
      <c r="F1" t="s">
        <v>142</v>
      </c>
      <c r="G1" t="s">
        <v>143</v>
      </c>
      <c r="H1" t="s">
        <v>218</v>
      </c>
      <c r="I1" t="s">
        <v>219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</row>
    <row r="2" spans="1:19" x14ac:dyDescent="0.3">
      <c r="A2" s="4" t="s">
        <v>210</v>
      </c>
      <c r="B2" s="26" t="s">
        <v>179</v>
      </c>
      <c r="C2" s="1" t="s">
        <v>183</v>
      </c>
      <c r="D2" t="str">
        <f ca="1">'TC14-BU SO'!B2</f>
        <v>sEA05-2311001</v>
      </c>
      <c r="E2" t="s">
        <v>83</v>
      </c>
      <c r="F2">
        <v>5</v>
      </c>
      <c r="G2">
        <v>10</v>
      </c>
      <c r="H2" s="27">
        <v>1100</v>
      </c>
      <c r="I2">
        <v>0</v>
      </c>
      <c r="J2">
        <v>10.5</v>
      </c>
      <c r="K2" t="s">
        <v>22</v>
      </c>
      <c r="L2" t="s">
        <v>221</v>
      </c>
      <c r="M2">
        <v>0</v>
      </c>
      <c r="N2" s="27">
        <v>500</v>
      </c>
      <c r="O2" s="27" t="s">
        <v>156</v>
      </c>
      <c r="P2" s="27">
        <v>500</v>
      </c>
      <c r="Q2" s="27" t="s">
        <v>156</v>
      </c>
      <c r="R2" s="27">
        <v>100</v>
      </c>
      <c r="S2" s="27" t="s">
        <v>156</v>
      </c>
    </row>
    <row r="3" spans="1:19" x14ac:dyDescent="0.3">
      <c r="A3" s="4" t="s">
        <v>28</v>
      </c>
      <c r="B3" s="26" t="s">
        <v>180</v>
      </c>
      <c r="C3" s="1" t="s">
        <v>184</v>
      </c>
      <c r="D3" t="str">
        <f ca="1">'TC14-BU SO'!B2</f>
        <v>sEA05-2311001</v>
      </c>
      <c r="E3" t="s">
        <v>83</v>
      </c>
      <c r="F3">
        <v>5</v>
      </c>
      <c r="G3">
        <v>10</v>
      </c>
      <c r="H3" s="27">
        <v>900</v>
      </c>
      <c r="I3">
        <v>0</v>
      </c>
      <c r="J3">
        <v>10.5</v>
      </c>
      <c r="K3" t="s">
        <v>22</v>
      </c>
      <c r="L3" t="s">
        <v>221</v>
      </c>
      <c r="M3">
        <v>0</v>
      </c>
      <c r="N3" s="27">
        <v>500</v>
      </c>
      <c r="O3" s="27" t="s">
        <v>156</v>
      </c>
      <c r="P3" s="27">
        <v>400</v>
      </c>
      <c r="Q3" s="27" t="s">
        <v>156</v>
      </c>
      <c r="R3" s="28">
        <v>0</v>
      </c>
      <c r="S3" s="27" t="s">
        <v>156</v>
      </c>
    </row>
    <row r="4" spans="1:19" x14ac:dyDescent="0.3">
      <c r="A4" s="4" t="s">
        <v>29</v>
      </c>
      <c r="B4" s="26" t="s">
        <v>181</v>
      </c>
      <c r="C4" s="1" t="s">
        <v>185</v>
      </c>
      <c r="D4" t="str">
        <f ca="1">'TC14-BU SO'!B2</f>
        <v>sEA05-2311001</v>
      </c>
      <c r="E4" t="s">
        <v>83</v>
      </c>
      <c r="F4">
        <v>5</v>
      </c>
      <c r="G4">
        <v>10</v>
      </c>
      <c r="H4" s="27">
        <v>1000</v>
      </c>
      <c r="I4">
        <v>0</v>
      </c>
      <c r="J4">
        <v>10.5</v>
      </c>
      <c r="K4" t="s">
        <v>22</v>
      </c>
      <c r="L4" t="s">
        <v>221</v>
      </c>
      <c r="M4">
        <v>0</v>
      </c>
      <c r="N4" s="27">
        <v>500</v>
      </c>
      <c r="O4" s="27" t="s">
        <v>156</v>
      </c>
      <c r="P4" s="27">
        <v>500</v>
      </c>
      <c r="Q4" s="27" t="s">
        <v>156</v>
      </c>
      <c r="R4" s="28">
        <v>0</v>
      </c>
      <c r="S4" s="27" t="s">
        <v>156</v>
      </c>
    </row>
    <row r="5" spans="1:19" x14ac:dyDescent="0.3">
      <c r="A5" s="4" t="s">
        <v>30</v>
      </c>
      <c r="B5" s="26" t="s">
        <v>172</v>
      </c>
      <c r="C5" s="1" t="s">
        <v>186</v>
      </c>
      <c r="D5" t="str">
        <f ca="1">'TC14-BU SO'!B2</f>
        <v>sEA05-2311001</v>
      </c>
      <c r="E5" t="s">
        <v>83</v>
      </c>
      <c r="F5">
        <v>5</v>
      </c>
      <c r="G5">
        <v>10</v>
      </c>
      <c r="H5" s="27">
        <v>1000</v>
      </c>
      <c r="I5">
        <v>0</v>
      </c>
      <c r="J5">
        <v>10.5</v>
      </c>
      <c r="K5" t="s">
        <v>22</v>
      </c>
      <c r="L5" t="s">
        <v>221</v>
      </c>
      <c r="M5">
        <v>0</v>
      </c>
      <c r="N5" s="27">
        <v>500</v>
      </c>
      <c r="O5" s="27" t="s">
        <v>156</v>
      </c>
      <c r="P5" s="27">
        <v>500</v>
      </c>
      <c r="Q5" s="27" t="s">
        <v>156</v>
      </c>
      <c r="R5" s="28">
        <v>0</v>
      </c>
      <c r="S5" s="27" t="s">
        <v>156</v>
      </c>
    </row>
    <row r="6" spans="1:19" x14ac:dyDescent="0.3">
      <c r="A6" s="4" t="s">
        <v>31</v>
      </c>
      <c r="B6" s="26" t="s">
        <v>173</v>
      </c>
      <c r="C6" s="1" t="s">
        <v>187</v>
      </c>
      <c r="D6" t="str">
        <f ca="1">'TC14-BU SO'!B2</f>
        <v>sEA05-2311001</v>
      </c>
      <c r="E6" t="s">
        <v>83</v>
      </c>
      <c r="F6">
        <v>10</v>
      </c>
      <c r="G6">
        <v>10</v>
      </c>
      <c r="H6" s="27">
        <v>1000</v>
      </c>
      <c r="I6">
        <v>0</v>
      </c>
      <c r="J6">
        <v>10.5</v>
      </c>
      <c r="K6" t="s">
        <v>22</v>
      </c>
      <c r="L6" t="s">
        <v>221</v>
      </c>
      <c r="M6">
        <v>0</v>
      </c>
      <c r="N6" s="27">
        <v>1000</v>
      </c>
      <c r="O6" s="27" t="s">
        <v>156</v>
      </c>
      <c r="P6">
        <v>0</v>
      </c>
      <c r="Q6" s="27" t="s">
        <v>156</v>
      </c>
      <c r="R6" s="28">
        <v>0</v>
      </c>
      <c r="S6" s="27" t="s">
        <v>156</v>
      </c>
    </row>
    <row r="7" spans="1:19" x14ac:dyDescent="0.3">
      <c r="A7" s="4" t="s">
        <v>32</v>
      </c>
      <c r="B7" s="26" t="s">
        <v>182</v>
      </c>
      <c r="C7" s="1" t="s">
        <v>188</v>
      </c>
      <c r="D7" t="str">
        <f ca="1">'TC14-BU SO'!B2</f>
        <v>sEA05-2311001</v>
      </c>
      <c r="E7" t="s">
        <v>83</v>
      </c>
      <c r="F7">
        <v>10</v>
      </c>
      <c r="G7">
        <v>10</v>
      </c>
      <c r="H7" s="27">
        <v>1000</v>
      </c>
      <c r="I7">
        <v>0</v>
      </c>
      <c r="J7">
        <v>10.5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156</v>
      </c>
      <c r="R7" s="28">
        <v>0</v>
      </c>
      <c r="S7" s="27" t="s">
        <v>156</v>
      </c>
    </row>
  </sheetData>
  <phoneticPr fontId="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J1" zoomScale="80" zoomScaleNormal="80" workbookViewId="0">
      <selection activeCell="T25" sqref="T25"/>
    </sheetView>
  </sheetViews>
  <sheetFormatPr defaultRowHeight="14.4" x14ac:dyDescent="0.3"/>
  <cols>
    <col min="1" max="2" width="22.77734375" customWidth="1" collapsed="1"/>
    <col min="3" max="3" width="15.77734375" customWidth="1" collapsed="1"/>
    <col min="4" max="4" width="26.44140625" customWidth="1" collapsed="1"/>
    <col min="5" max="25" width="15.77734375" customWidth="1" collapsed="1"/>
  </cols>
  <sheetData>
    <row r="1" spans="1:24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229</v>
      </c>
      <c r="P1" t="s">
        <v>231</v>
      </c>
      <c r="Q1" t="s">
        <v>230</v>
      </c>
      <c r="R1" t="s">
        <v>232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</row>
    <row r="2" spans="1:24" x14ac:dyDescent="0.3">
      <c r="A2" s="4" t="s">
        <v>210</v>
      </c>
      <c r="B2" s="17" t="s">
        <v>163</v>
      </c>
      <c r="C2" s="1" t="s">
        <v>183</v>
      </c>
      <c r="D2" t="str">
        <f ca="1">'TC11-Customer CO'!B2</f>
        <v>cEA05-2311001</v>
      </c>
      <c r="E2" t="s">
        <v>36</v>
      </c>
      <c r="F2">
        <v>5</v>
      </c>
      <c r="G2">
        <v>10</v>
      </c>
      <c r="H2" s="27">
        <v>1100</v>
      </c>
      <c r="I2">
        <v>10.5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7">
        <v>500</v>
      </c>
      <c r="T2" s="27" t="s">
        <v>156</v>
      </c>
      <c r="U2" s="28">
        <v>0</v>
      </c>
      <c r="V2" s="27" t="s">
        <v>156</v>
      </c>
      <c r="W2" s="27">
        <v>100</v>
      </c>
      <c r="X2" s="27" t="s">
        <v>156</v>
      </c>
    </row>
    <row r="3" spans="1:24" x14ac:dyDescent="0.3">
      <c r="A3" s="4" t="s">
        <v>28</v>
      </c>
      <c r="B3" s="17" t="s">
        <v>42</v>
      </c>
      <c r="C3" s="1" t="s">
        <v>184</v>
      </c>
      <c r="D3" t="str">
        <f ca="1">'TC11-Customer CO'!B2</f>
        <v>cEA05-2311001</v>
      </c>
      <c r="E3" t="s">
        <v>36</v>
      </c>
      <c r="F3">
        <v>5</v>
      </c>
      <c r="G3">
        <v>10</v>
      </c>
      <c r="H3" s="27">
        <v>900</v>
      </c>
      <c r="I3">
        <v>10.5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7">
        <v>400</v>
      </c>
      <c r="T3" s="27" t="s">
        <v>156</v>
      </c>
      <c r="U3" s="28">
        <v>0</v>
      </c>
      <c r="V3" s="27" t="s">
        <v>156</v>
      </c>
      <c r="W3" s="28">
        <v>0</v>
      </c>
      <c r="X3" s="27" t="s">
        <v>156</v>
      </c>
    </row>
    <row r="4" spans="1:24" x14ac:dyDescent="0.3">
      <c r="A4" s="4" t="s">
        <v>29</v>
      </c>
      <c r="B4" s="17" t="s">
        <v>43</v>
      </c>
      <c r="C4" s="1" t="s">
        <v>185</v>
      </c>
      <c r="D4" t="str">
        <f ca="1">'TC11-Customer CO'!B2</f>
        <v>cEA05-2311001</v>
      </c>
      <c r="E4" t="s">
        <v>36</v>
      </c>
      <c r="F4">
        <v>5</v>
      </c>
      <c r="G4">
        <v>10</v>
      </c>
      <c r="H4" s="27">
        <v>1000</v>
      </c>
      <c r="I4">
        <v>10.5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7">
        <v>500</v>
      </c>
      <c r="T4" s="27" t="s">
        <v>156</v>
      </c>
      <c r="U4" s="28">
        <v>0</v>
      </c>
      <c r="V4" s="27" t="s">
        <v>156</v>
      </c>
      <c r="W4" s="28">
        <v>0</v>
      </c>
      <c r="X4" s="27" t="s">
        <v>156</v>
      </c>
    </row>
    <row r="5" spans="1:24" x14ac:dyDescent="0.3">
      <c r="A5" s="4" t="s">
        <v>30</v>
      </c>
      <c r="B5" s="17" t="s">
        <v>44</v>
      </c>
      <c r="C5" s="1" t="s">
        <v>186</v>
      </c>
      <c r="D5" t="str">
        <f ca="1">'TC11-Customer CO'!B2</f>
        <v>cEA05-2311001</v>
      </c>
      <c r="E5" t="s">
        <v>36</v>
      </c>
      <c r="F5">
        <v>5</v>
      </c>
      <c r="G5">
        <v>10</v>
      </c>
      <c r="H5" s="27">
        <v>1000</v>
      </c>
      <c r="I5">
        <v>10.5</v>
      </c>
      <c r="J5" t="s">
        <v>22</v>
      </c>
      <c r="K5" t="s">
        <v>221</v>
      </c>
      <c r="L5">
        <v>0</v>
      </c>
      <c r="M5">
        <v>0</v>
      </c>
      <c r="N5">
        <v>0</v>
      </c>
      <c r="O5">
        <v>0</v>
      </c>
      <c r="P5" s="27" t="s">
        <v>156</v>
      </c>
      <c r="Q5" s="27">
        <v>500</v>
      </c>
      <c r="R5" s="27" t="s">
        <v>156</v>
      </c>
      <c r="S5" s="27">
        <v>500</v>
      </c>
      <c r="T5" s="27" t="s">
        <v>156</v>
      </c>
      <c r="U5" s="28">
        <v>0</v>
      </c>
      <c r="V5" s="27" t="s">
        <v>156</v>
      </c>
      <c r="W5" s="28">
        <v>0</v>
      </c>
      <c r="X5" s="27" t="s">
        <v>156</v>
      </c>
    </row>
    <row r="6" spans="1:24" x14ac:dyDescent="0.3">
      <c r="A6" s="4" t="s">
        <v>31</v>
      </c>
      <c r="B6" s="17" t="s">
        <v>45</v>
      </c>
      <c r="C6" s="1" t="s">
        <v>187</v>
      </c>
      <c r="D6" t="str">
        <f ca="1">'TC11-Customer CO'!B2</f>
        <v>cEA05-2311001</v>
      </c>
      <c r="E6" t="s">
        <v>36</v>
      </c>
      <c r="F6">
        <v>10</v>
      </c>
      <c r="G6">
        <v>10</v>
      </c>
      <c r="H6" s="27">
        <v>1000</v>
      </c>
      <c r="I6">
        <v>10.5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 s="28">
        <v>0</v>
      </c>
      <c r="V6" s="27" t="s">
        <v>156</v>
      </c>
      <c r="W6" s="28">
        <v>0</v>
      </c>
      <c r="X6" s="27" t="s">
        <v>156</v>
      </c>
    </row>
    <row r="7" spans="1:24" x14ac:dyDescent="0.3">
      <c r="A7" s="4" t="s">
        <v>32</v>
      </c>
      <c r="B7" s="17" t="s">
        <v>46</v>
      </c>
      <c r="C7" s="1" t="s">
        <v>188</v>
      </c>
      <c r="D7" t="str">
        <f ca="1">'TC11-Customer CO'!B2</f>
        <v>cEA05-2311001</v>
      </c>
      <c r="E7" t="s">
        <v>36</v>
      </c>
      <c r="F7">
        <v>10</v>
      </c>
      <c r="G7">
        <v>10</v>
      </c>
      <c r="H7" s="27">
        <v>1000</v>
      </c>
      <c r="I7">
        <v>10.5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>
        <v>0</v>
      </c>
      <c r="R7" s="27" t="s">
        <v>156</v>
      </c>
      <c r="S7">
        <v>0</v>
      </c>
      <c r="T7" s="27" t="s">
        <v>156</v>
      </c>
      <c r="U7" s="27">
        <v>1000</v>
      </c>
      <c r="V7" s="27" t="s">
        <v>156</v>
      </c>
      <c r="W7" s="28">
        <v>0</v>
      </c>
      <c r="X7" s="27" t="s">
        <v>156</v>
      </c>
    </row>
  </sheetData>
  <phoneticPr fontId="9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U7"/>
  <sheetViews>
    <sheetView topLeftCell="L1" zoomScale="90" zoomScaleNormal="90" workbookViewId="0">
      <selection activeCell="R19" sqref="R19"/>
    </sheetView>
  </sheetViews>
  <sheetFormatPr defaultRowHeight="14.4" x14ac:dyDescent="0.3"/>
  <cols>
    <col min="1" max="2" width="22.77734375" customWidth="1" collapsed="1"/>
    <col min="3" max="3" width="15.77734375" customWidth="1" collapsed="1"/>
    <col min="4" max="4" width="26.44140625" customWidth="1" collapsed="1"/>
    <col min="5" max="21" width="15.77734375" customWidth="1" collapsed="1"/>
  </cols>
  <sheetData>
    <row r="1" spans="1:21" x14ac:dyDescent="0.3">
      <c r="A1" t="s">
        <v>137</v>
      </c>
      <c r="B1" t="s">
        <v>227</v>
      </c>
      <c r="C1" t="s">
        <v>139</v>
      </c>
      <c r="D1" t="s">
        <v>217</v>
      </c>
      <c r="E1" t="s">
        <v>177</v>
      </c>
      <c r="F1" t="s">
        <v>233</v>
      </c>
      <c r="G1" t="s">
        <v>142</v>
      </c>
      <c r="H1" t="s">
        <v>143</v>
      </c>
      <c r="I1" t="s">
        <v>218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  <c r="T1" t="s">
        <v>473</v>
      </c>
      <c r="U1" t="s">
        <v>474</v>
      </c>
    </row>
    <row r="2" spans="1:21" x14ac:dyDescent="0.3">
      <c r="A2" s="4" t="s">
        <v>210</v>
      </c>
      <c r="B2" s="17" t="s">
        <v>163</v>
      </c>
      <c r="C2" s="1"/>
      <c r="D2" t="str">
        <f ca="1">'TC14-BU SO'!B2</f>
        <v>sEA05-2311001</v>
      </c>
      <c r="E2" t="s">
        <v>83</v>
      </c>
      <c r="F2" t="s">
        <v>83</v>
      </c>
      <c r="G2">
        <v>5</v>
      </c>
      <c r="H2">
        <v>10</v>
      </c>
      <c r="I2" s="27">
        <v>1100</v>
      </c>
      <c r="J2">
        <v>2</v>
      </c>
      <c r="K2" t="s">
        <v>22</v>
      </c>
      <c r="L2" t="s">
        <v>221</v>
      </c>
      <c r="M2">
        <v>0</v>
      </c>
      <c r="N2" s="27">
        <v>500</v>
      </c>
      <c r="O2" s="27" t="s">
        <v>156</v>
      </c>
      <c r="P2">
        <v>0</v>
      </c>
      <c r="Q2" s="27" t="s">
        <v>156</v>
      </c>
      <c r="R2" s="28">
        <v>500</v>
      </c>
      <c r="S2" s="27" t="s">
        <v>156</v>
      </c>
      <c r="T2" s="28">
        <v>100</v>
      </c>
      <c r="U2" s="27" t="s">
        <v>156</v>
      </c>
    </row>
    <row r="3" spans="1:21" x14ac:dyDescent="0.3">
      <c r="A3" s="4" t="s">
        <v>28</v>
      </c>
      <c r="B3" s="17" t="s">
        <v>42</v>
      </c>
      <c r="C3" s="1"/>
      <c r="D3" t="str">
        <f ca="1">'TC14-BU SO'!B2</f>
        <v>sEA05-2311001</v>
      </c>
      <c r="E3" t="s">
        <v>83</v>
      </c>
      <c r="F3" t="s">
        <v>83</v>
      </c>
      <c r="G3">
        <v>5</v>
      </c>
      <c r="H3">
        <v>10</v>
      </c>
      <c r="I3" s="27">
        <v>900</v>
      </c>
      <c r="J3">
        <v>2</v>
      </c>
      <c r="K3" t="s">
        <v>22</v>
      </c>
      <c r="L3" t="s">
        <v>221</v>
      </c>
      <c r="M3">
        <v>0</v>
      </c>
      <c r="N3" s="27">
        <v>500</v>
      </c>
      <c r="O3" s="27" t="s">
        <v>156</v>
      </c>
      <c r="P3">
        <v>0</v>
      </c>
      <c r="Q3" s="27" t="s">
        <v>156</v>
      </c>
      <c r="R3" s="28">
        <v>400</v>
      </c>
      <c r="S3" s="27" t="s">
        <v>156</v>
      </c>
      <c r="T3">
        <v>0</v>
      </c>
      <c r="U3" s="27" t="s">
        <v>156</v>
      </c>
    </row>
    <row r="4" spans="1:21" x14ac:dyDescent="0.3">
      <c r="A4" s="4" t="s">
        <v>29</v>
      </c>
      <c r="B4" s="17" t="s">
        <v>43</v>
      </c>
      <c r="C4" s="1"/>
      <c r="D4" t="str">
        <f ca="1">'TC14-BU SO'!B2</f>
        <v>sEA05-2311001</v>
      </c>
      <c r="E4" t="s">
        <v>83</v>
      </c>
      <c r="F4" t="s">
        <v>83</v>
      </c>
      <c r="G4">
        <v>5</v>
      </c>
      <c r="H4">
        <v>10</v>
      </c>
      <c r="I4" s="27">
        <v>1000</v>
      </c>
      <c r="J4">
        <v>2</v>
      </c>
      <c r="K4" t="s">
        <v>22</v>
      </c>
      <c r="L4" t="s">
        <v>221</v>
      </c>
      <c r="M4">
        <v>0</v>
      </c>
      <c r="N4" s="27">
        <v>500</v>
      </c>
      <c r="O4" s="27" t="s">
        <v>156</v>
      </c>
      <c r="P4">
        <v>0</v>
      </c>
      <c r="Q4" s="27" t="s">
        <v>156</v>
      </c>
      <c r="R4" s="28">
        <v>500</v>
      </c>
      <c r="S4" s="27" t="s">
        <v>156</v>
      </c>
      <c r="T4">
        <v>0</v>
      </c>
      <c r="U4" s="27" t="s">
        <v>156</v>
      </c>
    </row>
    <row r="5" spans="1:21" x14ac:dyDescent="0.3">
      <c r="A5" s="4" t="s">
        <v>30</v>
      </c>
      <c r="B5" s="17" t="s">
        <v>44</v>
      </c>
      <c r="C5" s="1"/>
      <c r="D5" t="str">
        <f ca="1">'TC14-BU SO'!B2</f>
        <v>sEA05-2311001</v>
      </c>
      <c r="E5" t="s">
        <v>83</v>
      </c>
      <c r="F5" t="s">
        <v>83</v>
      </c>
      <c r="G5">
        <v>5</v>
      </c>
      <c r="H5">
        <v>10</v>
      </c>
      <c r="I5" s="27">
        <v>1000</v>
      </c>
      <c r="J5">
        <v>2</v>
      </c>
      <c r="K5" t="s">
        <v>22</v>
      </c>
      <c r="L5" t="s">
        <v>221</v>
      </c>
      <c r="M5">
        <v>0</v>
      </c>
      <c r="N5" s="27">
        <v>500</v>
      </c>
      <c r="O5" s="27" t="s">
        <v>156</v>
      </c>
      <c r="P5">
        <v>0</v>
      </c>
      <c r="Q5" s="27" t="s">
        <v>156</v>
      </c>
      <c r="R5" s="28">
        <v>500</v>
      </c>
      <c r="S5" s="27" t="s">
        <v>156</v>
      </c>
      <c r="T5">
        <v>0</v>
      </c>
      <c r="U5" s="27" t="s">
        <v>156</v>
      </c>
    </row>
    <row r="6" spans="1:21" x14ac:dyDescent="0.3">
      <c r="A6" s="4" t="s">
        <v>31</v>
      </c>
      <c r="B6" s="17" t="s">
        <v>45</v>
      </c>
      <c r="C6" s="1"/>
      <c r="D6" t="str">
        <f ca="1">'TC14-BU SO'!B2</f>
        <v>sEA05-2311001</v>
      </c>
      <c r="E6" t="s">
        <v>83</v>
      </c>
      <c r="F6" t="s">
        <v>83</v>
      </c>
      <c r="G6">
        <v>10</v>
      </c>
      <c r="H6">
        <v>10</v>
      </c>
      <c r="I6" s="27">
        <v>1000</v>
      </c>
      <c r="J6">
        <v>2</v>
      </c>
      <c r="K6" t="s">
        <v>22</v>
      </c>
      <c r="L6" t="s">
        <v>221</v>
      </c>
      <c r="M6">
        <v>0</v>
      </c>
      <c r="N6" s="27">
        <v>1000</v>
      </c>
      <c r="O6" s="27" t="s">
        <v>156</v>
      </c>
      <c r="P6">
        <v>0</v>
      </c>
      <c r="Q6" s="27" t="s">
        <v>156</v>
      </c>
      <c r="R6">
        <v>0</v>
      </c>
      <c r="S6" s="27" t="s">
        <v>156</v>
      </c>
      <c r="T6">
        <v>0</v>
      </c>
      <c r="U6" s="27" t="s">
        <v>156</v>
      </c>
    </row>
    <row r="7" spans="1:21" x14ac:dyDescent="0.3">
      <c r="A7" s="4" t="s">
        <v>32</v>
      </c>
      <c r="B7" s="17" t="s">
        <v>46</v>
      </c>
      <c r="C7" s="1"/>
      <c r="D7" t="str">
        <f ca="1">'TC14-BU SO'!B2</f>
        <v>sEA05-2311001</v>
      </c>
      <c r="E7" t="s">
        <v>83</v>
      </c>
      <c r="F7" t="s">
        <v>83</v>
      </c>
      <c r="G7">
        <v>10</v>
      </c>
      <c r="H7">
        <v>10</v>
      </c>
      <c r="I7" s="27">
        <v>1000</v>
      </c>
      <c r="J7">
        <v>2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475</v>
      </c>
      <c r="R7">
        <v>0</v>
      </c>
      <c r="S7" s="27" t="s">
        <v>156</v>
      </c>
      <c r="T7">
        <v>0</v>
      </c>
      <c r="U7" s="27" t="s">
        <v>156</v>
      </c>
    </row>
  </sheetData>
  <phoneticPr fontId="9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V7"/>
  <sheetViews>
    <sheetView topLeftCell="H1" zoomScale="90" zoomScaleNormal="90" workbookViewId="0">
      <selection activeCell="Q17" sqref="Q17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223</v>
      </c>
      <c r="P1" t="s">
        <v>225</v>
      </c>
      <c r="Q1" t="s">
        <v>224</v>
      </c>
      <c r="R1" t="s">
        <v>226</v>
      </c>
      <c r="S1" t="s">
        <v>348</v>
      </c>
      <c r="T1" t="s">
        <v>349</v>
      </c>
      <c r="U1" t="s">
        <v>473</v>
      </c>
      <c r="V1" t="s">
        <v>474</v>
      </c>
    </row>
    <row r="2" spans="1:22" x14ac:dyDescent="0.3">
      <c r="A2" s="4" t="s">
        <v>210</v>
      </c>
      <c r="B2" s="17" t="s">
        <v>157</v>
      </c>
      <c r="D2" t="str">
        <f ca="1">'TC15-BU PO'!B2</f>
        <v>pEAs05-2311001</v>
      </c>
      <c r="E2" s="1" t="s">
        <v>36</v>
      </c>
      <c r="F2">
        <v>5</v>
      </c>
      <c r="G2">
        <v>10</v>
      </c>
      <c r="H2" s="27">
        <v>1100</v>
      </c>
      <c r="I2">
        <v>2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8">
        <v>500</v>
      </c>
      <c r="T2" s="27" t="s">
        <v>156</v>
      </c>
      <c r="U2" s="28">
        <v>100</v>
      </c>
      <c r="V2" s="27" t="s">
        <v>156</v>
      </c>
    </row>
    <row r="3" spans="1:22" x14ac:dyDescent="0.3">
      <c r="A3" s="4" t="s">
        <v>28</v>
      </c>
      <c r="B3" s="17" t="s">
        <v>158</v>
      </c>
      <c r="D3" t="str">
        <f ca="1">'TC15-BU PO'!B2</f>
        <v>pEAs05-2311001</v>
      </c>
      <c r="E3" s="1" t="s">
        <v>36</v>
      </c>
      <c r="F3">
        <v>5</v>
      </c>
      <c r="G3">
        <v>10</v>
      </c>
      <c r="H3" s="27">
        <v>900</v>
      </c>
      <c r="I3">
        <v>2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8">
        <v>400</v>
      </c>
      <c r="T3" s="27" t="s">
        <v>156</v>
      </c>
      <c r="U3">
        <v>0</v>
      </c>
      <c r="V3" s="27" t="s">
        <v>156</v>
      </c>
    </row>
    <row r="4" spans="1:22" x14ac:dyDescent="0.3">
      <c r="A4" s="4" t="s">
        <v>29</v>
      </c>
      <c r="B4" s="17" t="s">
        <v>159</v>
      </c>
      <c r="D4" t="str">
        <f ca="1">'TC15-BU PO'!B2</f>
        <v>pEAs05-2311001</v>
      </c>
      <c r="E4" s="1" t="s">
        <v>36</v>
      </c>
      <c r="F4">
        <v>5</v>
      </c>
      <c r="G4">
        <v>10</v>
      </c>
      <c r="H4" s="27">
        <v>1000</v>
      </c>
      <c r="I4">
        <v>2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8">
        <v>500</v>
      </c>
      <c r="T4" s="27" t="s">
        <v>156</v>
      </c>
      <c r="U4">
        <v>0</v>
      </c>
      <c r="V4" s="27" t="s">
        <v>156</v>
      </c>
    </row>
    <row r="5" spans="1:22" x14ac:dyDescent="0.3">
      <c r="A5" s="4" t="s">
        <v>30</v>
      </c>
      <c r="B5" s="17" t="s">
        <v>160</v>
      </c>
      <c r="D5" t="str">
        <f ca="1">'TC15-BU PO'!B2</f>
        <v>pEAs05-2311001</v>
      </c>
      <c r="E5" s="1" t="s">
        <v>36</v>
      </c>
      <c r="F5">
        <v>5</v>
      </c>
      <c r="G5">
        <v>10</v>
      </c>
      <c r="H5" s="27">
        <v>1000</v>
      </c>
      <c r="I5">
        <v>2</v>
      </c>
      <c r="J5" t="s">
        <v>22</v>
      </c>
      <c r="K5" t="s">
        <v>221</v>
      </c>
      <c r="L5">
        <v>0</v>
      </c>
      <c r="M5">
        <v>0</v>
      </c>
      <c r="N5">
        <v>0</v>
      </c>
      <c r="O5" s="27">
        <v>500</v>
      </c>
      <c r="P5" s="27" t="s">
        <v>156</v>
      </c>
      <c r="Q5">
        <v>0</v>
      </c>
      <c r="R5" s="27" t="s">
        <v>156</v>
      </c>
      <c r="S5" s="28">
        <v>500</v>
      </c>
      <c r="T5" s="27" t="s">
        <v>156</v>
      </c>
      <c r="U5">
        <v>0</v>
      </c>
      <c r="V5" s="27" t="s">
        <v>156</v>
      </c>
    </row>
    <row r="6" spans="1:22" x14ac:dyDescent="0.3">
      <c r="A6" s="4" t="s">
        <v>31</v>
      </c>
      <c r="B6" s="17" t="s">
        <v>161</v>
      </c>
      <c r="D6" t="str">
        <f ca="1">'TC15-BU PO'!B2</f>
        <v>pEAs05-2311001</v>
      </c>
      <c r="E6" s="1" t="s">
        <v>36</v>
      </c>
      <c r="F6">
        <v>10</v>
      </c>
      <c r="G6">
        <v>10</v>
      </c>
      <c r="H6" s="27">
        <v>1000</v>
      </c>
      <c r="I6">
        <v>2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>
        <v>0</v>
      </c>
      <c r="V6" s="27" t="s">
        <v>156</v>
      </c>
    </row>
    <row r="7" spans="1:22" x14ac:dyDescent="0.3">
      <c r="A7" s="4" t="s">
        <v>32</v>
      </c>
      <c r="B7" s="17" t="s">
        <v>162</v>
      </c>
      <c r="D7" t="str">
        <f ca="1">'TC15-BU PO'!B2</f>
        <v>pEAs05-2311001</v>
      </c>
      <c r="E7" s="1" t="s">
        <v>36</v>
      </c>
      <c r="F7">
        <v>10</v>
      </c>
      <c r="G7">
        <v>10</v>
      </c>
      <c r="H7" s="27">
        <v>1000</v>
      </c>
      <c r="I7">
        <v>2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 s="27">
        <v>1000</v>
      </c>
      <c r="R7" s="27" t="s">
        <v>475</v>
      </c>
      <c r="S7">
        <v>0</v>
      </c>
      <c r="T7" s="27" t="s">
        <v>156</v>
      </c>
      <c r="U7">
        <v>0</v>
      </c>
      <c r="V7" s="27" t="s">
        <v>156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D2"/>
  <sheetViews>
    <sheetView zoomScale="90" zoomScaleNormal="90" workbookViewId="0">
      <selection activeCell="B8" sqref="B8"/>
    </sheetView>
  </sheetViews>
  <sheetFormatPr defaultRowHeight="14.4" x14ac:dyDescent="0.3"/>
  <cols>
    <col min="1" max="1" width="12.33203125" bestFit="1" customWidth="1" collapsed="1"/>
    <col min="2" max="2" width="12.88671875" customWidth="1" collapsed="1"/>
    <col min="3" max="3" width="12.77734375" customWidth="1" collapsed="1"/>
    <col min="4" max="4" width="12.44140625" customWidth="1" collapsed="1"/>
  </cols>
  <sheetData>
    <row r="1" spans="1:4" ht="28.8" x14ac:dyDescent="0.3">
      <c r="A1" s="1" t="s">
        <v>192</v>
      </c>
      <c r="B1" s="1" t="s">
        <v>193</v>
      </c>
      <c r="C1" s="1" t="s">
        <v>194</v>
      </c>
      <c r="D1" s="1" t="s">
        <v>311</v>
      </c>
    </row>
    <row r="2" spans="1:4" x14ac:dyDescent="0.3">
      <c r="A2" t="str">
        <f ca="1">TEXT(DATE(YEAR(TODAY()), MONTH(TODAY())+1, DAY(TODAY())), "dd MMM yyyy")</f>
        <v>01 Dec 2023</v>
      </c>
      <c r="B2" t="str">
        <f ca="1">TEXT(DATE(YEAR(TODAY()), MONTH(TODAY())+2, DAY(TODAY())), "dd MMM yyyy")</f>
        <v>01 Jan 2024</v>
      </c>
      <c r="C2" t="str">
        <f ca="1">TEXT(DATE(YEAR(TODAY()), MONTH(TODAY())+3, DAY(TODAY())), "dd MMM yyyy")</f>
        <v>01 Feb 2024</v>
      </c>
      <c r="D2" t="str">
        <f ca="1">TEXT(DATE(YEAR(TODAY()), MONTH(TODAY())+4, DAY(TODAY())), "dd MMM yyyy")</f>
        <v>01 Mar 2024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G7"/>
  <sheetViews>
    <sheetView zoomScale="90" zoomScaleNormal="90" workbookViewId="0">
      <selection activeCell="O13" sqref="O13"/>
    </sheetView>
  </sheetViews>
  <sheetFormatPr defaultRowHeight="14.4" x14ac:dyDescent="0.3"/>
  <cols>
    <col min="1" max="1" width="4.77734375" customWidth="1" collapsed="1"/>
    <col min="2" max="2" width="31.33203125" customWidth="1" collapsed="1"/>
    <col min="3" max="3" width="11.44140625" bestFit="1" customWidth="1" collapsed="1"/>
    <col min="4" max="4" width="12.33203125" bestFit="1" customWidth="1" collapsed="1"/>
    <col min="5" max="5" width="12.88671875" customWidth="1" collapsed="1"/>
    <col min="6" max="6" width="12.77734375" customWidth="1" collapsed="1"/>
    <col min="7" max="7" width="12.44140625" customWidth="1" collapsed="1"/>
  </cols>
  <sheetData>
    <row r="1" spans="1:7" ht="28.8" x14ac:dyDescent="0.3">
      <c r="A1" t="s">
        <v>0</v>
      </c>
      <c r="B1" t="s">
        <v>26</v>
      </c>
      <c r="C1" t="s">
        <v>191</v>
      </c>
      <c r="D1" s="1" t="s">
        <v>192</v>
      </c>
      <c r="E1" s="1" t="s">
        <v>193</v>
      </c>
      <c r="F1" s="1" t="s">
        <v>194</v>
      </c>
      <c r="G1" s="1" t="s">
        <v>311</v>
      </c>
    </row>
    <row r="2" spans="1:7" x14ac:dyDescent="0.3">
      <c r="A2" s="15">
        <v>1</v>
      </c>
      <c r="B2" s="4" t="s">
        <v>27</v>
      </c>
      <c r="C2" s="27">
        <v>1000</v>
      </c>
      <c r="D2" s="27">
        <v>500</v>
      </c>
      <c r="E2" s="27">
        <v>500</v>
      </c>
      <c r="F2">
        <v>0</v>
      </c>
      <c r="G2">
        <v>0</v>
      </c>
    </row>
    <row r="3" spans="1:7" x14ac:dyDescent="0.3">
      <c r="A3" s="15">
        <v>2</v>
      </c>
      <c r="B3" s="4" t="s">
        <v>28</v>
      </c>
      <c r="C3" s="27">
        <v>800</v>
      </c>
      <c r="D3">
        <v>0</v>
      </c>
      <c r="E3" s="27">
        <v>800</v>
      </c>
      <c r="F3">
        <v>0</v>
      </c>
      <c r="G3">
        <v>0</v>
      </c>
    </row>
    <row r="4" spans="1:7" x14ac:dyDescent="0.3">
      <c r="A4">
        <v>3</v>
      </c>
      <c r="B4" s="4" t="s">
        <v>29</v>
      </c>
      <c r="C4" s="27">
        <v>900</v>
      </c>
      <c r="D4" s="27">
        <v>500</v>
      </c>
      <c r="E4" s="27">
        <v>400</v>
      </c>
      <c r="F4">
        <v>0</v>
      </c>
      <c r="G4">
        <v>0</v>
      </c>
    </row>
    <row r="5" spans="1:7" x14ac:dyDescent="0.3">
      <c r="A5" s="15">
        <v>4</v>
      </c>
      <c r="B5" s="4" t="s">
        <v>30</v>
      </c>
      <c r="C5" s="27">
        <v>1200</v>
      </c>
      <c r="D5" s="27">
        <v>1000</v>
      </c>
      <c r="E5">
        <v>0</v>
      </c>
      <c r="F5">
        <v>0</v>
      </c>
      <c r="G5" s="27">
        <v>200</v>
      </c>
    </row>
    <row r="6" spans="1:7" x14ac:dyDescent="0.3">
      <c r="A6" s="15">
        <v>5</v>
      </c>
      <c r="B6" s="4" t="s">
        <v>31</v>
      </c>
      <c r="C6" s="27">
        <v>1000</v>
      </c>
      <c r="D6" s="27">
        <v>500</v>
      </c>
      <c r="E6" s="27">
        <v>500</v>
      </c>
      <c r="F6">
        <v>0</v>
      </c>
      <c r="G6">
        <v>0</v>
      </c>
    </row>
    <row r="7" spans="1:7" x14ac:dyDescent="0.3">
      <c r="A7" s="15">
        <v>6</v>
      </c>
      <c r="B7" s="4" t="s">
        <v>32</v>
      </c>
      <c r="C7" s="27">
        <v>1100</v>
      </c>
      <c r="D7" s="27">
        <v>500</v>
      </c>
      <c r="E7" s="27">
        <v>500</v>
      </c>
      <c r="F7" s="27">
        <v>100</v>
      </c>
      <c r="G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47" customWidth="1" collapsed="1"/>
    <col min="2" max="5" width="25.77734375" style="52" customWidth="1" collapsed="1"/>
    <col min="6" max="9" width="15.77734375" style="52" customWidth="1" collapsed="1"/>
    <col min="10" max="10" width="25.77734375" style="52" customWidth="1" collapsed="1"/>
    <col min="11" max="17" width="15.77734375" style="52" customWidth="1" collapsed="1"/>
    <col min="18" max="16384" width="8.88671875" style="52" collapsed="1"/>
  </cols>
  <sheetData>
    <row r="1" spans="1:17" s="5" customFormat="1" x14ac:dyDescent="0.3">
      <c r="A1" s="47" t="s">
        <v>0</v>
      </c>
      <c r="B1" s="5" t="s">
        <v>392</v>
      </c>
      <c r="C1" s="5" t="s">
        <v>26</v>
      </c>
      <c r="D1" s="5" t="s">
        <v>393</v>
      </c>
      <c r="E1" s="5" t="s">
        <v>398</v>
      </c>
      <c r="F1" s="5" t="s">
        <v>399</v>
      </c>
      <c r="G1" s="5" t="s">
        <v>415</v>
      </c>
      <c r="H1" s="5" t="s">
        <v>416</v>
      </c>
      <c r="I1" s="5" t="s">
        <v>413</v>
      </c>
      <c r="J1" s="5" t="s">
        <v>417</v>
      </c>
      <c r="K1" s="5" t="s">
        <v>412</v>
      </c>
      <c r="L1" s="5" t="s">
        <v>418</v>
      </c>
      <c r="M1" s="5" t="s">
        <v>142</v>
      </c>
      <c r="N1" s="5" t="s">
        <v>362</v>
      </c>
      <c r="O1" s="5" t="s">
        <v>363</v>
      </c>
      <c r="P1" s="5" t="s">
        <v>364</v>
      </c>
      <c r="Q1" s="5" t="s">
        <v>296</v>
      </c>
    </row>
    <row r="2" spans="1:17" s="5" customFormat="1" x14ac:dyDescent="0.3">
      <c r="A2" s="47">
        <v>1</v>
      </c>
      <c r="B2" s="45" t="s">
        <v>179</v>
      </c>
      <c r="C2" s="48" t="s">
        <v>210</v>
      </c>
      <c r="D2" s="45" t="s">
        <v>394</v>
      </c>
      <c r="E2" s="46" t="s">
        <v>401</v>
      </c>
      <c r="F2" s="46" t="s">
        <v>183</v>
      </c>
      <c r="G2" s="46" t="s">
        <v>402</v>
      </c>
      <c r="H2" s="46" t="s">
        <v>212</v>
      </c>
      <c r="I2" s="46" t="s">
        <v>409</v>
      </c>
      <c r="J2" s="46"/>
      <c r="K2" s="46"/>
      <c r="L2" s="49">
        <v>10</v>
      </c>
      <c r="M2" s="49">
        <v>5</v>
      </c>
      <c r="N2" s="50">
        <v>1.1000000000000001</v>
      </c>
      <c r="O2" s="51">
        <v>1.1000000000000001</v>
      </c>
      <c r="P2" s="51">
        <v>1.1000000000000001</v>
      </c>
    </row>
    <row r="3" spans="1:17" s="5" customFormat="1" x14ac:dyDescent="0.3">
      <c r="A3" s="47">
        <v>2</v>
      </c>
      <c r="B3" s="45" t="s">
        <v>180</v>
      </c>
      <c r="C3" s="48" t="s">
        <v>28</v>
      </c>
      <c r="D3" s="45" t="s">
        <v>395</v>
      </c>
      <c r="E3" s="46" t="s">
        <v>403</v>
      </c>
      <c r="F3" s="46" t="s">
        <v>184</v>
      </c>
      <c r="G3" s="46" t="s">
        <v>404</v>
      </c>
      <c r="H3" s="46" t="s">
        <v>213</v>
      </c>
      <c r="I3" s="46" t="s">
        <v>409</v>
      </c>
      <c r="J3" s="46"/>
      <c r="K3" s="46"/>
      <c r="L3" s="49">
        <v>10</v>
      </c>
      <c r="M3" s="49">
        <v>5</v>
      </c>
      <c r="N3" s="50">
        <v>1.1000000000000001</v>
      </c>
      <c r="O3" s="51">
        <v>1.1000000000000001</v>
      </c>
      <c r="P3" s="51">
        <v>1.1000000000000001</v>
      </c>
    </row>
    <row r="4" spans="1:17" s="5" customFormat="1" x14ac:dyDescent="0.3">
      <c r="A4" s="47">
        <v>3</v>
      </c>
      <c r="B4" s="45" t="s">
        <v>181</v>
      </c>
      <c r="C4" s="48" t="s">
        <v>29</v>
      </c>
      <c r="D4" s="45" t="s">
        <v>396</v>
      </c>
      <c r="E4" s="46" t="s">
        <v>405</v>
      </c>
      <c r="F4" s="46" t="s">
        <v>185</v>
      </c>
      <c r="G4" s="46" t="s">
        <v>406</v>
      </c>
      <c r="H4" s="46" t="s">
        <v>214</v>
      </c>
      <c r="I4" s="46" t="s">
        <v>410</v>
      </c>
      <c r="J4" s="46" t="s">
        <v>172</v>
      </c>
      <c r="K4" s="46" t="s">
        <v>411</v>
      </c>
      <c r="L4" s="49">
        <v>10</v>
      </c>
      <c r="M4" s="49">
        <v>5</v>
      </c>
      <c r="N4" s="50">
        <v>1.1000000000000001</v>
      </c>
      <c r="O4" s="51">
        <v>1.1000000000000001</v>
      </c>
      <c r="P4" s="51">
        <v>1.1000000000000001</v>
      </c>
    </row>
    <row r="5" spans="1:17" s="5" customFormat="1" x14ac:dyDescent="0.3">
      <c r="A5" s="47">
        <v>4</v>
      </c>
      <c r="B5" s="45" t="s">
        <v>172</v>
      </c>
      <c r="C5" s="48" t="s">
        <v>30</v>
      </c>
      <c r="D5" s="45" t="s">
        <v>397</v>
      </c>
      <c r="E5" s="46" t="s">
        <v>407</v>
      </c>
      <c r="F5" s="46" t="s">
        <v>186</v>
      </c>
      <c r="G5" s="46" t="s">
        <v>408</v>
      </c>
      <c r="H5" s="46" t="s">
        <v>289</v>
      </c>
      <c r="I5" s="46" t="s">
        <v>410</v>
      </c>
      <c r="J5" s="46" t="s">
        <v>181</v>
      </c>
      <c r="K5" s="46" t="s">
        <v>411</v>
      </c>
      <c r="L5" s="49">
        <v>10</v>
      </c>
      <c r="M5" s="49">
        <v>5</v>
      </c>
      <c r="N5" s="50">
        <v>1.1000000000000001</v>
      </c>
      <c r="O5" s="51">
        <v>1.1000000000000001</v>
      </c>
      <c r="P5" s="51">
        <v>1.1000000000000001</v>
      </c>
    </row>
    <row r="6" spans="1:17" s="5" customFormat="1" x14ac:dyDescent="0.3">
      <c r="A6" s="47">
        <v>5</v>
      </c>
      <c r="B6" s="45" t="s">
        <v>173</v>
      </c>
      <c r="C6" s="48"/>
      <c r="D6" s="45" t="s">
        <v>420</v>
      </c>
      <c r="E6" s="46" t="s">
        <v>421</v>
      </c>
      <c r="F6" s="46" t="s">
        <v>187</v>
      </c>
      <c r="G6" s="46" t="s">
        <v>422</v>
      </c>
      <c r="H6" s="46" t="s">
        <v>214</v>
      </c>
      <c r="I6" s="46" t="s">
        <v>410</v>
      </c>
      <c r="J6" s="46" t="s">
        <v>182</v>
      </c>
      <c r="K6" s="46" t="s">
        <v>419</v>
      </c>
      <c r="L6" s="49">
        <v>10</v>
      </c>
      <c r="M6" s="49">
        <v>10</v>
      </c>
      <c r="N6" s="50">
        <v>1.1000000000000001</v>
      </c>
      <c r="O6" s="51">
        <v>1.1000000000000001</v>
      </c>
      <c r="P6" s="51">
        <v>1.1000000000000001</v>
      </c>
    </row>
    <row r="7" spans="1:17" s="5" customFormat="1" x14ac:dyDescent="0.3">
      <c r="A7" s="47">
        <v>6</v>
      </c>
      <c r="B7" s="45" t="s">
        <v>182</v>
      </c>
      <c r="C7" s="48"/>
      <c r="D7" s="45" t="s">
        <v>423</v>
      </c>
      <c r="E7" s="46" t="s">
        <v>424</v>
      </c>
      <c r="F7" s="46" t="s">
        <v>188</v>
      </c>
      <c r="G7" s="46" t="s">
        <v>425</v>
      </c>
      <c r="H7" s="46" t="s">
        <v>214</v>
      </c>
      <c r="I7" s="46" t="s">
        <v>410</v>
      </c>
      <c r="J7" s="46" t="s">
        <v>173</v>
      </c>
      <c r="K7" s="46" t="s">
        <v>419</v>
      </c>
      <c r="L7" s="49">
        <v>10</v>
      </c>
      <c r="M7" s="49">
        <v>10</v>
      </c>
      <c r="N7" s="50">
        <v>1.1000000000000001</v>
      </c>
      <c r="O7" s="51">
        <v>1.1000000000000001</v>
      </c>
      <c r="P7" s="51">
        <v>1.1000000000000001</v>
      </c>
    </row>
  </sheetData>
  <dataValidations count="3">
    <dataValidation type="list" allowBlank="1" showErrorMessage="1" sqref="I2:I7" xr:uid="{0E91B3D6-9299-430D-A4F2-2FD0E946DA1C}">
      <formula1>PAIRED_FLAG</formula1>
    </dataValidation>
    <dataValidation type="list" allowBlank="1" showErrorMessage="1" sqref="K2:K6" xr:uid="{C5FFB457-24FD-46EF-A22A-756CEE443DDF}">
      <formula1>PAIRED_ORDER_FLAG</formula1>
    </dataValidation>
    <dataValidation type="list" allowBlank="1" showErrorMessage="1" sqref="H2:H7" xr:uid="{C18C6561-5DC9-4062-8CB8-5E10E79AE2DB}">
      <formula1>UOM_CODE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B2"/>
  <sheetViews>
    <sheetView workbookViewId="0">
      <selection activeCell="A2" sqref="A2"/>
    </sheetView>
  </sheetViews>
  <sheetFormatPr defaultRowHeight="14.4" x14ac:dyDescent="0.3"/>
  <cols>
    <col min="1" max="1" width="20.77734375" customWidth="1" collapsed="1"/>
  </cols>
  <sheetData>
    <row r="1" spans="1:2" x14ac:dyDescent="0.3">
      <c r="A1" t="s">
        <v>104</v>
      </c>
    </row>
    <row r="2" spans="1:2" x14ac:dyDescent="0.3">
      <c r="A2" t="str">
        <f ca="1">"rs"&amp;AutoIncrement!C2&amp;AutoIncrement!A2&amp;"-23"&amp;TEXT(TODAY(),"mm")&amp;"001-01"</f>
        <v>rsEAs05-2311001-01</v>
      </c>
      <c r="B2" t="s">
        <v>356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U7"/>
  <sheetViews>
    <sheetView workbookViewId="0">
      <selection activeCell="F33" sqref="F33"/>
    </sheetView>
  </sheetViews>
  <sheetFormatPr defaultRowHeight="14.4" x14ac:dyDescent="0.3"/>
  <cols>
    <col min="1" max="1" width="25.6640625" customWidth="1" collapsed="1"/>
    <col min="2" max="2" width="49.44140625" customWidth="1" collapsed="1"/>
    <col min="4" max="4" width="11.5546875" customWidth="1" collapsed="1"/>
    <col min="5" max="5" width="22.44140625" customWidth="1" collapsed="1"/>
    <col min="6" max="6" width="12.88671875" customWidth="1" collapsed="1"/>
    <col min="11" max="11" width="24.109375" customWidth="1" collapsed="1"/>
    <col min="14" max="14" width="19.6640625" customWidth="1" collapsed="1"/>
    <col min="15" max="16" width="30.109375" customWidth="1" collapsed="1"/>
    <col min="17" max="17" width="22.33203125" customWidth="1" collapsed="1"/>
    <col min="18" max="18" width="17.77734375" customWidth="1" collapsed="1"/>
    <col min="19" max="19" width="17.109375" customWidth="1" collapsed="1"/>
    <col min="20" max="20" width="24.21875" customWidth="1" collapsed="1"/>
    <col min="21" max="21" width="18.6640625" customWidth="1" collapsed="1"/>
  </cols>
  <sheetData>
    <row r="1" spans="1:20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</row>
    <row r="2" spans="1:20" x14ac:dyDescent="0.3">
      <c r="A2" s="4" t="s">
        <v>210</v>
      </c>
      <c r="B2" s="26" t="s">
        <v>157</v>
      </c>
      <c r="C2" s="1"/>
      <c r="E2" s="4"/>
      <c r="F2" t="s">
        <v>212</v>
      </c>
      <c r="G2">
        <v>5</v>
      </c>
      <c r="H2">
        <v>10</v>
      </c>
      <c r="I2" s="27">
        <v>1100</v>
      </c>
      <c r="J2" s="27">
        <v>1000</v>
      </c>
      <c r="K2">
        <v>0</v>
      </c>
      <c r="L2" t="s">
        <v>215</v>
      </c>
      <c r="N2" s="27">
        <v>500</v>
      </c>
      <c r="O2" s="27">
        <v>500</v>
      </c>
      <c r="P2" s="27">
        <v>100</v>
      </c>
      <c r="Q2" s="27">
        <v>500</v>
      </c>
      <c r="R2" s="27">
        <v>500</v>
      </c>
    </row>
    <row r="3" spans="1:20" x14ac:dyDescent="0.3">
      <c r="A3" s="4" t="s">
        <v>28</v>
      </c>
      <c r="B3" s="26" t="s">
        <v>158</v>
      </c>
      <c r="C3" s="1"/>
      <c r="E3" s="4"/>
      <c r="F3" t="s">
        <v>213</v>
      </c>
      <c r="G3">
        <v>5</v>
      </c>
      <c r="H3">
        <v>10</v>
      </c>
      <c r="I3" s="27">
        <v>900</v>
      </c>
      <c r="J3" s="27">
        <v>800</v>
      </c>
      <c r="K3">
        <v>0</v>
      </c>
      <c r="L3" t="s">
        <v>215</v>
      </c>
      <c r="N3" s="27">
        <v>500</v>
      </c>
      <c r="O3" s="27">
        <v>400</v>
      </c>
      <c r="P3" s="27"/>
      <c r="R3" s="27">
        <v>800</v>
      </c>
      <c r="S3" s="27"/>
    </row>
    <row r="4" spans="1:20" x14ac:dyDescent="0.3">
      <c r="A4" s="4" t="s">
        <v>29</v>
      </c>
      <c r="B4" s="26" t="s">
        <v>159</v>
      </c>
      <c r="C4" s="1"/>
      <c r="E4" s="4"/>
      <c r="F4" t="s">
        <v>214</v>
      </c>
      <c r="G4">
        <v>5</v>
      </c>
      <c r="H4">
        <v>10</v>
      </c>
      <c r="I4" s="27">
        <v>1000</v>
      </c>
      <c r="J4" s="27">
        <v>900</v>
      </c>
      <c r="K4">
        <v>0</v>
      </c>
      <c r="L4" t="s">
        <v>215</v>
      </c>
      <c r="N4" s="27">
        <v>500</v>
      </c>
      <c r="O4" s="27">
        <v>500</v>
      </c>
      <c r="P4" s="27"/>
      <c r="Q4" s="27">
        <v>500</v>
      </c>
      <c r="R4" s="27">
        <v>400</v>
      </c>
      <c r="S4" s="27"/>
    </row>
    <row r="5" spans="1:20" x14ac:dyDescent="0.3">
      <c r="A5" s="4" t="s">
        <v>30</v>
      </c>
      <c r="B5" s="26" t="s">
        <v>160</v>
      </c>
      <c r="C5" s="1"/>
      <c r="E5" s="4"/>
      <c r="F5" t="s">
        <v>289</v>
      </c>
      <c r="G5">
        <v>5</v>
      </c>
      <c r="H5">
        <v>10</v>
      </c>
      <c r="I5" s="27">
        <v>1000</v>
      </c>
      <c r="J5" s="27">
        <v>1200</v>
      </c>
      <c r="K5">
        <v>0</v>
      </c>
      <c r="L5" t="s">
        <v>215</v>
      </c>
      <c r="N5" s="27">
        <v>500</v>
      </c>
      <c r="O5" s="27">
        <v>500</v>
      </c>
      <c r="P5" s="27"/>
      <c r="Q5" s="27">
        <v>1000</v>
      </c>
      <c r="R5" s="27"/>
      <c r="S5" s="27"/>
      <c r="T5">
        <v>200</v>
      </c>
    </row>
    <row r="6" spans="1:20" x14ac:dyDescent="0.3">
      <c r="A6" s="4" t="s">
        <v>171</v>
      </c>
      <c r="B6" s="26" t="s">
        <v>161</v>
      </c>
      <c r="C6" s="1"/>
      <c r="F6" t="s">
        <v>214</v>
      </c>
      <c r="G6">
        <v>10</v>
      </c>
      <c r="H6">
        <v>10</v>
      </c>
      <c r="I6" s="27">
        <v>1000</v>
      </c>
      <c r="J6" s="27">
        <v>1000</v>
      </c>
      <c r="K6">
        <v>0</v>
      </c>
      <c r="L6" t="s">
        <v>215</v>
      </c>
      <c r="N6" s="27">
        <v>1000</v>
      </c>
      <c r="O6" s="27"/>
      <c r="P6" s="27"/>
      <c r="Q6" s="27">
        <v>500</v>
      </c>
      <c r="R6" s="27">
        <v>500</v>
      </c>
      <c r="T6" s="27"/>
    </row>
    <row r="7" spans="1:20" x14ac:dyDescent="0.3">
      <c r="A7" s="4" t="s">
        <v>287</v>
      </c>
      <c r="B7" s="26" t="s">
        <v>162</v>
      </c>
      <c r="C7" s="1"/>
      <c r="F7" t="s">
        <v>214</v>
      </c>
      <c r="G7">
        <v>10</v>
      </c>
      <c r="H7">
        <v>10</v>
      </c>
      <c r="I7" s="27">
        <v>1000</v>
      </c>
      <c r="J7" s="27">
        <v>1100</v>
      </c>
      <c r="K7">
        <v>0</v>
      </c>
      <c r="L7" t="s">
        <v>215</v>
      </c>
      <c r="N7" s="27"/>
      <c r="O7" s="27">
        <v>1000</v>
      </c>
      <c r="P7" s="27"/>
      <c r="Q7" s="27">
        <v>500</v>
      </c>
      <c r="R7" s="27">
        <v>500</v>
      </c>
      <c r="S7" s="27">
        <v>100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W7"/>
  <sheetViews>
    <sheetView workbookViewId="0">
      <selection activeCell="B23" sqref="B23"/>
    </sheetView>
  </sheetViews>
  <sheetFormatPr defaultRowHeight="14.4" x14ac:dyDescent="0.3"/>
  <cols>
    <col min="1" max="1" width="45.33203125" customWidth="1" collapsed="1"/>
    <col min="2" max="2" width="52" customWidth="1" collapsed="1"/>
    <col min="4" max="4" width="13" customWidth="1" collapsed="1"/>
    <col min="6" max="6" width="12.6640625" customWidth="1" collapsed="1"/>
    <col min="15" max="19" width="19.21875" customWidth="1" collapsed="1"/>
    <col min="20" max="20" width="15.77734375" customWidth="1" collapsed="1"/>
    <col min="21" max="21" width="13.6640625" customWidth="1" collapsed="1"/>
    <col min="22" max="22" width="18.6640625" customWidth="1" collapsed="1"/>
    <col min="23" max="23" width="15.77734375" customWidth="1" collapsed="1"/>
  </cols>
  <sheetData>
    <row r="1" spans="1:23" x14ac:dyDescent="0.3">
      <c r="A1" t="s">
        <v>137</v>
      </c>
      <c r="B1" t="s">
        <v>216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372</v>
      </c>
      <c r="S1" t="s">
        <v>373</v>
      </c>
      <c r="T1" t="s">
        <v>207</v>
      </c>
      <c r="U1" t="s">
        <v>208</v>
      </c>
      <c r="V1" t="s">
        <v>209</v>
      </c>
      <c r="W1" t="s">
        <v>313</v>
      </c>
    </row>
    <row r="2" spans="1:23" x14ac:dyDescent="0.3">
      <c r="A2" s="4" t="s">
        <v>210</v>
      </c>
      <c r="B2" s="26" t="s">
        <v>117</v>
      </c>
      <c r="C2" s="1" t="s">
        <v>183</v>
      </c>
      <c r="D2" s="1" t="s">
        <v>83</v>
      </c>
      <c r="F2" s="4"/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/>
      <c r="Q2" s="27">
        <v>500</v>
      </c>
      <c r="S2">
        <v>100</v>
      </c>
      <c r="T2" s="27">
        <v>500</v>
      </c>
      <c r="U2" s="27">
        <v>500</v>
      </c>
      <c r="V2" s="27"/>
      <c r="W2" s="27"/>
    </row>
    <row r="3" spans="1:23" x14ac:dyDescent="0.3">
      <c r="A3" s="4" t="s">
        <v>28</v>
      </c>
      <c r="B3" s="26" t="s">
        <v>42</v>
      </c>
      <c r="C3" s="1" t="s">
        <v>184</v>
      </c>
      <c r="D3" s="1" t="s">
        <v>83</v>
      </c>
      <c r="F3" s="4"/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/>
      <c r="Q3" s="27">
        <v>400</v>
      </c>
      <c r="T3" s="27"/>
      <c r="U3" s="27">
        <v>800</v>
      </c>
      <c r="V3" s="27"/>
    </row>
    <row r="4" spans="1:23" x14ac:dyDescent="0.3">
      <c r="A4" s="4" t="s">
        <v>29</v>
      </c>
      <c r="B4" s="26" t="s">
        <v>43</v>
      </c>
      <c r="C4" s="1" t="s">
        <v>185</v>
      </c>
      <c r="D4" s="1" t="s">
        <v>83</v>
      </c>
      <c r="F4" s="4"/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/>
      <c r="Q4" s="27">
        <v>500</v>
      </c>
      <c r="T4" s="27">
        <v>500</v>
      </c>
      <c r="U4" s="27">
        <v>400</v>
      </c>
      <c r="V4" s="27"/>
    </row>
    <row r="5" spans="1:23" x14ac:dyDescent="0.3">
      <c r="A5" s="4" t="s">
        <v>30</v>
      </c>
      <c r="B5" s="26" t="s">
        <v>44</v>
      </c>
      <c r="C5" s="1" t="s">
        <v>186</v>
      </c>
      <c r="D5" s="1" t="s">
        <v>83</v>
      </c>
      <c r="F5" s="4"/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/>
      <c r="P5" s="27">
        <v>500</v>
      </c>
      <c r="Q5" s="27">
        <v>500</v>
      </c>
      <c r="T5" s="27">
        <v>1000</v>
      </c>
      <c r="U5" s="27"/>
      <c r="V5" s="27"/>
      <c r="W5">
        <v>200</v>
      </c>
    </row>
    <row r="6" spans="1:23" x14ac:dyDescent="0.3">
      <c r="A6" s="4" t="s">
        <v>171</v>
      </c>
      <c r="B6" s="26" t="s">
        <v>45</v>
      </c>
      <c r="C6" s="1" t="s">
        <v>187</v>
      </c>
      <c r="D6" s="1" t="s">
        <v>83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T6" s="27">
        <v>500</v>
      </c>
      <c r="U6" s="27">
        <v>500</v>
      </c>
      <c r="V6" s="27"/>
    </row>
    <row r="7" spans="1:23" x14ac:dyDescent="0.3">
      <c r="A7" s="4" t="s">
        <v>287</v>
      </c>
      <c r="B7" s="26" t="s">
        <v>46</v>
      </c>
      <c r="C7" s="1" t="s">
        <v>188</v>
      </c>
      <c r="D7" s="1" t="s">
        <v>83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/>
      <c r="Q7" s="27"/>
      <c r="R7" s="27">
        <v>1000</v>
      </c>
      <c r="T7" s="27">
        <v>500</v>
      </c>
      <c r="U7" s="27">
        <v>500</v>
      </c>
      <c r="V7" s="27">
        <v>100</v>
      </c>
    </row>
  </sheetData>
  <phoneticPr fontId="9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B7"/>
  <sheetViews>
    <sheetView zoomScale="80" zoomScaleNormal="80" workbookViewId="0">
      <selection activeCell="C36" sqref="C36"/>
    </sheetView>
  </sheetViews>
  <sheetFormatPr defaultRowHeight="14.4" x14ac:dyDescent="0.3"/>
  <cols>
    <col min="1" max="1" width="22.77734375" customWidth="1" collapsed="1"/>
    <col min="2" max="2" width="28" customWidth="1" collapsed="1"/>
    <col min="3" max="5" width="15.77734375" customWidth="1" collapsed="1"/>
    <col min="6" max="6" width="26.44140625" customWidth="1" collapsed="1"/>
    <col min="7" max="28" width="15.77734375" customWidth="1" collapsed="1"/>
  </cols>
  <sheetData>
    <row r="1" spans="1:28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207</v>
      </c>
      <c r="S1" t="s">
        <v>208</v>
      </c>
      <c r="T1" t="s">
        <v>209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</row>
    <row r="2" spans="1:28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>
        <v>500</v>
      </c>
      <c r="Q2" s="27">
        <v>100</v>
      </c>
      <c r="R2" s="27">
        <v>500</v>
      </c>
      <c r="S2" s="27">
        <v>500</v>
      </c>
      <c r="T2" s="27"/>
      <c r="U2" s="27"/>
      <c r="V2" s="27">
        <v>500</v>
      </c>
      <c r="W2" s="27">
        <v>500</v>
      </c>
      <c r="X2" s="27">
        <v>100</v>
      </c>
      <c r="Y2" s="27">
        <v>500</v>
      </c>
      <c r="Z2" s="27">
        <v>500</v>
      </c>
      <c r="AA2" s="27"/>
    </row>
    <row r="3" spans="1:28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>
        <v>400</v>
      </c>
      <c r="Q3" s="27"/>
      <c r="R3" s="27"/>
      <c r="S3" s="27">
        <v>800</v>
      </c>
      <c r="T3" s="27"/>
      <c r="V3" s="27">
        <v>500</v>
      </c>
      <c r="W3" s="27">
        <v>400</v>
      </c>
      <c r="Z3" s="27">
        <v>800</v>
      </c>
    </row>
    <row r="4" spans="1:28" x14ac:dyDescent="0.3">
      <c r="A4" s="4" t="s">
        <v>29</v>
      </c>
      <c r="B4" s="26" t="s">
        <v>181</v>
      </c>
      <c r="C4" s="1" t="s">
        <v>185</v>
      </c>
      <c r="D4" t="s">
        <v>83</v>
      </c>
      <c r="F4" t="s">
        <v>172</v>
      </c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>
        <v>500</v>
      </c>
      <c r="Q4" s="27"/>
      <c r="R4" s="27">
        <v>500</v>
      </c>
      <c r="S4" s="27">
        <v>400</v>
      </c>
      <c r="T4" s="27"/>
      <c r="V4" s="27">
        <v>500</v>
      </c>
      <c r="W4" s="27">
        <v>500</v>
      </c>
      <c r="Y4" s="27">
        <v>500</v>
      </c>
      <c r="Z4" s="27">
        <v>400</v>
      </c>
    </row>
    <row r="5" spans="1:28" x14ac:dyDescent="0.3">
      <c r="A5" s="4" t="s">
        <v>30</v>
      </c>
      <c r="B5" s="26" t="s">
        <v>172</v>
      </c>
      <c r="C5" s="1" t="s">
        <v>186</v>
      </c>
      <c r="D5" t="s">
        <v>83</v>
      </c>
      <c r="F5" s="4" t="s">
        <v>181</v>
      </c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>
        <v>500</v>
      </c>
      <c r="P5" s="27">
        <v>500</v>
      </c>
      <c r="Q5" s="27"/>
      <c r="R5" s="27">
        <v>1000</v>
      </c>
      <c r="T5" s="27"/>
      <c r="U5">
        <v>200</v>
      </c>
      <c r="V5" s="27">
        <v>500</v>
      </c>
      <c r="W5" s="27">
        <v>500</v>
      </c>
      <c r="Y5" s="27">
        <v>1000</v>
      </c>
      <c r="AB5">
        <v>200</v>
      </c>
    </row>
    <row r="6" spans="1:28" x14ac:dyDescent="0.3">
      <c r="A6" s="4" t="s">
        <v>31</v>
      </c>
      <c r="B6" s="26" t="s">
        <v>173</v>
      </c>
      <c r="C6" s="1" t="s">
        <v>187</v>
      </c>
      <c r="D6" t="s">
        <v>83</v>
      </c>
      <c r="F6" s="4" t="s">
        <v>182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R6" s="27">
        <v>500</v>
      </c>
      <c r="S6" s="27">
        <v>500</v>
      </c>
      <c r="T6" s="27"/>
      <c r="V6" s="27">
        <v>1000</v>
      </c>
      <c r="Y6" s="27">
        <v>500</v>
      </c>
      <c r="Z6" s="27">
        <v>500</v>
      </c>
    </row>
    <row r="7" spans="1:28" x14ac:dyDescent="0.3">
      <c r="A7" s="4" t="s">
        <v>32</v>
      </c>
      <c r="B7" s="26" t="s">
        <v>182</v>
      </c>
      <c r="C7" s="1" t="s">
        <v>188</v>
      </c>
      <c r="D7" t="s">
        <v>83</v>
      </c>
      <c r="F7" s="4" t="s">
        <v>173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>
        <v>1000</v>
      </c>
      <c r="R7" s="27">
        <v>500</v>
      </c>
      <c r="S7" s="27">
        <v>500</v>
      </c>
      <c r="T7" s="27">
        <v>100</v>
      </c>
      <c r="U7" s="27"/>
      <c r="W7" s="27">
        <v>1000</v>
      </c>
      <c r="Y7" s="27">
        <v>500</v>
      </c>
      <c r="Z7" s="27">
        <v>500</v>
      </c>
      <c r="AA7" s="27">
        <v>100</v>
      </c>
    </row>
  </sheetData>
  <phoneticPr fontId="9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W8"/>
  <sheetViews>
    <sheetView zoomScale="90" zoomScaleNormal="90" workbookViewId="0">
      <selection activeCell="B18" sqref="B18"/>
    </sheetView>
  </sheetViews>
  <sheetFormatPr defaultRowHeight="14.4" x14ac:dyDescent="0.3"/>
  <cols>
    <col min="1" max="2" width="25.77734375" style="29" customWidth="1" collapsed="1"/>
    <col min="3" max="3" width="22.44140625" style="29" customWidth="1" collapsed="1"/>
    <col min="4" max="13" width="15.77734375" style="29" customWidth="1" collapsed="1"/>
    <col min="14" max="14" width="20.77734375" style="29" customWidth="1" collapsed="1"/>
    <col min="15" max="18" width="15.77734375" style="29" customWidth="1" collapsed="1"/>
    <col min="19" max="19" width="20.77734375" style="29" customWidth="1" collapsed="1"/>
    <col min="20" max="20" width="15.77734375" style="29" customWidth="1" collapsed="1"/>
    <col min="21" max="24" width="20.77734375" style="29" customWidth="1" collapsed="1"/>
    <col min="25" max="16384" width="8.88671875" style="29" collapsed="1"/>
  </cols>
  <sheetData>
    <row r="1" spans="1:23" ht="13.8" customHeight="1" x14ac:dyDescent="0.3">
      <c r="A1" s="29" t="s">
        <v>234</v>
      </c>
      <c r="B1" s="29" t="s">
        <v>269</v>
      </c>
      <c r="C1" s="29" t="s">
        <v>235</v>
      </c>
      <c r="D1" s="29" t="s">
        <v>270</v>
      </c>
      <c r="E1" s="29" t="s">
        <v>244</v>
      </c>
      <c r="F1" s="29" t="s">
        <v>245</v>
      </c>
      <c r="G1" s="29" t="s">
        <v>236</v>
      </c>
      <c r="H1" s="29" t="s">
        <v>246</v>
      </c>
      <c r="I1" s="29" t="s">
        <v>247</v>
      </c>
      <c r="J1" s="29" t="s">
        <v>248</v>
      </c>
      <c r="K1" s="29" t="s">
        <v>266</v>
      </c>
      <c r="L1" s="29" t="s">
        <v>267</v>
      </c>
      <c r="M1" s="29" t="s">
        <v>268</v>
      </c>
      <c r="N1" s="29" t="s">
        <v>237</v>
      </c>
      <c r="O1" s="29" t="s">
        <v>238</v>
      </c>
      <c r="P1" s="29" t="s">
        <v>263</v>
      </c>
      <c r="Q1" s="29" t="s">
        <v>264</v>
      </c>
      <c r="R1" s="29" t="s">
        <v>265</v>
      </c>
      <c r="S1" s="29" t="s">
        <v>249</v>
      </c>
      <c r="T1" s="29" t="s">
        <v>250</v>
      </c>
      <c r="U1" s="29" t="s">
        <v>262</v>
      </c>
      <c r="V1" s="29" t="s">
        <v>260</v>
      </c>
      <c r="W1" s="29" t="s">
        <v>261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0" t="str">
        <f ca="1">"o-SG-BAFCO-"&amp;TEXT(TODAY(),"yymm") &amp; "-01-0"&amp;AutoIncrement!A2</f>
        <v>o-SG-BAFCO-2311-01-005</v>
      </c>
      <c r="B3" s="29" t="str">
        <f ca="1">TEXT(DATE(YEAR(TODAY()), MONTH(TODAY()), DAY(TODAY())-1), "dd MMM yyyy")</f>
        <v>31 Oct 2023</v>
      </c>
      <c r="C3" s="29" t="str">
        <f ca="1">"B-"&amp;TEXT(TODAY(),"yymm")&amp;"-"&amp;AutoIncrement!B2&amp; "-01-0"&amp;AutoIncrement!A2</f>
        <v>B-2311-EA-01-005</v>
      </c>
      <c r="D3" s="44">
        <v>1000</v>
      </c>
      <c r="E3" s="29" t="str">
        <f t="shared" ref="E3:E8" ca="1" si="0">TEXT(DATE(YEAR(TODAY()), MONTH(TODAY()), DAY(TODAY())+2), "dd MMM yyyy")</f>
        <v>03 Nov 2023</v>
      </c>
      <c r="F3" s="29" t="str">
        <f ca="1">TEXT(DATE(YEAR(TODAY()), MONTH(TODAY()), DAY(TODAY())+10), "dd MMM yyyy")</f>
        <v>11 Nov 2023</v>
      </c>
      <c r="G3" s="31"/>
      <c r="H3" s="6"/>
      <c r="I3" s="6"/>
      <c r="J3" s="6"/>
      <c r="K3" s="32"/>
      <c r="L3" s="32"/>
      <c r="M3" s="32"/>
      <c r="N3" s="29" t="str">
        <f ca="1">"OP-"&amp;TEXT(TODAY(),"yymmdd")&amp; "-01-0"&amp;AutoIncrement!A2</f>
        <v>OP-231101-01-005</v>
      </c>
      <c r="O3" s="6" t="s">
        <v>241</v>
      </c>
      <c r="P3" s="34">
        <v>50.000999999999998</v>
      </c>
      <c r="Q3" s="34">
        <v>50</v>
      </c>
      <c r="R3" s="34">
        <v>51.000999999999998</v>
      </c>
      <c r="S3" s="29" t="str">
        <f ca="1">"IP-"&amp;TEXT(TODAY(),"yymmdd")&amp; "-01-0"&amp;AutoIncrement!A2</f>
        <v>IP-231101-01-005</v>
      </c>
      <c r="T3" s="33"/>
      <c r="U3" s="34">
        <v>1</v>
      </c>
      <c r="V3" s="34">
        <v>2</v>
      </c>
      <c r="W3" s="34">
        <v>3</v>
      </c>
    </row>
    <row r="4" spans="1:23" x14ac:dyDescent="0.3">
      <c r="A4" s="30" t="str">
        <f ca="1">"o-SG-BAFCO-"&amp;TEXT(TODAY(),"yymm") &amp; "-01-0"&amp;AutoIncrement!A2</f>
        <v>o-SG-BAFCO-2311-01-005</v>
      </c>
      <c r="B4" s="29" t="str">
        <f t="shared" ref="B4:B8" ca="1" si="1">TEXT(DATE(YEAR(TODAY()), MONTH(TODAY()), DAY(TODAY())-1), "dd MMM yyyy")</f>
        <v>31 Oct 2023</v>
      </c>
      <c r="C4" s="29" t="str">
        <f ca="1">"B-"&amp;TEXT(TODAY(),"yymm")&amp;"-"&amp;AutoIncrement!B2&amp; "-01-0"&amp;AutoIncrement!A2</f>
        <v>B-2311-EA-01-005</v>
      </c>
      <c r="D4" s="44">
        <v>800</v>
      </c>
      <c r="E4" s="29" t="str">
        <f t="shared" ca="1" si="0"/>
        <v>03 Nov 2023</v>
      </c>
      <c r="F4" s="29" t="str">
        <f t="shared" ref="F4:F8" ca="1" si="2">TEXT(DATE(YEAR(TODAY()), MONTH(TODAY()), DAY(TODAY())+10), "dd MMM yyyy")</f>
        <v>11 Nov 2023</v>
      </c>
      <c r="G4" s="31" t="s">
        <v>259</v>
      </c>
      <c r="H4" s="6"/>
      <c r="I4" s="6"/>
      <c r="J4" s="6"/>
      <c r="K4" s="32"/>
      <c r="L4" s="32"/>
      <c r="M4" s="32"/>
      <c r="N4" s="29" t="str">
        <f ca="1">"OP-"&amp;TEXT(TODAY(),"yymmdd")&amp; "-01-0"&amp;AutoIncrement!A2</f>
        <v>OP-231101-01-005</v>
      </c>
      <c r="O4" s="6" t="s">
        <v>242</v>
      </c>
      <c r="P4" s="34">
        <v>50.000999999999998</v>
      </c>
      <c r="Q4" s="34">
        <v>50</v>
      </c>
      <c r="R4" s="34">
        <v>51.000999999999998</v>
      </c>
      <c r="S4" s="29" t="str">
        <f ca="1">"IP-"&amp;TEXT(TODAY(),"yymmdd")&amp; "-02-0"&amp;AutoIncrement!A2</f>
        <v>IP-231101-02-005</v>
      </c>
      <c r="T4" s="33" t="s">
        <v>251</v>
      </c>
      <c r="U4" s="34">
        <v>1</v>
      </c>
      <c r="V4" s="34">
        <v>2</v>
      </c>
      <c r="W4" s="34">
        <v>3</v>
      </c>
    </row>
    <row r="5" spans="1:23" x14ac:dyDescent="0.3">
      <c r="A5" s="30" t="str">
        <f ca="1">"o-SG-BAFCO-"&amp;TEXT(TODAY(),"yymm") &amp; "-01-0"&amp;AutoIncrement!A2</f>
        <v>o-SG-BAFCO-2311-01-005</v>
      </c>
      <c r="B5" s="29" t="str">
        <f t="shared" ca="1" si="1"/>
        <v>31 Oct 2023</v>
      </c>
      <c r="C5" s="29" t="str">
        <f ca="1">"B-"&amp;TEXT(TODAY(),"yymm")&amp;"-"&amp;AutoIncrement!B2&amp; "-01-0"&amp;AutoIncrement!A2</f>
        <v>B-2311-EA-01-005</v>
      </c>
      <c r="D5" s="44">
        <v>900</v>
      </c>
      <c r="E5" s="29" t="str">
        <f t="shared" ca="1" si="0"/>
        <v>03 Nov 2023</v>
      </c>
      <c r="F5" s="29" t="str">
        <f t="shared" ca="1" si="2"/>
        <v>11 Nov 2023</v>
      </c>
      <c r="G5" s="31" t="s">
        <v>239</v>
      </c>
      <c r="H5" s="6" t="s">
        <v>252</v>
      </c>
      <c r="I5" s="6" t="s">
        <v>253</v>
      </c>
      <c r="J5" s="6"/>
      <c r="K5" s="34">
        <v>1000.11</v>
      </c>
      <c r="L5" s="34">
        <v>1001.11</v>
      </c>
      <c r="M5" s="34">
        <v>1005.001</v>
      </c>
      <c r="N5" s="29" t="str">
        <f ca="1">"OP-"&amp;TEXT(TODAY(),"yymmdd")&amp; "-02-0"&amp;AutoIncrement!A2</f>
        <v>OP-231101-02-005</v>
      </c>
      <c r="O5" s="6" t="s">
        <v>242</v>
      </c>
      <c r="P5" s="34">
        <v>50.000999999999998</v>
      </c>
      <c r="Q5" s="34">
        <v>50</v>
      </c>
      <c r="R5" s="34">
        <v>51.000999999999998</v>
      </c>
      <c r="S5" s="6"/>
      <c r="T5" s="33"/>
      <c r="U5" s="34"/>
      <c r="V5" s="34"/>
      <c r="W5" s="34"/>
    </row>
    <row r="6" spans="1:23" x14ac:dyDescent="0.3">
      <c r="A6" s="30" t="str">
        <f ca="1">"o-SG-BAFCO-"&amp;TEXT(TODAY(),"yymm") &amp; "-01-0"&amp;AutoIncrement!A2</f>
        <v>o-SG-BAFCO-2311-01-005</v>
      </c>
      <c r="B6" s="29" t="str">
        <f t="shared" ca="1" si="1"/>
        <v>31 Oct 2023</v>
      </c>
      <c r="C6" s="29" t="str">
        <f ca="1">"B-"&amp;TEXT(TODAY(),"yymm")&amp;"-"&amp;AutoIncrement!B2&amp; "-01-0"&amp;AutoIncrement!A2</f>
        <v>B-2311-EA-01-005</v>
      </c>
      <c r="D6" s="44">
        <v>1200</v>
      </c>
      <c r="E6" s="29" t="str">
        <f t="shared" ca="1" si="0"/>
        <v>03 Nov 2023</v>
      </c>
      <c r="F6" s="29" t="str">
        <f t="shared" ca="1" si="2"/>
        <v>11 Nov 2023</v>
      </c>
      <c r="G6" s="31" t="s">
        <v>239</v>
      </c>
      <c r="H6" s="6" t="s">
        <v>252</v>
      </c>
      <c r="I6" s="6" t="s">
        <v>253</v>
      </c>
      <c r="J6" s="6" t="s">
        <v>254</v>
      </c>
      <c r="K6" s="34">
        <v>1000.11</v>
      </c>
      <c r="L6" s="34">
        <v>1001.11</v>
      </c>
      <c r="M6" s="34">
        <v>1005.001</v>
      </c>
      <c r="N6" s="29" t="str">
        <f ca="1">"OP-"&amp;TEXT(TODAY(),"yymmdd")&amp; "-02-0"&amp;AutoIncrement!A2</f>
        <v>OP-231101-02-005</v>
      </c>
      <c r="O6" s="6" t="s">
        <v>242</v>
      </c>
      <c r="P6" s="34">
        <v>50.000999999999998</v>
      </c>
      <c r="Q6" s="34">
        <v>50</v>
      </c>
      <c r="R6" s="34">
        <v>51.000999999999998</v>
      </c>
      <c r="S6" s="6"/>
      <c r="T6" s="33"/>
      <c r="U6" s="34"/>
      <c r="V6" s="34"/>
      <c r="W6" s="34"/>
    </row>
    <row r="7" spans="1:23" x14ac:dyDescent="0.3">
      <c r="A7" s="30" t="str">
        <f ca="1">"o-SG-BAFCO-"&amp;TEXT(TODAY(),"yymm") &amp; "-01-0"&amp;AutoIncrement!A2</f>
        <v>o-SG-BAFCO-2311-01-005</v>
      </c>
      <c r="B7" s="29" t="str">
        <f t="shared" ca="1" si="1"/>
        <v>31 Oct 2023</v>
      </c>
      <c r="C7" s="29" t="str">
        <f ca="1">"B-"&amp;TEXT(TODAY(),"yymm")&amp;"-"&amp;AutoIncrement!B2&amp; "-01-0"&amp;AutoIncrement!A2</f>
        <v>B-2311-EA-01-005</v>
      </c>
      <c r="D7" s="44">
        <v>1000</v>
      </c>
      <c r="E7" s="29" t="str">
        <f t="shared" ca="1" si="0"/>
        <v>03 Nov 2023</v>
      </c>
      <c r="F7" s="29" t="str">
        <f t="shared" ca="1" si="2"/>
        <v>11 Nov 2023</v>
      </c>
      <c r="G7" s="31" t="s">
        <v>240</v>
      </c>
      <c r="H7" s="6" t="s">
        <v>255</v>
      </c>
      <c r="I7" s="6" t="s">
        <v>256</v>
      </c>
      <c r="J7" s="6" t="s">
        <v>257</v>
      </c>
      <c r="K7" s="34">
        <v>1010.11</v>
      </c>
      <c r="L7" s="34">
        <v>1011.11</v>
      </c>
      <c r="M7" s="34">
        <v>1015.001</v>
      </c>
      <c r="N7" s="29" t="str">
        <f ca="1">"OP-"&amp;TEXT(TODAY(),"yymmdd")&amp; "-03-0"&amp;AutoIncrement!A2</f>
        <v>OP-231101-03-005</v>
      </c>
      <c r="O7" s="6" t="s">
        <v>243</v>
      </c>
      <c r="P7" s="34">
        <v>40</v>
      </c>
      <c r="Q7" s="34">
        <v>41.005000000000003</v>
      </c>
      <c r="R7" s="34">
        <v>45</v>
      </c>
      <c r="S7" s="29" t="str">
        <f ca="1">"IP-"&amp;TEXT(TODAY(),"yymmdd")&amp; "-01-0"&amp;AutoIncrement!A2</f>
        <v>IP-231101-01-005</v>
      </c>
      <c r="T7" s="33" t="s">
        <v>251</v>
      </c>
      <c r="U7" s="34">
        <v>1</v>
      </c>
      <c r="V7" s="34">
        <v>2</v>
      </c>
      <c r="W7" s="34">
        <v>3</v>
      </c>
    </row>
    <row r="8" spans="1:23" x14ac:dyDescent="0.3">
      <c r="A8" s="30" t="str">
        <f ca="1">"o-SG-BAFCO-"&amp;TEXT(TODAY(),"yymm") &amp; "-01-0"&amp;AutoIncrement!A2</f>
        <v>o-SG-BAFCO-2311-01-005</v>
      </c>
      <c r="B8" s="29" t="str">
        <f t="shared" ca="1" si="1"/>
        <v>31 Oct 2023</v>
      </c>
      <c r="C8" s="29" t="str">
        <f ca="1">"B-"&amp;TEXT(TODAY(),"yymm")&amp;"-"&amp;AutoIncrement!B2&amp; "-01-0"&amp;AutoIncrement!A2</f>
        <v>B-2311-EA-01-005</v>
      </c>
      <c r="D8" s="44">
        <v>1100</v>
      </c>
      <c r="E8" s="29" t="str">
        <f t="shared" ca="1" si="0"/>
        <v>03 Nov 2023</v>
      </c>
      <c r="F8" s="29" t="str">
        <f t="shared" ca="1" si="2"/>
        <v>11 Nov 2023</v>
      </c>
      <c r="G8" s="31" t="s">
        <v>240</v>
      </c>
      <c r="H8" s="6" t="s">
        <v>255</v>
      </c>
      <c r="I8" s="6" t="s">
        <v>256</v>
      </c>
      <c r="J8" s="6" t="s">
        <v>257</v>
      </c>
      <c r="K8" s="34">
        <v>1010.11</v>
      </c>
      <c r="L8" s="34">
        <v>1011.11</v>
      </c>
      <c r="M8" s="34">
        <v>1015.001</v>
      </c>
      <c r="N8" s="29" t="str">
        <f ca="1">"OP-"&amp;TEXT(TODAY(),"yymmdd")&amp; "-03-0"&amp;AutoIncrement!A2</f>
        <v>OP-231101-03-005</v>
      </c>
      <c r="O8" s="6" t="s">
        <v>243</v>
      </c>
      <c r="P8" s="34">
        <v>40</v>
      </c>
      <c r="Q8" s="34">
        <v>41.005000000000003</v>
      </c>
      <c r="R8" s="34">
        <v>45</v>
      </c>
      <c r="S8" s="29" t="str">
        <f ca="1">"IP-"&amp;TEXT(TODAY(),"yymmdd")&amp; "-02-0"&amp;AutoIncrement!A2</f>
        <v>IP-231101-02-005</v>
      </c>
      <c r="T8" s="33" t="s">
        <v>258</v>
      </c>
      <c r="U8" s="34">
        <v>1</v>
      </c>
      <c r="V8" s="34">
        <v>2</v>
      </c>
      <c r="W8" s="34">
        <v>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N10"/>
  <sheetViews>
    <sheetView zoomScale="90" zoomScaleNormal="90" workbookViewId="0">
      <selection activeCell="D33" sqref="D33"/>
    </sheetView>
  </sheetViews>
  <sheetFormatPr defaultRowHeight="14.4" x14ac:dyDescent="0.3"/>
  <cols>
    <col min="1" max="1" width="8.88671875" style="29" collapsed="1"/>
    <col min="2" max="2" width="10.77734375" style="29" customWidth="1" collapsed="1"/>
    <col min="3" max="3" width="25.77734375" style="29" customWidth="1" collapsed="1"/>
    <col min="4" max="5" width="15.77734375" style="29" customWidth="1" collapsed="1"/>
    <col min="6" max="6" width="18.77734375" style="29" customWidth="1" collapsed="1"/>
    <col min="7" max="7" width="30.33203125" style="29" customWidth="1" collapsed="1"/>
    <col min="8" max="8" width="18.77734375" style="29" customWidth="1" collapsed="1"/>
    <col min="9" max="22" width="15.77734375" style="29" customWidth="1" collapsed="1"/>
    <col min="23" max="23" width="29" style="29" customWidth="1" collapsed="1"/>
    <col min="24" max="27" width="15.77734375" style="29" customWidth="1" collapsed="1"/>
    <col min="28" max="28" width="33.109375" style="29" customWidth="1" collapsed="1"/>
    <col min="29" max="29" width="15.77734375" style="29" customWidth="1" collapsed="1"/>
    <col min="30" max="32" width="20.77734375" style="29" customWidth="1" collapsed="1"/>
    <col min="33" max="34" width="15.77734375" style="29" customWidth="1" collapsed="1"/>
    <col min="35" max="35" width="25.77734375" style="29" customWidth="1" collapsed="1"/>
    <col min="36" max="36" width="27.77734375" style="29" customWidth="1" collapsed="1"/>
    <col min="37" max="43" width="15.77734375" style="29" customWidth="1" collapsed="1"/>
    <col min="44" max="16384" width="8.88671875" style="29" collapsed="1"/>
  </cols>
  <sheetData>
    <row r="1" spans="1:40" ht="13.8" customHeight="1" x14ac:dyDescent="0.3">
      <c r="A1" s="29" t="s">
        <v>0</v>
      </c>
      <c r="B1" s="29" t="s">
        <v>233</v>
      </c>
      <c r="C1" s="29" t="s">
        <v>234</v>
      </c>
      <c r="D1" s="29" t="s">
        <v>269</v>
      </c>
      <c r="E1" s="29" t="s">
        <v>290</v>
      </c>
      <c r="F1" s="29" t="s">
        <v>235</v>
      </c>
      <c r="G1" s="29" t="s">
        <v>26</v>
      </c>
      <c r="H1" s="29" t="s">
        <v>288</v>
      </c>
      <c r="I1" s="29" t="s">
        <v>270</v>
      </c>
      <c r="J1" s="29" t="s">
        <v>57</v>
      </c>
      <c r="K1" s="29" t="s">
        <v>291</v>
      </c>
      <c r="L1" s="29" t="s">
        <v>292</v>
      </c>
      <c r="M1" s="29" t="s">
        <v>47</v>
      </c>
      <c r="N1" s="29" t="s">
        <v>244</v>
      </c>
      <c r="O1" s="29" t="s">
        <v>245</v>
      </c>
      <c r="P1" s="29" t="s">
        <v>236</v>
      </c>
      <c r="Q1" s="29" t="s">
        <v>246</v>
      </c>
      <c r="R1" s="29" t="s">
        <v>247</v>
      </c>
      <c r="S1" s="29" t="s">
        <v>248</v>
      </c>
      <c r="T1" s="29" t="s">
        <v>266</v>
      </c>
      <c r="U1" s="29" t="s">
        <v>267</v>
      </c>
      <c r="V1" s="29" t="s">
        <v>268</v>
      </c>
      <c r="W1" s="29" t="s">
        <v>237</v>
      </c>
      <c r="X1" s="29" t="s">
        <v>238</v>
      </c>
      <c r="Y1" s="29" t="s">
        <v>263</v>
      </c>
      <c r="Z1" s="29" t="s">
        <v>264</v>
      </c>
      <c r="AA1" s="29" t="s">
        <v>265</v>
      </c>
      <c r="AB1" s="29" t="s">
        <v>249</v>
      </c>
      <c r="AC1" s="29" t="s">
        <v>250</v>
      </c>
      <c r="AD1" s="29" t="s">
        <v>262</v>
      </c>
      <c r="AE1" s="29" t="s">
        <v>260</v>
      </c>
      <c r="AF1" s="29" t="s">
        <v>261</v>
      </c>
      <c r="AG1" s="29" t="s">
        <v>294</v>
      </c>
      <c r="AH1" s="29" t="s">
        <v>295</v>
      </c>
      <c r="AI1" s="29" t="s">
        <v>296</v>
      </c>
      <c r="AJ1" s="29" t="s">
        <v>297</v>
      </c>
      <c r="AK1" s="29" t="s">
        <v>298</v>
      </c>
      <c r="AL1" s="29" t="s">
        <v>299</v>
      </c>
      <c r="AM1" s="29" t="s">
        <v>300</v>
      </c>
      <c r="AN1" s="29" t="s">
        <v>301</v>
      </c>
    </row>
    <row r="2" spans="1:40" x14ac:dyDescent="0.3">
      <c r="A2" s="29">
        <v>1</v>
      </c>
      <c r="B2" s="29">
        <v>2</v>
      </c>
      <c r="C2" s="29">
        <v>3</v>
      </c>
      <c r="D2" s="29">
        <v>4</v>
      </c>
      <c r="E2" s="29">
        <v>5</v>
      </c>
      <c r="F2" s="29">
        <v>6</v>
      </c>
      <c r="G2" s="29">
        <v>7</v>
      </c>
      <c r="H2" s="29">
        <v>8</v>
      </c>
      <c r="I2" s="29">
        <v>9</v>
      </c>
      <c r="J2" s="29">
        <v>10</v>
      </c>
      <c r="K2" s="29">
        <v>11</v>
      </c>
      <c r="L2" s="29">
        <v>12</v>
      </c>
      <c r="M2" s="29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  <c r="AD2" s="35">
        <v>30</v>
      </c>
      <c r="AE2" s="35">
        <v>31</v>
      </c>
      <c r="AF2" s="35">
        <v>32</v>
      </c>
      <c r="AG2" s="35">
        <v>33</v>
      </c>
      <c r="AH2" s="35">
        <v>34</v>
      </c>
      <c r="AI2" s="35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</row>
    <row r="3" spans="1:40" x14ac:dyDescent="0.3">
      <c r="A3" s="29">
        <v>1</v>
      </c>
      <c r="B3" s="29" t="s">
        <v>83</v>
      </c>
      <c r="C3" s="30" t="str">
        <f ca="1">"o-SG-BAFCO-"&amp;TEXT(TODAY(),"yymm") &amp; "-02-0"&amp;AutoIncrement!A2</f>
        <v>o-SG-BAFCO-2311-02-005</v>
      </c>
      <c r="D3" s="29" t="str">
        <f ca="1">TEXT(DATE(YEAR(TODAY()), MONTH(TODAY()), DAY(TODAY())-1), "dd MMM yyyy")</f>
        <v>31 Oct 2023</v>
      </c>
      <c r="G3" s="4" t="s">
        <v>210</v>
      </c>
      <c r="H3" s="17" t="s">
        <v>212</v>
      </c>
      <c r="I3" s="38">
        <v>60</v>
      </c>
      <c r="J3" s="38" t="s">
        <v>80</v>
      </c>
      <c r="K3" s="38" t="s">
        <v>293</v>
      </c>
      <c r="L3" s="38" t="s">
        <v>39</v>
      </c>
      <c r="M3" s="38" t="s">
        <v>36</v>
      </c>
      <c r="N3" s="29" t="str">
        <f t="shared" ref="N3:N10" ca="1" si="0">TEXT(DATE(YEAR(TODAY()), MONTH(TODAY()), DAY(TODAY())+2), "dd MMM yyyy")</f>
        <v>03 Nov 2023</v>
      </c>
      <c r="O3" s="29" t="str">
        <f ca="1">TEXT(DATE(YEAR(TODAY()), MONTH(TODAY()), DAY(TODAY())+10), "dd MMM yyyy")</f>
        <v>11 Nov 2023</v>
      </c>
      <c r="P3" s="17" t="s">
        <v>271</v>
      </c>
      <c r="Q3" s="17"/>
      <c r="R3" s="17"/>
      <c r="S3" s="17"/>
      <c r="T3" s="36"/>
      <c r="U3" s="36"/>
      <c r="V3" s="36"/>
      <c r="W3" s="29" t="str">
        <f ca="1">"OP-"&amp;TEXT(TODAY(),"yymmdd")&amp; "-02-0"&amp;AutoIncrement!A2</f>
        <v>OP-231101-02-005</v>
      </c>
      <c r="X3" s="17" t="s">
        <v>272</v>
      </c>
      <c r="Y3" s="36"/>
      <c r="Z3" s="36"/>
      <c r="AA3" s="36"/>
      <c r="AB3" s="29" t="str">
        <f ca="1">"IP-"&amp;TEXT(TODAY(),"yymmdd")&amp; "-01-0"&amp;AutoIncrement!A2</f>
        <v>IP-231101-01-005</v>
      </c>
      <c r="AC3" s="37" t="s">
        <v>273</v>
      </c>
      <c r="AD3" s="36"/>
      <c r="AE3" s="36"/>
      <c r="AF3" s="36"/>
      <c r="AG3" s="29" t="str">
        <f ca="1">'TC16-Supplier SO'!C2</f>
        <v>sEAs05-2311002</v>
      </c>
      <c r="AH3" s="29" t="s">
        <v>83</v>
      </c>
      <c r="AI3" s="39" t="str">
        <f>'TC17-Supplier SO -Spot'!F2</f>
        <v>scenario1220230504001</v>
      </c>
      <c r="AJ3" s="29" t="str">
        <f>"scenario12:"&amp;'TC17-Supplier SO -Spot'!G2</f>
        <v>scenario12:SG-BAFCO:20230504-001</v>
      </c>
      <c r="AM3" s="29">
        <v>5</v>
      </c>
      <c r="AN3" s="29">
        <v>100</v>
      </c>
    </row>
    <row r="4" spans="1:40" x14ac:dyDescent="0.3">
      <c r="A4" s="29">
        <v>2</v>
      </c>
      <c r="B4" s="29" t="s">
        <v>83</v>
      </c>
      <c r="C4" s="30" t="str">
        <f ca="1">"o-SG-BAFCO-"&amp;TEXT(TODAY(),"yymm") &amp; "-02-0"&amp;AutoIncrement!A2</f>
        <v>o-SG-BAFCO-2311-02-005</v>
      </c>
      <c r="D4" s="29" t="str">
        <f t="shared" ref="D4:D10" ca="1" si="1">TEXT(DATE(YEAR(TODAY()), MONTH(TODAY()), DAY(TODAY())-1), "dd MMM yyyy")</f>
        <v>31 Oct 2023</v>
      </c>
      <c r="G4" s="4" t="s">
        <v>210</v>
      </c>
      <c r="H4" s="17" t="s">
        <v>212</v>
      </c>
      <c r="I4" s="38">
        <v>40</v>
      </c>
      <c r="J4" s="38" t="s">
        <v>80</v>
      </c>
      <c r="K4" s="38" t="s">
        <v>293</v>
      </c>
      <c r="L4" s="38" t="s">
        <v>39</v>
      </c>
      <c r="M4" s="38" t="s">
        <v>36</v>
      </c>
      <c r="N4" s="29" t="str">
        <f t="shared" ca="1" si="0"/>
        <v>03 Nov 2023</v>
      </c>
      <c r="O4" s="29" t="str">
        <f t="shared" ref="O4:O10" ca="1" si="2">TEXT(DATE(YEAR(TODAY()), MONTH(TODAY()), DAY(TODAY())+10), "dd MMM yyyy")</f>
        <v>11 Nov 2023</v>
      </c>
      <c r="P4" s="17" t="s">
        <v>271</v>
      </c>
      <c r="Q4" s="17"/>
      <c r="R4" s="17"/>
      <c r="S4" s="17"/>
      <c r="T4" s="36"/>
      <c r="U4" s="36"/>
      <c r="V4" s="36"/>
      <c r="W4" s="29" t="str">
        <f ca="1">"OP-"&amp;TEXT(TODAY(),"yymmdd")&amp; "-02-0"&amp;AutoIncrement!A2</f>
        <v>OP-231101-02-005</v>
      </c>
      <c r="X4" s="17" t="s">
        <v>272</v>
      </c>
      <c r="Y4" s="36"/>
      <c r="Z4" s="36"/>
      <c r="AA4" s="36"/>
      <c r="AB4" s="29" t="str">
        <f ca="1">"IP-"&amp;TEXT(TODAY(),"yymmdd")&amp; "-02-0"&amp;AutoIncrement!A2</f>
        <v>IP-231101-02-005</v>
      </c>
      <c r="AC4" s="37" t="s">
        <v>274</v>
      </c>
      <c r="AD4" s="36"/>
      <c r="AE4" s="36"/>
      <c r="AF4" s="36"/>
      <c r="AG4" s="29" t="str">
        <f ca="1">'TC16-Supplier SO'!C2</f>
        <v>sEAs05-2311002</v>
      </c>
      <c r="AH4" s="29" t="s">
        <v>83</v>
      </c>
      <c r="AI4" s="39" t="str">
        <f>AI3</f>
        <v>scenario1220230504001</v>
      </c>
      <c r="AJ4" s="29" t="str">
        <f>AJ3</f>
        <v>scenario12:SG-BAFCO:20230504-001</v>
      </c>
      <c r="AM4" s="29">
        <v>5</v>
      </c>
      <c r="AN4" s="29">
        <v>100</v>
      </c>
    </row>
    <row r="5" spans="1:40" x14ac:dyDescent="0.3">
      <c r="A5" s="29">
        <v>3</v>
      </c>
      <c r="B5" s="29" t="s">
        <v>83</v>
      </c>
      <c r="C5" s="30" t="str">
        <f ca="1">"o-SG-BAFCO-"&amp;TEXT(TODAY(),"yymm") &amp; "-02-0"&amp;AutoIncrement!A2</f>
        <v>o-SG-BAFCO-2311-02-005</v>
      </c>
      <c r="D5" s="29" t="str">
        <f t="shared" ca="1" si="1"/>
        <v>31 Oct 2023</v>
      </c>
      <c r="G5" s="4" t="s">
        <v>28</v>
      </c>
      <c r="H5" s="17" t="s">
        <v>213</v>
      </c>
      <c r="I5" s="40">
        <v>100</v>
      </c>
      <c r="J5" s="38" t="s">
        <v>80</v>
      </c>
      <c r="K5" s="38" t="s">
        <v>293</v>
      </c>
      <c r="L5" s="38" t="s">
        <v>39</v>
      </c>
      <c r="M5" s="38" t="s">
        <v>36</v>
      </c>
      <c r="N5" s="29" t="str">
        <f t="shared" ca="1" si="0"/>
        <v>03 Nov 2023</v>
      </c>
      <c r="O5" s="29" t="str">
        <f t="shared" ca="1" si="2"/>
        <v>11 Nov 2023</v>
      </c>
      <c r="P5" s="31" t="s">
        <v>271</v>
      </c>
      <c r="Q5" s="6"/>
      <c r="R5" s="6"/>
      <c r="S5" s="6"/>
      <c r="T5" s="32"/>
      <c r="U5" s="32"/>
      <c r="V5" s="32"/>
      <c r="W5" s="29" t="str">
        <f ca="1">"OP-"&amp;TEXT(TODAY(),"yymmdd")&amp; "-01-0"&amp;AutoIncrement!A2</f>
        <v>OP-231101-01-005</v>
      </c>
      <c r="X5" s="6" t="s">
        <v>275</v>
      </c>
      <c r="Y5" s="32">
        <v>50.000999999999998</v>
      </c>
      <c r="Z5" s="32">
        <v>50</v>
      </c>
      <c r="AA5" s="32">
        <v>51.000999999999998</v>
      </c>
      <c r="AB5" s="29" t="str">
        <f ca="1">"IP-"&amp;TEXT(TODAY(),"yymmdd")&amp; "-02-0"&amp;AutoIncrement!A2</f>
        <v>IP-231101-02-005</v>
      </c>
      <c r="AC5" s="33" t="s">
        <v>276</v>
      </c>
      <c r="AD5" s="32"/>
      <c r="AE5" s="32"/>
      <c r="AF5" s="32"/>
      <c r="AG5" s="29" t="str">
        <f ca="1">'TC16-Supplier SO'!C2</f>
        <v>sEAs05-2311002</v>
      </c>
      <c r="AH5" s="29" t="s">
        <v>83</v>
      </c>
      <c r="AI5" s="39" t="str">
        <f>'TC17-Supplier SO -Spot'!F3</f>
        <v>scenario1220230504002</v>
      </c>
      <c r="AJ5" s="29" t="str">
        <f>"scenario12:"&amp;'TC17-Supplier SO -Spot'!G3</f>
        <v>scenario12:SG-BAFCO:20230504-002</v>
      </c>
      <c r="AM5" s="29">
        <v>5</v>
      </c>
      <c r="AN5" s="29">
        <v>100</v>
      </c>
    </row>
    <row r="6" spans="1:40" x14ac:dyDescent="0.3">
      <c r="A6" s="29">
        <v>4</v>
      </c>
      <c r="B6" s="29" t="s">
        <v>83</v>
      </c>
      <c r="C6" s="30" t="str">
        <f ca="1">"o-SG-BAFCO-"&amp;TEXT(TODAY(),"yymm") &amp; "-02-0"&amp;AutoIncrement!A2</f>
        <v>o-SG-BAFCO-2311-02-005</v>
      </c>
      <c r="D6" s="29" t="str">
        <f t="shared" ca="1" si="1"/>
        <v>31 Oct 2023</v>
      </c>
      <c r="G6" s="4" t="s">
        <v>29</v>
      </c>
      <c r="H6" s="17" t="s">
        <v>214</v>
      </c>
      <c r="I6" s="38">
        <v>100</v>
      </c>
      <c r="J6" s="38" t="s">
        <v>80</v>
      </c>
      <c r="K6" s="38" t="s">
        <v>293</v>
      </c>
      <c r="L6" s="38" t="s">
        <v>39</v>
      </c>
      <c r="M6" s="38" t="s">
        <v>36</v>
      </c>
      <c r="N6" s="29" t="str">
        <f t="shared" ca="1" si="0"/>
        <v>03 Nov 2023</v>
      </c>
      <c r="O6" s="29" t="str">
        <f t="shared" ca="1" si="2"/>
        <v>11 Nov 2023</v>
      </c>
      <c r="P6" s="4" t="s">
        <v>277</v>
      </c>
      <c r="Q6" s="17" t="s">
        <v>278</v>
      </c>
      <c r="R6" s="17" t="s">
        <v>279</v>
      </c>
      <c r="S6" s="17" t="s">
        <v>280</v>
      </c>
      <c r="T6" s="36">
        <v>1000.11</v>
      </c>
      <c r="U6" s="36">
        <v>1001.11</v>
      </c>
      <c r="V6" s="36">
        <v>1005.001</v>
      </c>
      <c r="W6" s="29" t="str">
        <f ca="1">"OP-"&amp;TEXT(TODAY(),"yymmdd")&amp; "-01-0"&amp;AutoIncrement!A2</f>
        <v>OP-231101-01-005</v>
      </c>
      <c r="X6" s="17" t="s">
        <v>281</v>
      </c>
      <c r="Y6" s="36"/>
      <c r="Z6" s="36"/>
      <c r="AA6" s="36"/>
      <c r="AB6" s="29" t="str">
        <f ca="1">"IP-"&amp;TEXT(TODAY(),"yymmdd")&amp; "-01-0"&amp;AutoIncrement!A2</f>
        <v>IP-231101-01-005</v>
      </c>
      <c r="AC6" s="37"/>
      <c r="AD6" s="36"/>
      <c r="AE6" s="36"/>
      <c r="AF6" s="36"/>
      <c r="AG6" s="29" t="str">
        <f ca="1">'TC16-Supplier SO'!C2</f>
        <v>sEAs05-2311002</v>
      </c>
      <c r="AH6" s="29" t="s">
        <v>83</v>
      </c>
      <c r="AI6" s="39" t="str">
        <f>'TC17-Supplier SO -Spot'!F4</f>
        <v>scenario1220230504003</v>
      </c>
      <c r="AJ6" s="29" t="str">
        <f>"scenario12:"&amp;'TC17-Supplier SO -Spot'!G4</f>
        <v>scenario12:SG-BAFCO:20230504-003</v>
      </c>
      <c r="AM6" s="29">
        <v>5</v>
      </c>
      <c r="AN6" s="29">
        <v>100</v>
      </c>
    </row>
    <row r="7" spans="1:40" x14ac:dyDescent="0.3">
      <c r="A7" s="29">
        <v>5</v>
      </c>
      <c r="B7" s="29" t="s">
        <v>83</v>
      </c>
      <c r="C7" s="30" t="str">
        <f ca="1">"o-SG-BAFCO-"&amp;TEXT(TODAY(),"yymm") &amp; "-03-0"&amp;AutoIncrement!A2</f>
        <v>o-SG-BAFCO-2311-03-005</v>
      </c>
      <c r="D7" s="29" t="str">
        <f t="shared" ca="1" si="1"/>
        <v>31 Oct 2023</v>
      </c>
      <c r="F7" s="29" t="str">
        <f ca="1">"B-"&amp;TEXT(TODAY(),"yymm")&amp;"-"&amp;AutoIncrement!B2&amp; "-02-0"&amp;AutoIncrement!A2</f>
        <v>B-2311-EA-02-005</v>
      </c>
      <c r="G7" s="4" t="s">
        <v>30</v>
      </c>
      <c r="H7" s="17" t="s">
        <v>289</v>
      </c>
      <c r="I7" s="38">
        <v>100</v>
      </c>
      <c r="J7" s="38" t="s">
        <v>80</v>
      </c>
      <c r="K7" s="38" t="s">
        <v>293</v>
      </c>
      <c r="L7" s="38" t="s">
        <v>39</v>
      </c>
      <c r="M7" s="38" t="s">
        <v>36</v>
      </c>
      <c r="N7" s="29" t="str">
        <f t="shared" ca="1" si="0"/>
        <v>03 Nov 2023</v>
      </c>
      <c r="O7" s="29" t="str">
        <f t="shared" ca="1" si="2"/>
        <v>11 Nov 2023</v>
      </c>
      <c r="P7" s="4" t="s">
        <v>282</v>
      </c>
      <c r="Q7" s="17" t="s">
        <v>283</v>
      </c>
      <c r="R7" s="17" t="s">
        <v>279</v>
      </c>
      <c r="S7" s="17"/>
      <c r="T7" s="36"/>
      <c r="U7" s="36"/>
      <c r="V7" s="36"/>
      <c r="W7" s="29" t="str">
        <f ca="1">"OP-"&amp;TEXT(TODAY(),"yymmdd")&amp; "-01-0"&amp;AutoIncrement!A2</f>
        <v>OP-231101-01-005</v>
      </c>
      <c r="X7" s="17" t="s">
        <v>281</v>
      </c>
      <c r="Y7" s="36"/>
      <c r="Z7" s="36"/>
      <c r="AA7" s="36"/>
      <c r="AB7" s="6"/>
      <c r="AC7" s="37"/>
      <c r="AD7" s="36"/>
      <c r="AE7" s="36"/>
      <c r="AF7" s="36"/>
      <c r="AG7" s="29" t="str">
        <f ca="1">'TC16-Supplier SO'!C2</f>
        <v>sEAs05-2311002</v>
      </c>
      <c r="AH7" s="29" t="s">
        <v>83</v>
      </c>
      <c r="AI7" s="39" t="str">
        <f>'TC17-Supplier SO -Spot'!F5</f>
        <v>scenario1220230504004</v>
      </c>
      <c r="AJ7" s="29" t="str">
        <f>"scenario12:"&amp;'TC17-Supplier SO -Spot'!G5</f>
        <v>scenario12:SG-BAFCO:20230504-004</v>
      </c>
      <c r="AM7" s="29">
        <v>5</v>
      </c>
      <c r="AN7" s="29">
        <v>100</v>
      </c>
    </row>
    <row r="8" spans="1:40" x14ac:dyDescent="0.3">
      <c r="A8" s="29">
        <v>6</v>
      </c>
      <c r="B8" s="29" t="s">
        <v>83</v>
      </c>
      <c r="C8" s="30" t="str">
        <f ca="1">"o-SG-BAFCO-"&amp;TEXT(TODAY(),"yymm") &amp; "-03-0"&amp;AutoIncrement!A2</f>
        <v>o-SG-BAFCO-2311-03-005</v>
      </c>
      <c r="D8" s="29" t="str">
        <f t="shared" ca="1" si="1"/>
        <v>31 Oct 2023</v>
      </c>
      <c r="F8" s="29" t="str">
        <f ca="1">"B-"&amp;TEXT(TODAY(),"yymm")&amp;"-"&amp;AutoIncrement!B2&amp; "-02-0"&amp;AutoIncrement!A2</f>
        <v>B-2311-EA-02-005</v>
      </c>
      <c r="G8" s="4" t="s">
        <v>171</v>
      </c>
      <c r="H8" s="17" t="s">
        <v>214</v>
      </c>
      <c r="I8" s="38">
        <v>100</v>
      </c>
      <c r="J8" s="38" t="s">
        <v>80</v>
      </c>
      <c r="K8" s="38" t="s">
        <v>293</v>
      </c>
      <c r="L8" s="38" t="s">
        <v>39</v>
      </c>
      <c r="M8" s="38" t="s">
        <v>36</v>
      </c>
      <c r="N8" s="29" t="str">
        <f t="shared" ca="1" si="0"/>
        <v>03 Nov 2023</v>
      </c>
      <c r="O8" s="29" t="str">
        <f t="shared" ca="1" si="2"/>
        <v>11 Nov 2023</v>
      </c>
      <c r="P8" s="4" t="s">
        <v>282</v>
      </c>
      <c r="Q8" s="17" t="s">
        <v>283</v>
      </c>
      <c r="R8" s="17" t="s">
        <v>279</v>
      </c>
      <c r="S8" s="17"/>
      <c r="T8" s="36"/>
      <c r="U8" s="36"/>
      <c r="V8" s="36"/>
      <c r="W8" s="29" t="str">
        <f ca="1">"OP-"&amp;TEXT(TODAY(),"yymmdd")&amp; "-02-0"&amp;AutoIncrement!A2</f>
        <v>OP-231101-02-005</v>
      </c>
      <c r="X8" s="17" t="s">
        <v>275</v>
      </c>
      <c r="Y8" s="36"/>
      <c r="Z8" s="36"/>
      <c r="AA8" s="36"/>
      <c r="AB8" s="6"/>
      <c r="AC8" s="37"/>
      <c r="AD8" s="36"/>
      <c r="AE8" s="36"/>
      <c r="AF8" s="36"/>
      <c r="AG8" s="29" t="str">
        <f ca="1">'TC16-Supplier SO'!C2</f>
        <v>sEAs05-2311002</v>
      </c>
      <c r="AH8" s="29" t="s">
        <v>83</v>
      </c>
      <c r="AI8" s="39" t="str">
        <f>'TC17-Supplier SO -Spot'!F6</f>
        <v>scenario1220230504005</v>
      </c>
      <c r="AJ8" s="29" t="str">
        <f>"scenario12:"&amp;'TC17-Supplier SO -Spot'!G6</f>
        <v>scenario12:SG-BAFCO:20230504-005</v>
      </c>
      <c r="AM8" s="29">
        <v>10</v>
      </c>
      <c r="AN8" s="29">
        <v>100</v>
      </c>
    </row>
    <row r="9" spans="1:40" x14ac:dyDescent="0.3">
      <c r="A9" s="29">
        <v>7</v>
      </c>
      <c r="B9" s="29" t="s">
        <v>83</v>
      </c>
      <c r="C9" s="30" t="str">
        <f ca="1">"o-SG-BAFCO-"&amp;TEXT(TODAY(),"yymm") &amp; "-03-0"&amp;AutoIncrement!A2</f>
        <v>o-SG-BAFCO-2311-03-005</v>
      </c>
      <c r="D9" s="29" t="str">
        <f t="shared" ca="1" si="1"/>
        <v>31 Oct 2023</v>
      </c>
      <c r="F9" s="29" t="str">
        <f ca="1">"B-"&amp;TEXT(TODAY(),"yymm")&amp;"-"&amp;AutoIncrement!B2&amp; "-02-0"&amp;AutoIncrement!A2</f>
        <v>B-2311-EA-02-005</v>
      </c>
      <c r="G9" s="4" t="s">
        <v>287</v>
      </c>
      <c r="H9" s="17" t="s">
        <v>214</v>
      </c>
      <c r="I9" s="38">
        <v>40</v>
      </c>
      <c r="J9" s="38" t="s">
        <v>80</v>
      </c>
      <c r="K9" s="38" t="s">
        <v>293</v>
      </c>
      <c r="L9" s="38" t="s">
        <v>39</v>
      </c>
      <c r="M9" s="38" t="s">
        <v>36</v>
      </c>
      <c r="N9" s="29" t="str">
        <f t="shared" ca="1" si="0"/>
        <v>03 Nov 2023</v>
      </c>
      <c r="O9" s="29" t="str">
        <f t="shared" ca="1" si="2"/>
        <v>11 Nov 2023</v>
      </c>
      <c r="P9" s="4" t="s">
        <v>284</v>
      </c>
      <c r="Q9" s="17" t="s">
        <v>278</v>
      </c>
      <c r="R9" s="17" t="s">
        <v>285</v>
      </c>
      <c r="S9" s="17" t="s">
        <v>286</v>
      </c>
      <c r="T9" s="36">
        <v>1010.11</v>
      </c>
      <c r="U9" s="36">
        <v>1011.11</v>
      </c>
      <c r="V9" s="36">
        <v>1015.001</v>
      </c>
      <c r="W9" s="29" t="str">
        <f ca="1">"OP-"&amp;TEXT(TODAY(),"yymmdd")&amp; "-03-0"&amp;AutoIncrement!A2</f>
        <v>OP-231101-03-005</v>
      </c>
      <c r="X9" s="17" t="s">
        <v>275</v>
      </c>
      <c r="Y9" s="36">
        <v>40</v>
      </c>
      <c r="Z9" s="36">
        <v>41.005000000000003</v>
      </c>
      <c r="AA9" s="36">
        <v>45</v>
      </c>
      <c r="AB9" s="29" t="str">
        <f ca="1">"IP-"&amp;TEXT(TODAY(),"yymmdd")&amp; "-01-0"&amp;AutoIncrement!A2</f>
        <v>IP-231101-01-005</v>
      </c>
      <c r="AC9" s="37" t="s">
        <v>276</v>
      </c>
      <c r="AD9" s="36">
        <v>1</v>
      </c>
      <c r="AE9" s="36">
        <v>2.0009999999999999</v>
      </c>
      <c r="AF9" s="36">
        <v>3</v>
      </c>
      <c r="AG9" s="29" t="str">
        <f ca="1">'TC16-Supplier SO'!C2</f>
        <v>sEAs05-2311002</v>
      </c>
      <c r="AH9" s="29" t="s">
        <v>83</v>
      </c>
      <c r="AI9" s="39" t="str">
        <f>'TC17-Supplier SO -Spot'!F7</f>
        <v>scenario1220230504006</v>
      </c>
      <c r="AJ9" s="29" t="str">
        <f>"scenario12:"&amp;'TC17-Supplier SO -Spot'!G7</f>
        <v>scenario12:SG-BAFCO:20230504-006</v>
      </c>
      <c r="AM9" s="29">
        <v>10</v>
      </c>
      <c r="AN9" s="29">
        <v>100</v>
      </c>
    </row>
    <row r="10" spans="1:40" x14ac:dyDescent="0.3">
      <c r="A10" s="29">
        <v>8</v>
      </c>
      <c r="B10" s="29" t="s">
        <v>83</v>
      </c>
      <c r="C10" s="30" t="str">
        <f ca="1">"o-SG-BAFCO-"&amp;TEXT(TODAY(),"yymm") &amp; "-04-0"&amp;AutoIncrement!A2</f>
        <v>o-SG-BAFCO-2311-04-005</v>
      </c>
      <c r="D10" s="29" t="str">
        <f t="shared" ca="1" si="1"/>
        <v>31 Oct 2023</v>
      </c>
      <c r="F10" s="29" t="str">
        <f ca="1">"B-"&amp;TEXT(TODAY(),"yymm")&amp;"-"&amp;AutoIncrement!B2&amp; "-03-0"&amp;AutoIncrement!A2</f>
        <v>B-2311-EA-03-005</v>
      </c>
      <c r="G10" s="4" t="s">
        <v>287</v>
      </c>
      <c r="H10" s="17" t="s">
        <v>214</v>
      </c>
      <c r="I10" s="38">
        <v>60</v>
      </c>
      <c r="J10" s="38" t="s">
        <v>80</v>
      </c>
      <c r="K10" s="38" t="s">
        <v>293</v>
      </c>
      <c r="L10" s="38" t="s">
        <v>39</v>
      </c>
      <c r="M10" s="38" t="s">
        <v>36</v>
      </c>
      <c r="N10" s="29" t="str">
        <f t="shared" ca="1" si="0"/>
        <v>03 Nov 2023</v>
      </c>
      <c r="O10" s="29" t="str">
        <f t="shared" ca="1" si="2"/>
        <v>11 Nov 2023</v>
      </c>
      <c r="P10" s="17"/>
      <c r="Q10" s="17"/>
      <c r="R10" s="17"/>
      <c r="S10" s="17"/>
      <c r="T10" s="36"/>
      <c r="U10" s="36"/>
      <c r="V10" s="36"/>
      <c r="W10" s="29" t="str">
        <f ca="1">"OP-"&amp;TEXT(TODAY(),"yymmdd")&amp; "-03-0"&amp;AutoIncrement!A2</f>
        <v>OP-231101-03-005</v>
      </c>
      <c r="X10" s="17" t="s">
        <v>275</v>
      </c>
      <c r="Y10" s="36">
        <v>40</v>
      </c>
      <c r="Z10" s="36">
        <v>41.005000000000003</v>
      </c>
      <c r="AA10" s="36">
        <v>45</v>
      </c>
      <c r="AB10" s="29" t="str">
        <f ca="1">"IP-"&amp;TEXT(TODAY(),"yymmdd")&amp; "-01-0"&amp;AutoIncrement!A2</f>
        <v>IP-231101-01-005</v>
      </c>
      <c r="AC10" s="37" t="s">
        <v>276</v>
      </c>
      <c r="AD10" s="36">
        <v>1</v>
      </c>
      <c r="AE10" s="36">
        <v>2.0009999999999999</v>
      </c>
      <c r="AF10" s="36">
        <v>3</v>
      </c>
      <c r="AG10" s="29" t="str">
        <f ca="1">'TC16-Supplier SO'!C2</f>
        <v>sEAs05-2311002</v>
      </c>
      <c r="AH10" s="29" t="s">
        <v>83</v>
      </c>
      <c r="AI10" s="39" t="str">
        <f>AI9</f>
        <v>scenario1220230504006</v>
      </c>
      <c r="AJ10" s="29" t="str">
        <f>AJ9</f>
        <v>scenario12:SG-BAFCO:20230504-006</v>
      </c>
      <c r="AM10" s="29">
        <v>10</v>
      </c>
      <c r="AN10" s="29">
        <v>100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C5"/>
  <sheetViews>
    <sheetView workbookViewId="0">
      <selection activeCell="E17" sqref="E17"/>
    </sheetView>
  </sheetViews>
  <sheetFormatPr defaultRowHeight="14.4" x14ac:dyDescent="0.3"/>
  <cols>
    <col min="1" max="1" width="8.88671875" customWidth="1" collapsed="1"/>
    <col min="2" max="3" width="25.77734375" customWidth="1" collapsed="1"/>
  </cols>
  <sheetData>
    <row r="1" spans="1:3" x14ac:dyDescent="0.3">
      <c r="A1" t="s">
        <v>0</v>
      </c>
      <c r="B1" t="s">
        <v>302</v>
      </c>
      <c r="C1" t="s">
        <v>234</v>
      </c>
    </row>
    <row r="2" spans="1:3" x14ac:dyDescent="0.3">
      <c r="A2">
        <v>1</v>
      </c>
      <c r="B2" t="str">
        <f ca="1">"o-SG-BAFCO-"&amp;TEXT(TODAY()-4,"yymm") &amp; "-01-0"&amp;AutoIncrement!A2</f>
        <v>o-SG-BAFCO-2310-01-005</v>
      </c>
      <c r="C2" t="s">
        <v>480</v>
      </c>
    </row>
    <row r="3" spans="1:3" x14ac:dyDescent="0.3">
      <c r="A3">
        <v>2</v>
      </c>
      <c r="B3" t="str">
        <f ca="1">"o-SG-BAFCO-"&amp;TEXT(TODAY()-4,"yymm") &amp; "-02-0"&amp;AutoIncrement!A2</f>
        <v>o-SG-BAFCO-2310-02-005</v>
      </c>
      <c r="C3" t="s">
        <v>481</v>
      </c>
    </row>
    <row r="4" spans="1:3" x14ac:dyDescent="0.3">
      <c r="A4">
        <v>3</v>
      </c>
      <c r="B4" t="str">
        <f ca="1">"o-SG-BAFCO-"&amp;TEXT(TODAY()-4,"yymm") &amp; "-03-0"&amp;AutoIncrement!A2</f>
        <v>o-SG-BAFCO-2310-03-005</v>
      </c>
      <c r="C4" t="s">
        <v>482</v>
      </c>
    </row>
    <row r="5" spans="1:3" x14ac:dyDescent="0.3">
      <c r="A5">
        <v>4</v>
      </c>
      <c r="B5" t="str">
        <f ca="1">"o-SG-BAFCO-"&amp;TEXT(TODAY()-4,"yymm") &amp; "-04-0"&amp;AutoIncrement!A2</f>
        <v>o-SG-BAFCO-2310-04-005</v>
      </c>
      <c r="C5" t="s">
        <v>483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D6"/>
  <sheetViews>
    <sheetView workbookViewId="0">
      <selection activeCell="D25" sqref="D25"/>
    </sheetView>
  </sheetViews>
  <sheetFormatPr defaultRowHeight="14.4" x14ac:dyDescent="0.3"/>
  <cols>
    <col min="1" max="1" width="8.88671875" customWidth="1" collapsed="1"/>
    <col min="2" max="4" width="25.77734375" customWidth="1" collapsed="1"/>
  </cols>
  <sheetData>
    <row r="1" spans="1:4" x14ac:dyDescent="0.3">
      <c r="A1" t="s">
        <v>0</v>
      </c>
      <c r="B1" t="s">
        <v>234</v>
      </c>
      <c r="C1" t="s">
        <v>303</v>
      </c>
    </row>
    <row r="2" spans="1:4" x14ac:dyDescent="0.3">
      <c r="A2">
        <v>1</v>
      </c>
      <c r="B2" t="str">
        <f>'TC44-Outbound No'!C2</f>
        <v>o-SG-BAFCO-231013009</v>
      </c>
      <c r="C2" t="s">
        <v>484</v>
      </c>
      <c r="D2" t="s">
        <v>358</v>
      </c>
    </row>
    <row r="3" spans="1:4" x14ac:dyDescent="0.3">
      <c r="A3">
        <v>2</v>
      </c>
      <c r="B3" t="str">
        <f>'TC44-Outbound No'!C3</f>
        <v>o-SG-BAFCO-231013010</v>
      </c>
      <c r="C3" t="s">
        <v>485</v>
      </c>
      <c r="D3" t="s">
        <v>358</v>
      </c>
    </row>
    <row r="4" spans="1:4" x14ac:dyDescent="0.3">
      <c r="A4">
        <v>3</v>
      </c>
      <c r="B4" t="str">
        <f>'TC44-Outbound No'!C4</f>
        <v>o-SG-BAFCO-231013011</v>
      </c>
      <c r="C4" t="s">
        <v>486</v>
      </c>
    </row>
    <row r="5" spans="1:4" x14ac:dyDescent="0.3">
      <c r="A5">
        <v>4</v>
      </c>
      <c r="B5" t="str">
        <f>'TC44-Outbound No'!C5</f>
        <v>o-SG-BAFCO-231013012</v>
      </c>
      <c r="C5" t="s">
        <v>487</v>
      </c>
    </row>
    <row r="6" spans="1:4" x14ac:dyDescent="0.3">
      <c r="C6" t="s">
        <v>488</v>
      </c>
      <c r="D6" t="s">
        <v>359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Z5"/>
  <sheetViews>
    <sheetView workbookViewId="0">
      <selection activeCell="C21" sqref="C21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5546875" customWidth="1" collapsed="1"/>
    <col min="18" max="18" width="29" customWidth="1" collapsed="1"/>
    <col min="19" max="19" width="25.33203125" customWidth="1" collapsed="1"/>
    <col min="20" max="20" width="28.109375" customWidth="1" collapsed="1"/>
    <col min="21" max="21" width="25.33203125" customWidth="1" collapsed="1"/>
    <col min="22" max="22" width="28.109375" customWidth="1" collapsed="1"/>
    <col min="23" max="23" width="31" customWidth="1" collapsed="1"/>
    <col min="24" max="24" width="29.6640625" customWidth="1" collapsed="1"/>
    <col min="25" max="25" width="33.44140625" customWidth="1" collapsed="1"/>
    <col min="26" max="26" width="20.77734375" customWidth="1" collapsed="1"/>
  </cols>
  <sheetData>
    <row r="1" spans="1:26" s="41" customFormat="1" ht="18.75" customHeight="1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r="2" spans="1:26" s="41" customFormat="1" ht="18.75" customHeight="1" x14ac:dyDescent="0.3">
      <c r="A2" s="13" t="str">
        <f ca="1">'TC44-Supplier Outbound -Regular'!C3</f>
        <v>B-2311-EA-01-005</v>
      </c>
      <c r="B2" s="13"/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r="3" spans="1:26" s="41" customFormat="1" x14ac:dyDescent="0.3">
      <c r="A3" s="13" t="str">
        <f ca="1">'TC44-Supplier Outbound -Regular'!C3</f>
        <v>B-2311-EA-01-005</v>
      </c>
      <c r="B3" s="13" t="s">
        <v>259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r="4" spans="1:26" s="41" customFormat="1" x14ac:dyDescent="0.3">
      <c r="A4" s="13" t="str">
        <f ca="1">'TC44-Supplier Outbound -Regular'!C3</f>
        <v>B-2311-EA-01-005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-Regular'!C3</f>
        <v>B-2311-EA-01-005</v>
      </c>
      <c r="B5" s="13" t="s">
        <v>346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Z6"/>
  <sheetViews>
    <sheetView workbookViewId="0">
      <selection activeCell="C27" sqref="C27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5546875" customWidth="1" collapsed="1"/>
    <col min="18" max="18" width="29" customWidth="1" collapsed="1"/>
    <col min="19" max="19" width="25.33203125" customWidth="1" collapsed="1"/>
    <col min="20" max="20" width="28.109375" customWidth="1" collapsed="1"/>
    <col min="21" max="21" width="25.33203125" customWidth="1" collapsed="1"/>
    <col min="22" max="22" width="28.109375" customWidth="1" collapsed="1"/>
    <col min="23" max="23" width="31" customWidth="1" collapsed="1"/>
    <col min="24" max="24" width="29.6640625" customWidth="1" collapsed="1"/>
    <col min="25" max="25" width="33.44140625" customWidth="1" collapsed="1"/>
    <col min="26" max="26" width="20.77734375" customWidth="1" collapsed="1"/>
  </cols>
  <sheetData>
    <row r="1" spans="1:26" s="41" customFormat="1" ht="18.75" customHeight="1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r="2" spans="1:26" s="41" customFormat="1" ht="18.75" customHeight="1" x14ac:dyDescent="0.3">
      <c r="A2" s="13" t="str">
        <f ca="1">'TC44-Supplier Outbound -Spot'!F7</f>
        <v>B-2311-EA-02-005</v>
      </c>
      <c r="B2" s="13" t="s">
        <v>346</v>
      </c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r="3" spans="1:26" s="41" customFormat="1" x14ac:dyDescent="0.3">
      <c r="A3" s="13"/>
      <c r="B3" s="13" t="s">
        <v>347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r="4" spans="1:26" s="41" customFormat="1" x14ac:dyDescent="0.3">
      <c r="A4" s="13" t="str">
        <f ca="1">'TC44-Supplier Outbound -Spot'!F8</f>
        <v>B-2311-EA-02-005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-Spot'!F10</f>
        <v>B-2311-EA-03-005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  <row r="6" spans="1:26" x14ac:dyDescent="0.3">
      <c r="B6" s="13" t="s">
        <v>259</v>
      </c>
      <c r="C6" s="13" t="s">
        <v>342</v>
      </c>
      <c r="D6" s="13" t="s">
        <v>343</v>
      </c>
      <c r="E6" s="13" t="s">
        <v>344</v>
      </c>
      <c r="F6" s="13" t="s">
        <v>344</v>
      </c>
      <c r="G6" s="13" t="s">
        <v>344</v>
      </c>
      <c r="H6" s="13" t="s">
        <v>344</v>
      </c>
      <c r="I6" s="13" t="s">
        <v>344</v>
      </c>
      <c r="J6" s="13" t="s">
        <v>344</v>
      </c>
      <c r="K6" s="13" t="s">
        <v>344</v>
      </c>
      <c r="L6" s="13" t="s">
        <v>344</v>
      </c>
      <c r="M6" s="13" t="s">
        <v>344</v>
      </c>
      <c r="N6" s="13" t="s">
        <v>344</v>
      </c>
      <c r="O6" s="13" t="s">
        <v>344</v>
      </c>
      <c r="P6" s="13" t="s">
        <v>344</v>
      </c>
      <c r="Q6" s="13" t="s">
        <v>344</v>
      </c>
      <c r="R6" s="13" t="s">
        <v>344</v>
      </c>
      <c r="S6" s="13" t="s">
        <v>344</v>
      </c>
      <c r="T6" s="13" t="s">
        <v>344</v>
      </c>
      <c r="U6" s="13" t="s">
        <v>344</v>
      </c>
      <c r="V6" s="13" t="s">
        <v>344</v>
      </c>
      <c r="W6" s="13" t="s">
        <v>344</v>
      </c>
      <c r="X6" s="13" t="s">
        <v>344</v>
      </c>
      <c r="Y6" s="13" t="s">
        <v>344</v>
      </c>
      <c r="Z6" s="13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G2"/>
  <sheetViews>
    <sheetView workbookViewId="0">
      <selection activeCell="H27" sqref="H27"/>
    </sheetView>
  </sheetViews>
  <sheetFormatPr defaultRowHeight="14.4" x14ac:dyDescent="0.3"/>
  <cols>
    <col min="1" max="7" width="15.77734375" customWidth="1" collapsed="1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D10"/>
  <sheetViews>
    <sheetView workbookViewId="0">
      <selection activeCell="E12" sqref="E12"/>
    </sheetView>
  </sheetViews>
  <sheetFormatPr defaultRowHeight="14.4" x14ac:dyDescent="0.3"/>
  <cols>
    <col min="1" max="4" width="20.77734375" customWidth="1" collapsed="1"/>
  </cols>
  <sheetData>
    <row r="1" spans="1:2" x14ac:dyDescent="0.3">
      <c r="A1" t="s">
        <v>235</v>
      </c>
      <c r="B1" t="s">
        <v>236</v>
      </c>
    </row>
    <row r="2" spans="1:2" x14ac:dyDescent="0.3">
      <c r="A2" t="str">
        <f ca="1">'TC44-Supplier Outbound -Regular'!C3</f>
        <v>B-2311-EA-01-005</v>
      </c>
    </row>
    <row r="3" spans="1:2" x14ac:dyDescent="0.3">
      <c r="A3" s="1" t="str">
        <f ca="1">'TC44-Supplier Outbound -Regular'!C8</f>
        <v>B-2311-EA-01-005</v>
      </c>
      <c r="B3" s="2" t="str">
        <f>'TC44-Supplier Outbound -Regular'!G8</f>
        <v>C-230506001-001</v>
      </c>
    </row>
    <row r="4" spans="1:2" x14ac:dyDescent="0.3">
      <c r="A4" s="1" t="str">
        <f ca="1">'TC44-Supplier Outbound -Regular'!C4</f>
        <v>B-2311-EA-01-005</v>
      </c>
      <c r="B4" s="42" t="str">
        <f>'TC44-Supplier Outbound -Regular'!G4</f>
        <v>KKFU1726110</v>
      </c>
    </row>
    <row r="5" spans="1:2" x14ac:dyDescent="0.3">
      <c r="A5" s="1" t="str">
        <f ca="1">'TC44-Supplier Outbound -Regular'!C6</f>
        <v>B-2311-EA-01-005</v>
      </c>
      <c r="B5" s="42" t="str">
        <f>'TC44-Supplier Outbound -Regular'!G6</f>
        <v>NYKU8417026</v>
      </c>
    </row>
    <row r="6" spans="1:2" x14ac:dyDescent="0.3">
      <c r="A6" s="1"/>
      <c r="B6" s="2" t="str">
        <f>'TC44-Supplier Outbound -Spot'!P6</f>
        <v>C-230508001-001</v>
      </c>
    </row>
    <row r="7" spans="1:2" x14ac:dyDescent="0.3">
      <c r="B7" s="2" t="str">
        <f>'TC44-Supplier Outbound -Spot'!P5</f>
        <v>KKFU1726110</v>
      </c>
    </row>
    <row r="8" spans="1:2" x14ac:dyDescent="0.3">
      <c r="A8" t="str">
        <f ca="1">'TC44-Supplier Outbound -Spot'!F9</f>
        <v>B-2311-EA-02-005</v>
      </c>
      <c r="B8" s="2" t="str">
        <f>'TC44-Supplier Outbound -Spot'!P9</f>
        <v>C-230506001-001</v>
      </c>
    </row>
    <row r="9" spans="1:2" x14ac:dyDescent="0.3">
      <c r="A9" t="str">
        <f ca="1">'TC44-Supplier Outbound -Spot'!F8</f>
        <v>B-2311-EA-02-005</v>
      </c>
      <c r="B9" s="2" t="str">
        <f>'TC44-Supplier Outbound -Spot'!P8</f>
        <v>NYKU8417026</v>
      </c>
    </row>
    <row r="10" spans="1:2" x14ac:dyDescent="0.3">
      <c r="A10" t="str">
        <f ca="1">'TC44-Supplier Outbound -Spot'!F10</f>
        <v>B-2311-EA-03-005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>
      <selection activeCell="D28" sqref="D28"/>
    </sheetView>
  </sheetViews>
  <sheetFormatPr defaultRowHeight="14.4" x14ac:dyDescent="0.3"/>
  <cols>
    <col min="1" max="1" width="8.88671875" customWidth="1" collapsed="1"/>
    <col min="2" max="4" width="25.77734375" customWidth="1" collapsed="1"/>
  </cols>
  <sheetData>
    <row r="1" spans="1:3" x14ac:dyDescent="0.3">
      <c r="A1" t="s">
        <v>0</v>
      </c>
      <c r="B1" t="s">
        <v>234</v>
      </c>
      <c r="C1" t="s">
        <v>303</v>
      </c>
    </row>
    <row r="2" spans="1:3" x14ac:dyDescent="0.3">
      <c r="A2">
        <v>1</v>
      </c>
      <c r="B2" t="str">
        <f>'TC44-Outbound No'!C2</f>
        <v>o-SG-BAFCO-231013009</v>
      </c>
      <c r="C2" t="s">
        <v>489</v>
      </c>
    </row>
    <row r="3" spans="1:3" x14ac:dyDescent="0.3">
      <c r="A3">
        <v>2</v>
      </c>
      <c r="B3" t="str">
        <f>'TC44-Outbound No'!C3</f>
        <v>o-SG-BAFCO-231013010</v>
      </c>
      <c r="C3" t="s">
        <v>490</v>
      </c>
    </row>
    <row r="4" spans="1:3" x14ac:dyDescent="0.3">
      <c r="A4">
        <v>3</v>
      </c>
      <c r="B4" t="str">
        <f>'TC44-Outbound No'!C4</f>
        <v>o-SG-BAFCO-231013011</v>
      </c>
      <c r="C4" t="s">
        <v>491</v>
      </c>
    </row>
    <row r="5" spans="1:3" x14ac:dyDescent="0.3">
      <c r="A5">
        <v>4</v>
      </c>
      <c r="B5" t="str">
        <f>'TC44-Outbound No'!C5</f>
        <v>o-SG-BAFCO-231013012</v>
      </c>
      <c r="C5" t="s">
        <v>492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F15"/>
  <sheetViews>
    <sheetView workbookViewId="0">
      <selection activeCell="C27" sqref="C27"/>
    </sheetView>
  </sheetViews>
  <sheetFormatPr defaultRowHeight="14.4" x14ac:dyDescent="0.3"/>
  <cols>
    <col min="2" max="2" width="27.5546875" customWidth="1" collapsed="1"/>
    <col min="3" max="3" width="20.88671875" customWidth="1" collapsed="1"/>
    <col min="4" max="6" width="15.77734375" customWidth="1" collapsed="1"/>
  </cols>
  <sheetData>
    <row r="1" spans="1:6" x14ac:dyDescent="0.3">
      <c r="A1" t="s">
        <v>0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</row>
    <row r="2" spans="1:6" x14ac:dyDescent="0.3">
      <c r="A2">
        <v>1</v>
      </c>
      <c r="B2" t="str">
        <f ca="1">"i-VN-AKIRA-"&amp;TEXT(TODAY(),"yymmdd") &amp; "-01-0"&amp;AutoIncrement!A2</f>
        <v>i-VN-AKIRA-231101-01-005</v>
      </c>
      <c r="C2" s="29" t="str">
        <f ca="1">TEXT(DATE(YEAR(TODAY()), MONTH(TODAY()), DAY(TODAY())), "dd MMM yyyy")</f>
        <v>01 Nov 2023</v>
      </c>
    </row>
    <row r="3" spans="1:6" x14ac:dyDescent="0.3">
      <c r="A3">
        <v>2</v>
      </c>
      <c r="B3" t="str">
        <f ca="1">"i-VN-AKIRA-"&amp;TEXT(TODAY(),"yymmdd") &amp; "-01-0"&amp;AutoIncrement!A2</f>
        <v>i-VN-AKIRA-231101-01-005</v>
      </c>
      <c r="C3" s="29" t="str">
        <f t="shared" ref="C3:C15" ca="1" si="0">TEXT(DATE(YEAR(TODAY()), MONTH(TODAY()), DAY(TODAY())), "dd MMM yyyy")</f>
        <v>01 Nov 2023</v>
      </c>
    </row>
    <row r="4" spans="1:6" x14ac:dyDescent="0.3">
      <c r="A4">
        <v>3</v>
      </c>
      <c r="B4" t="str">
        <f ca="1">"i-VN-AKIRA-"&amp;TEXT(TODAY(),"yymmdd") &amp; "-01-0"&amp;AutoIncrement!A2</f>
        <v>i-VN-AKIRA-231101-01-005</v>
      </c>
      <c r="C4" s="29" t="str">
        <f t="shared" ca="1" si="0"/>
        <v>01 Nov 2023</v>
      </c>
    </row>
    <row r="5" spans="1:6" x14ac:dyDescent="0.3">
      <c r="A5">
        <v>4</v>
      </c>
      <c r="B5" t="str">
        <f ca="1">"i-VN-AKIRA-"&amp;TEXT(TODAY(),"yymmdd") &amp; "-01-0"&amp;AutoIncrement!A2</f>
        <v>i-VN-AKIRA-231101-01-005</v>
      </c>
      <c r="C5" s="29" t="str">
        <f t="shared" ca="1" si="0"/>
        <v>01 Nov 2023</v>
      </c>
    </row>
    <row r="6" spans="1:6" x14ac:dyDescent="0.3">
      <c r="A6">
        <v>5</v>
      </c>
      <c r="B6" t="str">
        <f ca="1">"i-VN-AKIRA-"&amp;TEXT(TODAY(),"yymmdd") &amp; "-01-0"&amp;AutoIncrement!A2</f>
        <v>i-VN-AKIRA-231101-01-005</v>
      </c>
      <c r="C6" s="29" t="str">
        <f t="shared" ca="1" si="0"/>
        <v>01 Nov 2023</v>
      </c>
    </row>
    <row r="7" spans="1:6" x14ac:dyDescent="0.3">
      <c r="A7">
        <v>6</v>
      </c>
      <c r="B7" t="str">
        <f ca="1">"i-VN-AKIRA-"&amp;TEXT(TODAY(),"yymmdd") &amp; "-01-0"&amp;AutoIncrement!A2</f>
        <v>i-VN-AKIRA-231101-01-005</v>
      </c>
      <c r="C7" s="29" t="str">
        <f t="shared" ca="1" si="0"/>
        <v>01 Nov 2023</v>
      </c>
    </row>
    <row r="8" spans="1:6" x14ac:dyDescent="0.3">
      <c r="A8">
        <v>7</v>
      </c>
      <c r="B8" t="str">
        <f ca="1">"i-VN-AKIRA-"&amp;TEXT(TODAY(),"yymmdd") &amp; "-01-0"&amp;AutoIncrement!A2</f>
        <v>i-VN-AKIRA-231101-01-005</v>
      </c>
      <c r="C8" s="29" t="str">
        <f t="shared" ca="1" si="0"/>
        <v>01 Nov 2023</v>
      </c>
    </row>
    <row r="9" spans="1:6" x14ac:dyDescent="0.3">
      <c r="A9">
        <v>8</v>
      </c>
      <c r="B9" t="str">
        <f ca="1">"i-VN-AKIRA-"&amp;TEXT(TODAY(),"yymmdd") &amp; "-01-0"&amp;AutoIncrement!A2</f>
        <v>i-VN-AKIRA-231101-01-005</v>
      </c>
      <c r="C9" s="29" t="str">
        <f t="shared" ca="1" si="0"/>
        <v>01 Nov 2023</v>
      </c>
    </row>
    <row r="10" spans="1:6" x14ac:dyDescent="0.3">
      <c r="A10">
        <v>9</v>
      </c>
      <c r="B10" t="str">
        <f ca="1">"i-VN-AKIRA-"&amp;TEXT(TODAY(),"yymmdd") &amp; "-01-0"&amp;AutoIncrement!A2</f>
        <v>i-VN-AKIRA-231101-01-005</v>
      </c>
      <c r="C10" s="29" t="str">
        <f t="shared" ca="1" si="0"/>
        <v>01 Nov 2023</v>
      </c>
    </row>
    <row r="11" spans="1:6" x14ac:dyDescent="0.3">
      <c r="A11">
        <v>10</v>
      </c>
      <c r="B11" t="str">
        <f ca="1">"i-VN-AKIRA-"&amp;TEXT(TODAY(),"yymmdd") &amp; "-01-0"&amp;AutoIncrement!A2</f>
        <v>i-VN-AKIRA-231101-01-005</v>
      </c>
      <c r="C11" s="29" t="str">
        <f t="shared" ca="1" si="0"/>
        <v>01 Nov 2023</v>
      </c>
    </row>
    <row r="12" spans="1:6" x14ac:dyDescent="0.3">
      <c r="A12">
        <v>11</v>
      </c>
      <c r="B12" t="str">
        <f ca="1">"i-VN-AKIRA-"&amp;TEXT(TODAY(),"yymmdd") &amp; "-01-0"&amp;AutoIncrement!A2</f>
        <v>i-VN-AKIRA-231101-01-005</v>
      </c>
      <c r="C12" s="29" t="str">
        <f t="shared" ca="1" si="0"/>
        <v>01 Nov 2023</v>
      </c>
    </row>
    <row r="13" spans="1:6" x14ac:dyDescent="0.3">
      <c r="A13">
        <v>12</v>
      </c>
      <c r="B13" t="str">
        <f ca="1">"i-VN-AKIRA-"&amp;TEXT(TODAY(),"yymmdd") &amp; "-01-0"&amp;AutoIncrement!A2</f>
        <v>i-VN-AKIRA-231101-01-005</v>
      </c>
      <c r="C13" s="29" t="str">
        <f t="shared" ca="1" si="0"/>
        <v>01 Nov 2023</v>
      </c>
      <c r="D13" s="43">
        <v>1</v>
      </c>
      <c r="E13" s="43">
        <v>1</v>
      </c>
      <c r="F13" s="43">
        <v>1</v>
      </c>
    </row>
    <row r="14" spans="1:6" x14ac:dyDescent="0.3">
      <c r="A14">
        <v>13</v>
      </c>
      <c r="B14" t="str">
        <f ca="1">"i-VN-AKIRA-"&amp;TEXT(TODAY(),"yymmdd") &amp; "-02-0"&amp;AutoIncrement!A2</f>
        <v>i-VN-AKIRA-231101-02-005</v>
      </c>
      <c r="C14" s="29" t="str">
        <f t="shared" ca="1" si="0"/>
        <v>01 Nov 2023</v>
      </c>
      <c r="D14" s="43">
        <v>1</v>
      </c>
      <c r="E14" s="43">
        <v>1</v>
      </c>
      <c r="F14" s="43">
        <v>1</v>
      </c>
    </row>
    <row r="15" spans="1:6" x14ac:dyDescent="0.3">
      <c r="A15">
        <v>14</v>
      </c>
      <c r="B15" t="str">
        <f ca="1">"i-VN-AKIRA-"&amp;TEXT(TODAY(),"yymmdd") &amp; "-02-0"&amp;AutoIncrement!A2</f>
        <v>i-VN-AKIRA-231101-02-005</v>
      </c>
      <c r="C15" s="29" t="str">
        <f t="shared" ca="1" si="0"/>
        <v>01 Nov 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P7"/>
  <sheetViews>
    <sheetView workbookViewId="0">
      <selection activeCell="C3" sqref="C3"/>
    </sheetView>
  </sheetViews>
  <sheetFormatPr defaultRowHeight="14.4" x14ac:dyDescent="0.3"/>
  <cols>
    <col min="1" max="1" width="4.77734375" customWidth="1" collapsed="1"/>
    <col min="2" max="4" width="25.77734375" customWidth="1" collapsed="1"/>
    <col min="5" max="5" width="26.77734375" customWidth="1" collapsed="1"/>
    <col min="6" max="18" width="15.77734375" customWidth="1" collapsed="1"/>
    <col min="19" max="16384" width="8.88671875" collapsed="1"/>
  </cols>
  <sheetData>
    <row r="1" spans="1:16" x14ac:dyDescent="0.3">
      <c r="A1" t="s">
        <v>0</v>
      </c>
      <c r="B1" t="s">
        <v>434</v>
      </c>
      <c r="C1" t="s">
        <v>26</v>
      </c>
      <c r="D1" t="s">
        <v>441</v>
      </c>
      <c r="E1" t="s">
        <v>2</v>
      </c>
      <c r="F1" t="s">
        <v>442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10</v>
      </c>
      <c r="N1" t="s">
        <v>452</v>
      </c>
      <c r="O1" t="s">
        <v>453</v>
      </c>
      <c r="P1" t="s">
        <v>454</v>
      </c>
    </row>
    <row r="2" spans="1:16" x14ac:dyDescent="0.3">
      <c r="A2">
        <v>1</v>
      </c>
      <c r="B2" s="17" t="s">
        <v>117</v>
      </c>
      <c r="C2" s="4" t="s">
        <v>27</v>
      </c>
      <c r="D2" s="17" t="s">
        <v>440</v>
      </c>
      <c r="E2" t="str">
        <f>'TC4'!C2</f>
        <v>SGTTAP-VNTTVN-EA-05-005</v>
      </c>
      <c r="F2" t="s">
        <v>443</v>
      </c>
      <c r="G2">
        <v>10</v>
      </c>
      <c r="H2">
        <v>20</v>
      </c>
      <c r="I2">
        <v>0.1</v>
      </c>
      <c r="J2">
        <v>1</v>
      </c>
      <c r="K2" t="s">
        <v>212</v>
      </c>
      <c r="L2">
        <v>1</v>
      </c>
      <c r="M2" t="s">
        <v>22</v>
      </c>
      <c r="N2">
        <v>10.5</v>
      </c>
      <c r="O2" t="s">
        <v>83</v>
      </c>
    </row>
    <row r="3" spans="1:16" x14ac:dyDescent="0.3">
      <c r="A3">
        <v>2</v>
      </c>
      <c r="B3" s="17" t="s">
        <v>42</v>
      </c>
      <c r="C3" s="4" t="s">
        <v>28</v>
      </c>
      <c r="D3" s="17" t="s">
        <v>435</v>
      </c>
      <c r="E3" s="53" t="str">
        <f>'TC4'!C2</f>
        <v>SGTTAP-VNTTVN-EA-05-005</v>
      </c>
      <c r="F3" t="s">
        <v>443</v>
      </c>
      <c r="G3">
        <v>10</v>
      </c>
      <c r="H3">
        <v>20</v>
      </c>
      <c r="I3">
        <v>0.1</v>
      </c>
      <c r="J3">
        <v>1</v>
      </c>
      <c r="K3" t="s">
        <v>213</v>
      </c>
      <c r="L3">
        <v>1</v>
      </c>
      <c r="M3" t="s">
        <v>22</v>
      </c>
      <c r="N3">
        <v>10.5</v>
      </c>
      <c r="O3" t="s">
        <v>83</v>
      </c>
    </row>
    <row r="4" spans="1:16" x14ac:dyDescent="0.3">
      <c r="A4">
        <v>3</v>
      </c>
      <c r="B4" s="17" t="s">
        <v>43</v>
      </c>
      <c r="C4" s="4" t="s">
        <v>29</v>
      </c>
      <c r="D4" s="17" t="s">
        <v>436</v>
      </c>
      <c r="E4" s="53" t="str">
        <f>'TC4'!C2</f>
        <v>SGTTAP-VNTTVN-EA-05-005</v>
      </c>
      <c r="F4" t="s">
        <v>444</v>
      </c>
      <c r="G4">
        <v>10</v>
      </c>
      <c r="H4">
        <v>20</v>
      </c>
      <c r="I4">
        <v>0.1</v>
      </c>
      <c r="J4">
        <v>1</v>
      </c>
      <c r="K4" t="s">
        <v>214</v>
      </c>
      <c r="L4">
        <v>1</v>
      </c>
      <c r="M4" t="s">
        <v>22</v>
      </c>
      <c r="N4">
        <v>10.5</v>
      </c>
      <c r="O4" t="s">
        <v>83</v>
      </c>
    </row>
    <row r="5" spans="1:16" x14ac:dyDescent="0.3">
      <c r="A5">
        <v>4</v>
      </c>
      <c r="B5" s="17" t="s">
        <v>44</v>
      </c>
      <c r="C5" s="4" t="s">
        <v>30</v>
      </c>
      <c r="D5" s="17" t="s">
        <v>437</v>
      </c>
      <c r="E5" s="53" t="str">
        <f>'TC4'!C2</f>
        <v>SGTTAP-VNTTVN-EA-05-005</v>
      </c>
      <c r="F5" t="s">
        <v>444</v>
      </c>
      <c r="G5">
        <v>10</v>
      </c>
      <c r="H5">
        <v>20</v>
      </c>
      <c r="I5">
        <v>0.1</v>
      </c>
      <c r="J5">
        <v>1</v>
      </c>
      <c r="K5" t="s">
        <v>289</v>
      </c>
      <c r="L5">
        <v>1</v>
      </c>
      <c r="M5" t="s">
        <v>22</v>
      </c>
      <c r="N5">
        <v>10.5</v>
      </c>
      <c r="O5" t="s">
        <v>83</v>
      </c>
    </row>
    <row r="6" spans="1:16" x14ac:dyDescent="0.3">
      <c r="A6">
        <v>5</v>
      </c>
      <c r="B6" s="17" t="s">
        <v>45</v>
      </c>
      <c r="C6" s="4" t="s">
        <v>31</v>
      </c>
      <c r="D6" s="17" t="s">
        <v>438</v>
      </c>
      <c r="E6" s="53" t="str">
        <f>'TC4'!C2</f>
        <v>SGTTAP-VNTTVN-EA-05-005</v>
      </c>
      <c r="F6" t="s">
        <v>445</v>
      </c>
      <c r="G6">
        <v>10</v>
      </c>
      <c r="H6">
        <v>20</v>
      </c>
      <c r="I6">
        <v>0.1</v>
      </c>
      <c r="J6">
        <v>1</v>
      </c>
      <c r="K6" t="s">
        <v>214</v>
      </c>
      <c r="L6">
        <v>1</v>
      </c>
      <c r="M6" t="s">
        <v>22</v>
      </c>
      <c r="N6">
        <v>10.5</v>
      </c>
      <c r="O6" t="s">
        <v>83</v>
      </c>
    </row>
    <row r="7" spans="1:16" x14ac:dyDescent="0.3">
      <c r="A7">
        <v>6</v>
      </c>
      <c r="B7" s="17" t="s">
        <v>46</v>
      </c>
      <c r="C7" s="4" t="s">
        <v>32</v>
      </c>
      <c r="D7" s="17" t="s">
        <v>439</v>
      </c>
      <c r="E7" s="53" t="str">
        <f>'TC4'!C2</f>
        <v>SGTTAP-VNTTVN-EA-05-005</v>
      </c>
      <c r="F7" t="s">
        <v>445</v>
      </c>
      <c r="G7">
        <v>10</v>
      </c>
      <c r="H7">
        <v>20</v>
      </c>
      <c r="I7">
        <v>0.1</v>
      </c>
      <c r="J7">
        <v>1</v>
      </c>
      <c r="K7" t="s">
        <v>214</v>
      </c>
      <c r="L7">
        <v>1</v>
      </c>
      <c r="M7" t="s">
        <v>22</v>
      </c>
      <c r="N7">
        <v>10.5</v>
      </c>
      <c r="O7" t="s">
        <v>83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topLeftCell="F1" zoomScale="90" zoomScaleNormal="90" workbookViewId="0">
      <selection activeCell="K29" sqref="K29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0" width="15.77734375" customWidth="1" collapsed="1"/>
    <col min="21" max="21" width="25.77734375" customWidth="1" collapsed="1"/>
    <col min="22" max="22" width="15.77734375" customWidth="1" collapsed="1"/>
    <col min="23" max="23" width="8.88671875" customWidth="1" collapsed="1"/>
  </cols>
  <sheetData>
    <row r="1" spans="1:22" x14ac:dyDescent="0.3">
      <c r="A1" t="s">
        <v>0</v>
      </c>
      <c r="B1" t="s">
        <v>104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19</v>
      </c>
      <c r="V1" t="s">
        <v>47</v>
      </c>
    </row>
    <row r="2" spans="1:22" x14ac:dyDescent="0.3">
      <c r="A2">
        <v>1</v>
      </c>
      <c r="B2" t="s">
        <v>477</v>
      </c>
      <c r="C2" t="str">
        <f>"SGTTAP-VNTTVN-"&amp;'TC4'!H2&amp;"-0"&amp;AutoIncrement!A2</f>
        <v>SGTTAP-VNTTVN-EA-05-005</v>
      </c>
      <c r="D2" t="s">
        <v>20</v>
      </c>
      <c r="E2" t="s">
        <v>33</v>
      </c>
      <c r="F2">
        <v>1</v>
      </c>
      <c r="G2">
        <v>2</v>
      </c>
      <c r="H2" t="str">
        <f>AutoIncrement!B2&amp;"-"&amp;AutoIncrement!A2</f>
        <v>EA-05</v>
      </c>
      <c r="I2" t="str">
        <f>"CD-"&amp;H2</f>
        <v>CD-EA-05</v>
      </c>
      <c r="J2" t="s">
        <v>21</v>
      </c>
      <c r="K2" t="s">
        <v>22</v>
      </c>
      <c r="L2" t="s">
        <v>23</v>
      </c>
      <c r="M2" t="s">
        <v>39</v>
      </c>
      <c r="N2" t="str">
        <f>"RD-"&amp;H2</f>
        <v>RD-EA-05</v>
      </c>
      <c r="O2" t="s">
        <v>24</v>
      </c>
      <c r="P2" t="s">
        <v>35</v>
      </c>
      <c r="Q2" t="s">
        <v>36</v>
      </c>
      <c r="R2" t="s">
        <v>25</v>
      </c>
      <c r="S2" t="s">
        <v>37</v>
      </c>
      <c r="T2" t="s">
        <v>38</v>
      </c>
      <c r="U2" t="s">
        <v>478</v>
      </c>
      <c r="V2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B2"/>
  <sheetViews>
    <sheetView workbookViewId="0">
      <selection activeCell="F17" sqref="F17"/>
    </sheetView>
  </sheetViews>
  <sheetFormatPr defaultRowHeight="14.4" x14ac:dyDescent="0.3"/>
  <cols>
    <col min="1" max="1" width="4.77734375" customWidth="1" collapsed="1"/>
    <col min="2" max="2" width="25.77734375" customWidth="1" collapsed="1"/>
  </cols>
  <sheetData>
    <row r="1" spans="1:2" x14ac:dyDescent="0.3">
      <c r="A1" t="s">
        <v>41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TC11-Period Generator</vt:lpstr>
      <vt:lpstr>TC11-Order Regular</vt:lpstr>
      <vt:lpstr>TC11-Inbound Dates Regular</vt:lpstr>
      <vt:lpstr>TC11-Order Spot</vt:lpstr>
      <vt:lpstr>TC11-Inbound Dates Spot</vt:lpstr>
      <vt:lpstr>TC11-Customer CO</vt:lpstr>
      <vt:lpstr>TC12</vt:lpstr>
      <vt:lpstr>TC14-BU SO</vt:lpstr>
      <vt:lpstr>TC15-BU PO</vt:lpstr>
      <vt:lpstr>TC16-Supplier SO</vt:lpstr>
      <vt:lpstr>TC17-Supplier SO -Regular</vt:lpstr>
      <vt:lpstr>TC17-Supplier SO -Spot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Muhammad Nasarudin Mohd Razali</cp:lastModifiedBy>
  <dcterms:created xsi:type="dcterms:W3CDTF">2015-06-05T18:17:20Z</dcterms:created>
  <dcterms:modified xsi:type="dcterms:W3CDTF">2023-11-01T08:15:40Z</dcterms:modified>
</cp:coreProperties>
</file>