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PCB\Design_Guide\"/>
    </mc:Choice>
  </mc:AlternateContent>
  <xr:revisionPtr revIDLastSave="0" documentId="13_ncr:1_{5F77A376-F4B2-4D6B-9FE9-887422584CF0}" xr6:coauthVersionLast="45" xr6:coauthVersionMax="45" xr10:uidLastSave="{00000000-0000-0000-0000-000000000000}"/>
  <bookViews>
    <workbookView xWindow="-113" yWindow="-113" windowWidth="24267" windowHeight="13148" activeTab="2" xr2:uid="{7ACC5418-9D4E-4864-98A5-6C161CB3FC81}"/>
  </bookViews>
  <sheets>
    <sheet name="Power factor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B7" i="3"/>
  <c r="B24" i="3" l="1"/>
  <c r="G5" i="3" s="1"/>
  <c r="G6" i="3" s="1"/>
  <c r="B22" i="3"/>
  <c r="B23" i="3" s="1"/>
  <c r="B19" i="3"/>
  <c r="B16" i="3"/>
  <c r="B15" i="3"/>
  <c r="B10" i="3"/>
  <c r="G27" i="2"/>
  <c r="H38" i="2"/>
  <c r="H37" i="2"/>
  <c r="H34" i="2"/>
  <c r="H35" i="2" s="1"/>
  <c r="H33" i="2"/>
  <c r="B20" i="2"/>
  <c r="B33" i="2"/>
  <c r="B10" i="2"/>
  <c r="B3" i="2"/>
  <c r="B14" i="2" s="1"/>
  <c r="B15" i="2" s="1"/>
  <c r="B4" i="2"/>
  <c r="B25" i="2"/>
  <c r="C18" i="1"/>
  <c r="G7" i="3" l="1"/>
  <c r="B9" i="2"/>
  <c r="B29" i="2"/>
  <c r="B34" i="2" s="1"/>
  <c r="B21" i="2"/>
  <c r="C14" i="1"/>
  <c r="D7" i="1"/>
  <c r="C7" i="1"/>
  <c r="C8" i="1" l="1"/>
  <c r="C13" i="1" l="1"/>
  <c r="C12" i="1"/>
  <c r="C15" i="1" s="1"/>
  <c r="C16" i="1" s="1"/>
  <c r="C17" i="1" l="1"/>
  <c r="C20" i="1" s="1"/>
  <c r="C21" i="1" s="1"/>
</calcChain>
</file>

<file path=xl/sharedStrings.xml><?xml version="1.0" encoding="utf-8"?>
<sst xmlns="http://schemas.openxmlformats.org/spreadsheetml/2006/main" count="127" uniqueCount="77">
  <si>
    <t>H</t>
  </si>
  <si>
    <t>R</t>
  </si>
  <si>
    <t>F</t>
  </si>
  <si>
    <t>Z</t>
  </si>
  <si>
    <t>X</t>
  </si>
  <si>
    <t>L</t>
  </si>
  <si>
    <t>M</t>
  </si>
  <si>
    <t>Rs</t>
  </si>
  <si>
    <t>E</t>
  </si>
  <si>
    <t>Q</t>
  </si>
  <si>
    <t>|Z|</t>
  </si>
  <si>
    <t>θ</t>
  </si>
  <si>
    <t>I</t>
  </si>
  <si>
    <t>A</t>
  </si>
  <si>
    <t>°</t>
  </si>
  <si>
    <t>Ω</t>
  </si>
  <si>
    <t>Total current</t>
  </si>
  <si>
    <t>Apparent power</t>
  </si>
  <si>
    <t>W</t>
  </si>
  <si>
    <t>S</t>
  </si>
  <si>
    <t>VA</t>
  </si>
  <si>
    <t>True Power</t>
  </si>
  <si>
    <t>P</t>
  </si>
  <si>
    <t>Power factor</t>
  </si>
  <si>
    <t>Pf</t>
  </si>
  <si>
    <t>U</t>
  </si>
  <si>
    <t>-</t>
  </si>
  <si>
    <t>Phase angle</t>
  </si>
  <si>
    <t>Reactive Power</t>
  </si>
  <si>
    <t>VAR</t>
  </si>
  <si>
    <t>C</t>
  </si>
  <si>
    <t>Compensation Capacitance</t>
  </si>
  <si>
    <t>Load inductance</t>
  </si>
  <si>
    <t>Load resistance</t>
  </si>
  <si>
    <t>Frequency</t>
  </si>
  <si>
    <t>RMS Voltage</t>
  </si>
  <si>
    <t>Impedance</t>
  </si>
  <si>
    <t>Impedance module</t>
  </si>
  <si>
    <t>Compensation Reactance</t>
  </si>
  <si>
    <t>Phase delay</t>
  </si>
  <si>
    <t>ms</t>
  </si>
  <si>
    <t>ϕ</t>
  </si>
  <si>
    <t>Equation</t>
  </si>
  <si>
    <t>e</t>
  </si>
  <si>
    <t>Cs</t>
  </si>
  <si>
    <t>w0</t>
  </si>
  <si>
    <t>Vrms</t>
  </si>
  <si>
    <t>sin(phi)</t>
  </si>
  <si>
    <t>dV/dt(off)</t>
  </si>
  <si>
    <t>CT</t>
  </si>
  <si>
    <t>V/us</t>
  </si>
  <si>
    <t>V</t>
  </si>
  <si>
    <t>k/e</t>
  </si>
  <si>
    <t>dV/dt</t>
  </si>
  <si>
    <t>dV/E</t>
  </si>
  <si>
    <t>L/R</t>
  </si>
  <si>
    <t>Charge</t>
  </si>
  <si>
    <t>Resistance</t>
  </si>
  <si>
    <t>Inductance</t>
  </si>
  <si>
    <t>Undumped natural resonance</t>
  </si>
  <si>
    <t>Triac</t>
  </si>
  <si>
    <t>Ct</t>
  </si>
  <si>
    <t>dV/dt min</t>
  </si>
  <si>
    <t>Vp</t>
  </si>
  <si>
    <t>f0</t>
  </si>
  <si>
    <t>Hz</t>
  </si>
  <si>
    <t>System</t>
  </si>
  <si>
    <t>ξ</t>
  </si>
  <si>
    <r>
      <t>sin(</t>
    </r>
    <r>
      <rPr>
        <sz val="11"/>
        <color theme="1"/>
        <rFont val="Calibri Light"/>
        <family val="2"/>
      </rPr>
      <t>ϕ)</t>
    </r>
  </si>
  <si>
    <t>Raw dumping fator</t>
  </si>
  <si>
    <t>Raw final voltage value</t>
  </si>
  <si>
    <t xml:space="preserve"> </t>
  </si>
  <si>
    <t>Resonance criterion</t>
  </si>
  <si>
    <t>Having Vpk, ξ, graph reading</t>
  </si>
  <si>
    <t>dV/dt (ξ)</t>
  </si>
  <si>
    <t>rad/s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</si>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</sst>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33028</xdr:colOff>
      <xdr:row>0</xdr:row>
      <xdr:rowOff>0</xdr:rowOff>
    </xdr:from>
    <xdr:to>
      <xdr:col>14</xdr:col>
      <xdr:colOff>239762</xdr:colOff>
      <xdr:row>21</xdr:row>
      <xdr:rowOff>147851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8432F-169D-4543-9635-0B586F472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9262" y="0"/>
          <a:ext cx="6567778" cy="4129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02F3-8E88-401D-92DE-1D6A3030CB14}">
  <dimension ref="A1:D21"/>
  <sheetViews>
    <sheetView zoomScale="130" zoomScaleNormal="130" workbookViewId="0">
      <selection activeCell="C18" sqref="C18"/>
    </sheetView>
  </sheetViews>
  <sheetFormatPr defaultRowHeight="15.05" x14ac:dyDescent="0.3"/>
  <cols>
    <col min="1" max="1" width="26.44140625" style="1" customWidth="1"/>
    <col min="2" max="2" width="8.88671875" style="1"/>
    <col min="3" max="3" width="11.77734375" style="1" customWidth="1"/>
    <col min="4" max="16384" width="8.88671875" style="1"/>
  </cols>
  <sheetData>
    <row r="1" spans="1:4" x14ac:dyDescent="0.3">
      <c r="A1" s="1" t="s">
        <v>33</v>
      </c>
      <c r="B1" s="1" t="s">
        <v>1</v>
      </c>
      <c r="C1" s="1">
        <v>27</v>
      </c>
    </row>
    <row r="2" spans="1:4" x14ac:dyDescent="0.3">
      <c r="A2" s="1" t="s">
        <v>32</v>
      </c>
      <c r="B2" s="1" t="s">
        <v>5</v>
      </c>
      <c r="C2" s="1">
        <v>2.8</v>
      </c>
    </row>
    <row r="3" spans="1:4" x14ac:dyDescent="0.3">
      <c r="A3" s="1" t="s">
        <v>34</v>
      </c>
      <c r="B3" s="1" t="s">
        <v>2</v>
      </c>
      <c r="C3" s="1">
        <v>50</v>
      </c>
    </row>
    <row r="4" spans="1:4" x14ac:dyDescent="0.3">
      <c r="A4" s="1" t="s">
        <v>35</v>
      </c>
      <c r="B4" s="1" t="s">
        <v>25</v>
      </c>
      <c r="C4" s="1">
        <v>230</v>
      </c>
    </row>
    <row r="6" spans="1:4" x14ac:dyDescent="0.3">
      <c r="C6" s="1" t="s">
        <v>1</v>
      </c>
      <c r="D6" s="1" t="s">
        <v>4</v>
      </c>
    </row>
    <row r="7" spans="1:4" x14ac:dyDescent="0.3">
      <c r="A7" s="1" t="s">
        <v>36</v>
      </c>
      <c r="B7" s="1" t="s">
        <v>3</v>
      </c>
      <c r="C7" s="1">
        <f>C1</f>
        <v>27</v>
      </c>
      <c r="D7" s="1">
        <f>2*PI()*C3*C2</f>
        <v>879.64594300514204</v>
      </c>
    </row>
    <row r="8" spans="1:4" x14ac:dyDescent="0.3">
      <c r="A8" s="1" t="s">
        <v>37</v>
      </c>
      <c r="B8" s="1" t="s">
        <v>10</v>
      </c>
      <c r="C8" s="1">
        <f>SQRT(C7^2+D7^2)</f>
        <v>880.06021671554129</v>
      </c>
      <c r="D8" s="2" t="s">
        <v>15</v>
      </c>
    </row>
    <row r="12" spans="1:4" x14ac:dyDescent="0.3">
      <c r="A12" s="1" t="s">
        <v>16</v>
      </c>
      <c r="B12" s="1" t="s">
        <v>12</v>
      </c>
      <c r="C12" s="1">
        <f>C4/C8</f>
        <v>0.2613457529740173</v>
      </c>
      <c r="D12" s="1" t="s">
        <v>13</v>
      </c>
    </row>
    <row r="13" spans="1:4" x14ac:dyDescent="0.3">
      <c r="A13" s="1" t="s">
        <v>17</v>
      </c>
      <c r="B13" s="1" t="s">
        <v>19</v>
      </c>
      <c r="C13" s="1">
        <f>C4*C4/C8</f>
        <v>60.109523184023985</v>
      </c>
      <c r="D13" s="1" t="s">
        <v>20</v>
      </c>
    </row>
    <row r="14" spans="1:4" x14ac:dyDescent="0.3">
      <c r="A14" s="1" t="s">
        <v>21</v>
      </c>
      <c r="B14" s="1" t="s">
        <v>22</v>
      </c>
      <c r="C14" s="1">
        <f>C1*C12*C12</f>
        <v>1.8441432701340139</v>
      </c>
      <c r="D14" s="1" t="s">
        <v>18</v>
      </c>
    </row>
    <row r="15" spans="1:4" x14ac:dyDescent="0.3">
      <c r="A15" s="1" t="s">
        <v>23</v>
      </c>
      <c r="B15" s="1" t="s">
        <v>24</v>
      </c>
      <c r="C15" s="1">
        <f>C14/C13</f>
        <v>3.0679718827384635E-2</v>
      </c>
      <c r="D15" s="1" t="s">
        <v>26</v>
      </c>
    </row>
    <row r="16" spans="1:4" x14ac:dyDescent="0.3">
      <c r="A16" s="1" t="s">
        <v>27</v>
      </c>
      <c r="B16" s="1" t="s">
        <v>11</v>
      </c>
      <c r="C16" s="1">
        <f>DEGREES(ACOS(C15))</f>
        <v>88.241905721337218</v>
      </c>
      <c r="D16" s="1" t="s">
        <v>14</v>
      </c>
    </row>
    <row r="17" spans="1:4" x14ac:dyDescent="0.3">
      <c r="A17" s="1" t="s">
        <v>28</v>
      </c>
      <c r="B17" s="1" t="s">
        <v>9</v>
      </c>
      <c r="C17" s="1">
        <f>C13*SIN(C16*PI()/180)</f>
        <v>60.081227625689678</v>
      </c>
      <c r="D17" s="1" t="s">
        <v>29</v>
      </c>
    </row>
    <row r="18" spans="1:4" x14ac:dyDescent="0.3">
      <c r="A18" s="1" t="s">
        <v>39</v>
      </c>
      <c r="B18" s="2" t="s">
        <v>41</v>
      </c>
      <c r="C18" s="1">
        <f>(1/C3)*C16/360</f>
        <v>4.9023280956298453E-3</v>
      </c>
      <c r="D18" s="1" t="s">
        <v>40</v>
      </c>
    </row>
    <row r="20" spans="1:4" x14ac:dyDescent="0.3">
      <c r="A20" s="1" t="s">
        <v>38</v>
      </c>
      <c r="B20" s="1" t="s">
        <v>4</v>
      </c>
      <c r="C20" s="1">
        <f>(C4^2)/C17</f>
        <v>880.47468553024191</v>
      </c>
      <c r="D20" s="2" t="s">
        <v>15</v>
      </c>
    </row>
    <row r="21" spans="1:4" x14ac:dyDescent="0.3">
      <c r="A21" s="1" t="s">
        <v>31</v>
      </c>
      <c r="B21" s="1" t="s">
        <v>30</v>
      </c>
      <c r="C21" s="1">
        <f>1/(2*PI()*C3*C20)</f>
        <v>3.615207698925463E-6</v>
      </c>
      <c r="D21" s="1" t="s"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1B43-6D9C-47D2-B74A-F7FE4D7FF625}">
  <dimension ref="A1:H38"/>
  <sheetViews>
    <sheetView workbookViewId="0">
      <selection activeCell="B15" sqref="B15"/>
    </sheetView>
  </sheetViews>
  <sheetFormatPr defaultRowHeight="15.05" x14ac:dyDescent="0.3"/>
  <cols>
    <col min="1" max="1" width="8.88671875" style="1"/>
    <col min="2" max="2" width="11" style="1" bestFit="1" customWidth="1"/>
    <col min="3" max="7" width="8.88671875" style="1"/>
    <col min="8" max="8" width="12" style="1" bestFit="1" customWidth="1"/>
    <col min="9" max="16384" width="8.88671875" style="1"/>
  </cols>
  <sheetData>
    <row r="1" spans="1:3" x14ac:dyDescent="0.3">
      <c r="A1" s="1" t="s">
        <v>1</v>
      </c>
      <c r="B1" s="1">
        <v>27</v>
      </c>
      <c r="C1" s="2" t="s">
        <v>15</v>
      </c>
    </row>
    <row r="2" spans="1:3" x14ac:dyDescent="0.3">
      <c r="A2" s="1" t="s">
        <v>5</v>
      </c>
      <c r="B2" s="1">
        <v>2.8</v>
      </c>
      <c r="C2" s="1" t="s">
        <v>0</v>
      </c>
    </row>
    <row r="3" spans="1:3" x14ac:dyDescent="0.3">
      <c r="A3" s="1" t="s">
        <v>44</v>
      </c>
      <c r="B3" s="1">
        <f>100*10^(-9)</f>
        <v>1.0000000000000001E-7</v>
      </c>
      <c r="C3" s="1" t="s">
        <v>2</v>
      </c>
    </row>
    <row r="4" spans="1:3" x14ac:dyDescent="0.3">
      <c r="A4" s="1" t="s">
        <v>49</v>
      </c>
      <c r="B4" s="1">
        <f>12*10^(-12)</f>
        <v>1.2000000000000001E-11</v>
      </c>
      <c r="C4" s="1" t="s">
        <v>2</v>
      </c>
    </row>
    <row r="6" spans="1:3" x14ac:dyDescent="0.3">
      <c r="A6" s="1" t="s">
        <v>42</v>
      </c>
    </row>
    <row r="7" spans="1:3" x14ac:dyDescent="0.3">
      <c r="A7" s="1">
        <v>3</v>
      </c>
    </row>
    <row r="8" spans="1:3" x14ac:dyDescent="0.3">
      <c r="A8" s="1" t="s">
        <v>7</v>
      </c>
      <c r="B8" s="1">
        <v>620</v>
      </c>
      <c r="C8" s="2" t="s">
        <v>15</v>
      </c>
    </row>
    <row r="9" spans="1:3" x14ac:dyDescent="0.3">
      <c r="A9" s="1" t="s">
        <v>44</v>
      </c>
      <c r="B9" s="1">
        <f>B3</f>
        <v>1.0000000000000001E-7</v>
      </c>
      <c r="C9" s="1" t="s">
        <v>2</v>
      </c>
    </row>
    <row r="10" spans="1:3" x14ac:dyDescent="0.3">
      <c r="A10" s="1" t="s">
        <v>43</v>
      </c>
      <c r="B10" s="1">
        <f>SQRT(B9/B2)*(B8+B1)/2</f>
        <v>6.113575350924251E-2</v>
      </c>
    </row>
    <row r="12" spans="1:3" x14ac:dyDescent="0.3">
      <c r="A12" s="1" t="s">
        <v>42</v>
      </c>
    </row>
    <row r="13" spans="1:3" x14ac:dyDescent="0.3">
      <c r="A13" s="1">
        <v>4</v>
      </c>
    </row>
    <row r="14" spans="1:3" x14ac:dyDescent="0.3">
      <c r="A14" s="1" t="s">
        <v>44</v>
      </c>
      <c r="B14" s="1">
        <f>B3</f>
        <v>1.0000000000000001E-7</v>
      </c>
      <c r="C14" s="1" t="s">
        <v>2</v>
      </c>
    </row>
    <row r="15" spans="1:3" x14ac:dyDescent="0.3">
      <c r="A15" s="1" t="s">
        <v>45</v>
      </c>
      <c r="B15" s="1">
        <f>1/(SQRT(B2*B14))</f>
        <v>1889.8223650461362</v>
      </c>
    </row>
    <row r="17" spans="1:7" x14ac:dyDescent="0.3">
      <c r="A17" s="1" t="s">
        <v>42</v>
      </c>
    </row>
    <row r="18" spans="1:7" x14ac:dyDescent="0.3">
      <c r="A18" s="1">
        <v>5</v>
      </c>
    </row>
    <row r="19" spans="1:7" x14ac:dyDescent="0.3">
      <c r="A19" s="1" t="s">
        <v>46</v>
      </c>
      <c r="B19" s="1">
        <v>220</v>
      </c>
      <c r="C19" s="1" t="s">
        <v>51</v>
      </c>
    </row>
    <row r="20" spans="1:7" x14ac:dyDescent="0.3">
      <c r="A20" s="1" t="s">
        <v>47</v>
      </c>
      <c r="B20" s="1">
        <f>(B2*B15)/(SQRT(B1*B1+(B2*B15)^2))</f>
        <v>0.99998698239704853</v>
      </c>
    </row>
    <row r="21" spans="1:7" x14ac:dyDescent="0.3">
      <c r="A21" s="1" t="s">
        <v>8</v>
      </c>
      <c r="B21" s="1">
        <f>SQRT(2)*B20*B19</f>
        <v>311.12293359453935</v>
      </c>
      <c r="C21" s="1" t="s">
        <v>51</v>
      </c>
    </row>
    <row r="23" spans="1:7" x14ac:dyDescent="0.3">
      <c r="A23" s="1" t="s">
        <v>42</v>
      </c>
    </row>
    <row r="24" spans="1:7" x14ac:dyDescent="0.3">
      <c r="A24" s="1">
        <v>6</v>
      </c>
    </row>
    <row r="25" spans="1:7" x14ac:dyDescent="0.3">
      <c r="A25" s="1" t="s">
        <v>6</v>
      </c>
      <c r="B25" s="1">
        <f>B8/(B8+B1)</f>
        <v>0.95826893353941267</v>
      </c>
    </row>
    <row r="27" spans="1:7" x14ac:dyDescent="0.3">
      <c r="A27" s="1" t="s">
        <v>42</v>
      </c>
      <c r="G27" s="1">
        <f>(190/2)*SQRT(B3/B2)</f>
        <v>1.7953312467938295E-2</v>
      </c>
    </row>
    <row r="28" spans="1:7" x14ac:dyDescent="0.3">
      <c r="A28" s="1">
        <v>9</v>
      </c>
    </row>
    <row r="29" spans="1:7" x14ac:dyDescent="0.3">
      <c r="A29" s="1" t="s">
        <v>48</v>
      </c>
      <c r="B29" s="1">
        <f>(SQRT(2)*B19*B20*10^(-6))/(SQRT(B2*B4))</f>
        <v>53.673805298787485</v>
      </c>
      <c r="C29" s="1" t="s">
        <v>50</v>
      </c>
    </row>
    <row r="31" spans="1:7" x14ac:dyDescent="0.3">
      <c r="A31" s="1" t="s">
        <v>42</v>
      </c>
    </row>
    <row r="32" spans="1:7" x14ac:dyDescent="0.3">
      <c r="A32" s="1">
        <v>10</v>
      </c>
    </row>
    <row r="33" spans="1:8" x14ac:dyDescent="0.3">
      <c r="A33" s="1" t="s">
        <v>5</v>
      </c>
      <c r="B33" s="1">
        <f>B19/(0.14*2*PI()*50)</f>
        <v>5.0020124971738529</v>
      </c>
      <c r="D33" s="1" t="s">
        <v>5</v>
      </c>
      <c r="E33" s="1">
        <v>2.4</v>
      </c>
      <c r="G33" s="1" t="s">
        <v>54</v>
      </c>
      <c r="H33" s="1">
        <f>E37/E36</f>
        <v>6.5359477124183009E-3</v>
      </c>
    </row>
    <row r="34" spans="1:8" x14ac:dyDescent="0.3">
      <c r="A34" s="1" t="s">
        <v>52</v>
      </c>
      <c r="B34" s="1">
        <f>2*((B33)/(B1+B8))*B29/B21</f>
        <v>2.6674780152238955E-3</v>
      </c>
      <c r="D34" s="1" t="s">
        <v>1</v>
      </c>
      <c r="E34" s="1">
        <v>190</v>
      </c>
      <c r="G34" s="1" t="s">
        <v>55</v>
      </c>
      <c r="H34" s="1">
        <f>E33/(E34+E35)</f>
        <v>2.9629629629629628E-3</v>
      </c>
    </row>
    <row r="35" spans="1:8" x14ac:dyDescent="0.3">
      <c r="D35" s="1" t="s">
        <v>7</v>
      </c>
      <c r="E35" s="1">
        <v>620</v>
      </c>
      <c r="H35" s="1">
        <f>2*H34*H33</f>
        <v>3.8731541999515858E-5</v>
      </c>
    </row>
    <row r="36" spans="1:8" x14ac:dyDescent="0.3">
      <c r="D36" s="1" t="s">
        <v>8</v>
      </c>
      <c r="E36" s="1">
        <v>306</v>
      </c>
    </row>
    <row r="37" spans="1:8" x14ac:dyDescent="0.3">
      <c r="D37" s="1" t="s">
        <v>53</v>
      </c>
      <c r="E37" s="1">
        <v>2</v>
      </c>
      <c r="G37" s="3"/>
      <c r="H37" s="1">
        <f>2/38</f>
        <v>5.2631578947368418E-2</v>
      </c>
    </row>
    <row r="38" spans="1:8" x14ac:dyDescent="0.3">
      <c r="H38" s="1">
        <f>H37*H33</f>
        <v>3.4399724802201581E-4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E2F1-B508-4485-8235-95FC95590180}">
  <dimension ref="A1:H25"/>
  <sheetViews>
    <sheetView tabSelected="1" workbookViewId="0">
      <selection activeCell="C26" sqref="C26"/>
    </sheetView>
  </sheetViews>
  <sheetFormatPr defaultRowHeight="15.05" x14ac:dyDescent="0.3"/>
  <cols>
    <col min="1" max="1" width="12" style="1" customWidth="1"/>
    <col min="2" max="2" width="13.21875" style="1" customWidth="1"/>
    <col min="3" max="6" width="8.88671875" style="1"/>
    <col min="7" max="7" width="10" style="1" bestFit="1" customWidth="1"/>
    <col min="8" max="16384" width="8.88671875" style="1"/>
  </cols>
  <sheetData>
    <row r="1" spans="1:8" x14ac:dyDescent="0.3">
      <c r="A1" s="7" t="s">
        <v>66</v>
      </c>
      <c r="B1" s="7"/>
      <c r="C1" s="7"/>
      <c r="F1" s="7" t="s">
        <v>72</v>
      </c>
      <c r="G1" s="7"/>
      <c r="H1" s="7"/>
    </row>
    <row r="2" spans="1:8" x14ac:dyDescent="0.3">
      <c r="A2" s="1" t="s">
        <v>46</v>
      </c>
      <c r="B2" s="1">
        <v>230</v>
      </c>
      <c r="C2" s="1" t="s">
        <v>51</v>
      </c>
      <c r="F2" s="7" t="s">
        <v>73</v>
      </c>
      <c r="G2" s="7"/>
      <c r="H2" s="7"/>
    </row>
    <row r="3" spans="1:8" x14ac:dyDescent="0.3">
      <c r="A3" s="1" t="s">
        <v>34</v>
      </c>
      <c r="B3" s="1">
        <v>50</v>
      </c>
      <c r="C3" s="1" t="s">
        <v>65</v>
      </c>
      <c r="F3" s="1" t="s">
        <v>74</v>
      </c>
      <c r="G3" s="1">
        <v>1</v>
      </c>
      <c r="H3" s="1" t="s">
        <v>50</v>
      </c>
    </row>
    <row r="4" spans="1:8" x14ac:dyDescent="0.3">
      <c r="F4" s="1" t="s">
        <v>67</v>
      </c>
      <c r="G4" s="1">
        <v>0.6</v>
      </c>
      <c r="H4" s="1" t="s">
        <v>26</v>
      </c>
    </row>
    <row r="5" spans="1:8" x14ac:dyDescent="0.3">
      <c r="A5" s="7" t="s">
        <v>56</v>
      </c>
      <c r="B5" s="7"/>
      <c r="C5" s="7"/>
      <c r="F5" s="1" t="s">
        <v>45</v>
      </c>
      <c r="G5" s="1">
        <f>(B11*10^6)/(G3*B24)</f>
        <v>3074377.3095067283</v>
      </c>
      <c r="H5" s="1" t="s">
        <v>75</v>
      </c>
    </row>
    <row r="6" spans="1:8" x14ac:dyDescent="0.3">
      <c r="A6" s="1" t="s">
        <v>57</v>
      </c>
      <c r="B6" s="1">
        <v>27</v>
      </c>
      <c r="C6" s="2" t="s">
        <v>15</v>
      </c>
      <c r="F6" s="1" t="s">
        <v>44</v>
      </c>
      <c r="G6" s="1">
        <f>1/(G5*G5*B7)</f>
        <v>5.5684210526315792E-9</v>
      </c>
      <c r="H6" s="1" t="s">
        <v>2</v>
      </c>
    </row>
    <row r="7" spans="1:8" x14ac:dyDescent="0.3">
      <c r="A7" s="1" t="s">
        <v>58</v>
      </c>
      <c r="B7" s="1">
        <f>19*10^(-6)</f>
        <v>1.8999999999999998E-5</v>
      </c>
      <c r="C7" s="1" t="s">
        <v>0</v>
      </c>
      <c r="F7" s="1" t="s">
        <v>7</v>
      </c>
      <c r="G7" s="1">
        <f>2*G4*(SQRT(B7/G6))</f>
        <v>70.095802656753406</v>
      </c>
      <c r="H7" s="2" t="s">
        <v>15</v>
      </c>
    </row>
    <row r="9" spans="1:8" x14ac:dyDescent="0.3">
      <c r="A9" s="7" t="s">
        <v>60</v>
      </c>
      <c r="B9" s="7"/>
      <c r="C9" s="7"/>
    </row>
    <row r="10" spans="1:8" x14ac:dyDescent="0.3">
      <c r="A10" s="1" t="s">
        <v>61</v>
      </c>
      <c r="B10" s="1">
        <f>12*10^(-12)</f>
        <v>1.2000000000000001E-11</v>
      </c>
      <c r="C10" s="1" t="s">
        <v>2</v>
      </c>
    </row>
    <row r="11" spans="1:8" x14ac:dyDescent="0.3">
      <c r="A11" s="1" t="s">
        <v>62</v>
      </c>
      <c r="B11" s="1">
        <v>1000</v>
      </c>
      <c r="C11" s="1" t="s">
        <v>50</v>
      </c>
    </row>
    <row r="12" spans="1:8" x14ac:dyDescent="0.3">
      <c r="A12" s="1" t="s">
        <v>63</v>
      </c>
      <c r="B12" s="1">
        <v>600</v>
      </c>
      <c r="C12" s="1" t="s">
        <v>51</v>
      </c>
    </row>
    <row r="14" spans="1:8" x14ac:dyDescent="0.3">
      <c r="A14" s="7" t="s">
        <v>59</v>
      </c>
      <c r="B14" s="7"/>
      <c r="C14" s="7"/>
    </row>
    <row r="15" spans="1:8" x14ac:dyDescent="0.3">
      <c r="A15" s="1" t="s">
        <v>45</v>
      </c>
      <c r="B15" s="5">
        <f>1/(SQRT(B7*B10))</f>
        <v>66226617.853252187</v>
      </c>
      <c r="C15" s="1" t="s">
        <v>75</v>
      </c>
    </row>
    <row r="16" spans="1:8" x14ac:dyDescent="0.3">
      <c r="A16" s="1" t="s">
        <v>64</v>
      </c>
      <c r="B16" s="5">
        <f>1/(2*PI()*SQRT(B7*B10))</f>
        <v>10540293.595603053</v>
      </c>
      <c r="C16" s="1" t="s">
        <v>65</v>
      </c>
    </row>
    <row r="18" spans="1:5" x14ac:dyDescent="0.3">
      <c r="A18" s="7" t="s">
        <v>69</v>
      </c>
      <c r="B18" s="7"/>
      <c r="C18" s="7"/>
    </row>
    <row r="19" spans="1:5" x14ac:dyDescent="0.3">
      <c r="A19" s="6" t="s">
        <v>67</v>
      </c>
      <c r="B19" s="1">
        <f>(B6/2)*(B10/B7)</f>
        <v>8.5263157894736867E-6</v>
      </c>
    </row>
    <row r="20" spans="1:5" x14ac:dyDescent="0.3">
      <c r="E20" s="1" t="s">
        <v>71</v>
      </c>
    </row>
    <row r="21" spans="1:5" x14ac:dyDescent="0.3">
      <c r="A21" s="7" t="s">
        <v>70</v>
      </c>
      <c r="B21" s="7"/>
      <c r="C21" s="7"/>
    </row>
    <row r="22" spans="1:5" x14ac:dyDescent="0.3">
      <c r="A22" s="1" t="s">
        <v>41</v>
      </c>
      <c r="B22" s="1">
        <f>DEGREES((ATAN(B7*PI()*2*B3/B6)))</f>
        <v>1.2666666460309055E-2</v>
      </c>
      <c r="C22" s="1" t="s">
        <v>14</v>
      </c>
    </row>
    <row r="23" spans="1:5" x14ac:dyDescent="0.3">
      <c r="A23" s="1" t="s">
        <v>68</v>
      </c>
      <c r="B23" s="1">
        <f>DEGREES(SIN(B22))</f>
        <v>0.7257271218321748</v>
      </c>
      <c r="C23" s="1" t="s">
        <v>26</v>
      </c>
    </row>
    <row r="24" spans="1:5" x14ac:dyDescent="0.3">
      <c r="A24" s="1" t="s">
        <v>8</v>
      </c>
      <c r="B24" s="4">
        <f>SQRT(2)*B2</f>
        <v>325.26911934581187</v>
      </c>
      <c r="C24" s="1" t="s">
        <v>51</v>
      </c>
    </row>
    <row r="25" spans="1:5" x14ac:dyDescent="0.3">
      <c r="A25" s="1" t="s">
        <v>76</v>
      </c>
      <c r="B25" s="1">
        <f>COS(B22)</f>
        <v>0.99991977885298666</v>
      </c>
      <c r="C25" s="1" t="s">
        <v>26</v>
      </c>
    </row>
  </sheetData>
  <mergeCells count="8">
    <mergeCell ref="A18:C18"/>
    <mergeCell ref="A1:C1"/>
    <mergeCell ref="A21:C21"/>
    <mergeCell ref="F1:H1"/>
    <mergeCell ref="F2:H2"/>
    <mergeCell ref="A5:C5"/>
    <mergeCell ref="A14:C14"/>
    <mergeCell ref="A9:C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factor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2020-09-15T12:58:59Z</dcterms:created>
  <dcterms:modified xsi:type="dcterms:W3CDTF">2020-10-14T07:45:17Z</dcterms:modified>
</cp:coreProperties>
</file>