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0" windowWidth="16395" windowHeight="5370" tabRatio="871" firstSheet="1" activeTab="2"/>
  </bookViews>
  <sheets>
    <sheet name="Summary Page" sheetId="10" state="hidden" r:id="rId1"/>
    <sheet name="Expected income" sheetId="11" r:id="rId2"/>
    <sheet name="Preschool" sheetId="8" r:id="rId3"/>
    <sheet name="Nur." sheetId="9" r:id="rId4"/>
    <sheet name="Chart1" sheetId="12" state="hidden" r:id="rId5"/>
    <sheet name="Transition" sheetId="1" r:id="rId6"/>
    <sheet name="Grade 1" sheetId="2" r:id="rId7"/>
    <sheet name="Grade 2" sheetId="3" r:id="rId8"/>
    <sheet name="Grade 3" sheetId="4" r:id="rId9"/>
    <sheet name="Grade 4" sheetId="5" r:id="rId10"/>
    <sheet name="Grade 5" sheetId="6" r:id="rId11"/>
    <sheet name="Chart2" sheetId="13" state="hidden" r:id="rId12"/>
    <sheet name="JSS 1" sheetId="7" r:id="rId13"/>
    <sheet name="JSS 2" sheetId="15" r:id="rId14"/>
  </sheets>
  <calcPr calcId="144525"/>
</workbook>
</file>

<file path=xl/calcChain.xml><?xml version="1.0" encoding="utf-8"?>
<calcChain xmlns="http://schemas.openxmlformats.org/spreadsheetml/2006/main">
  <c r="K8" i="5" l="1"/>
  <c r="K16" i="7"/>
  <c r="K9" i="3" l="1"/>
  <c r="K7" i="5" l="1"/>
  <c r="J16" i="8"/>
  <c r="K12" i="5" l="1"/>
  <c r="K8" i="7" l="1"/>
  <c r="K9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K6" i="3"/>
  <c r="K18" i="7"/>
  <c r="K6" i="7"/>
  <c r="K13" i="15" l="1"/>
  <c r="I8" i="1"/>
  <c r="I9" i="1"/>
  <c r="J13" i="8"/>
  <c r="K9" i="4"/>
  <c r="K7" i="4" l="1"/>
  <c r="K9" i="2"/>
  <c r="J19" i="9"/>
  <c r="K12" i="15" l="1"/>
  <c r="K14" i="6"/>
  <c r="J8" i="9" l="1"/>
  <c r="K4" i="3"/>
  <c r="K12" i="4"/>
  <c r="K11" i="7"/>
  <c r="K16" i="15"/>
  <c r="K12" i="6" l="1"/>
  <c r="K17" i="7" l="1"/>
  <c r="K13" i="7" l="1"/>
  <c r="L18" i="7" l="1"/>
  <c r="L11" i="7"/>
  <c r="K10" i="5" l="1"/>
  <c r="K4" i="5"/>
  <c r="K4" i="15"/>
  <c r="K7" i="2" l="1"/>
  <c r="J17" i="9"/>
  <c r="I7" i="1"/>
  <c r="J7" i="1"/>
  <c r="L12" i="2" l="1"/>
  <c r="K17" i="9"/>
  <c r="K4" i="9"/>
  <c r="K16" i="6" l="1"/>
  <c r="K11" i="3" l="1"/>
  <c r="K20" i="7"/>
  <c r="K9" i="6"/>
  <c r="J18" i="9" l="1"/>
  <c r="K12" i="2" l="1"/>
  <c r="K13" i="4"/>
  <c r="K9" i="15"/>
  <c r="L9" i="15"/>
  <c r="K8" i="2" l="1"/>
  <c r="L14" i="6"/>
  <c r="L5" i="6"/>
  <c r="L6" i="6"/>
  <c r="L7" i="6"/>
  <c r="L8" i="6"/>
  <c r="L9" i="6"/>
  <c r="L10" i="6"/>
  <c r="L11" i="6"/>
  <c r="L13" i="6"/>
  <c r="L16" i="6"/>
  <c r="L17" i="6"/>
  <c r="L18" i="6"/>
  <c r="L19" i="6"/>
  <c r="K8" i="6"/>
  <c r="K7" i="15"/>
  <c r="K15" i="15" l="1"/>
  <c r="J10" i="8" l="1"/>
  <c r="J9" i="8"/>
  <c r="K10" i="15"/>
  <c r="I16" i="1" l="1"/>
  <c r="K14" i="15" l="1"/>
  <c r="K5" i="7"/>
  <c r="K14" i="5"/>
  <c r="K19" i="6"/>
  <c r="K5" i="3"/>
  <c r="I20" i="1"/>
  <c r="K12" i="7" l="1"/>
  <c r="L12" i="7" s="1"/>
  <c r="K11" i="6" l="1"/>
  <c r="J20" i="1"/>
  <c r="I13" i="1"/>
  <c r="K11" i="2"/>
  <c r="J6" i="9"/>
  <c r="I10" i="1"/>
  <c r="J4" i="8"/>
  <c r="K16" i="8" l="1"/>
  <c r="I5" i="1"/>
  <c r="J13" i="9"/>
  <c r="K5" i="15"/>
  <c r="K5" i="4" l="1"/>
  <c r="K19" i="7" l="1"/>
  <c r="J6" i="8" l="1"/>
  <c r="J4" i="15" l="1"/>
  <c r="K7" i="8" l="1"/>
  <c r="J19" i="15"/>
  <c r="L19" i="7"/>
  <c r="K7" i="6" l="1"/>
  <c r="K9" i="5"/>
  <c r="J12" i="4"/>
  <c r="J12" i="9"/>
  <c r="K5" i="6"/>
  <c r="J6" i="15" l="1"/>
  <c r="K6" i="15"/>
  <c r="L6" i="15" l="1"/>
  <c r="K10" i="6"/>
  <c r="K21" i="7" l="1"/>
  <c r="L20" i="7"/>
  <c r="K14" i="8"/>
  <c r="K15" i="8"/>
  <c r="J9" i="9" l="1"/>
  <c r="K6" i="2"/>
  <c r="K5" i="2"/>
  <c r="K11" i="5"/>
  <c r="K11" i="4"/>
  <c r="K11" i="15" l="1"/>
  <c r="J8" i="15"/>
  <c r="J7" i="15"/>
  <c r="J5" i="15"/>
  <c r="K8" i="15"/>
  <c r="K17" i="15"/>
  <c r="K18" i="15"/>
  <c r="J17" i="15"/>
  <c r="I19" i="1" l="1"/>
  <c r="K7" i="3"/>
  <c r="J15" i="9" l="1"/>
  <c r="I15" i="9"/>
  <c r="K15" i="6" l="1"/>
  <c r="J12" i="8" l="1"/>
  <c r="M4" i="11" l="1"/>
  <c r="L10" i="11"/>
  <c r="K10" i="11"/>
  <c r="H10" i="11"/>
  <c r="G10" i="11"/>
  <c r="J5" i="3"/>
  <c r="L5" i="3" s="1"/>
  <c r="J6" i="3"/>
  <c r="L6" i="3" s="1"/>
  <c r="J7" i="3"/>
  <c r="L7" i="3" s="1"/>
  <c r="J8" i="3"/>
  <c r="L8" i="3" s="1"/>
  <c r="J9" i="3"/>
  <c r="L9" i="3" s="1"/>
  <c r="J10" i="3"/>
  <c r="L10" i="3" s="1"/>
  <c r="J11" i="3"/>
  <c r="L11" i="3" s="1"/>
  <c r="J12" i="3"/>
  <c r="L12" i="3" s="1"/>
  <c r="J4" i="3"/>
  <c r="L4" i="3" s="1"/>
  <c r="F10" i="11"/>
  <c r="J5" i="2"/>
  <c r="J6" i="2"/>
  <c r="J7" i="2"/>
  <c r="J8" i="2"/>
  <c r="J9" i="2"/>
  <c r="J10" i="2"/>
  <c r="J11" i="2"/>
  <c r="J12" i="2"/>
  <c r="J4" i="2"/>
  <c r="E10" i="11"/>
  <c r="D10" i="11"/>
  <c r="C10" i="11"/>
  <c r="I4" i="9"/>
  <c r="I5" i="9"/>
  <c r="I6" i="9"/>
  <c r="I7" i="9"/>
  <c r="I8" i="9"/>
  <c r="I9" i="9"/>
  <c r="K9" i="9" s="1"/>
  <c r="I10" i="9"/>
  <c r="I11" i="9"/>
  <c r="I12" i="9"/>
  <c r="K12" i="9" s="1"/>
  <c r="K13" i="9"/>
  <c r="I14" i="9"/>
  <c r="K14" i="9" s="1"/>
  <c r="I16" i="9"/>
  <c r="K16" i="9" s="1"/>
  <c r="I18" i="9"/>
  <c r="K18" i="9" s="1"/>
  <c r="K19" i="9"/>
  <c r="E20" i="15"/>
  <c r="L7" i="11" s="1"/>
  <c r="F20" i="15"/>
  <c r="L6" i="11" s="1"/>
  <c r="G20" i="15"/>
  <c r="L5" i="11" s="1"/>
  <c r="H20" i="15"/>
  <c r="L8" i="11" s="1"/>
  <c r="I20" i="15"/>
  <c r="L9" i="11" s="1"/>
  <c r="D20" i="15"/>
  <c r="L3" i="11" s="1"/>
  <c r="J18" i="15"/>
  <c r="J16" i="15"/>
  <c r="L16" i="15" s="1"/>
  <c r="J15" i="15"/>
  <c r="L15" i="15" s="1"/>
  <c r="J14" i="15"/>
  <c r="L14" i="15" s="1"/>
  <c r="J13" i="15"/>
  <c r="L13" i="15" s="1"/>
  <c r="J12" i="15"/>
  <c r="L12" i="15" s="1"/>
  <c r="J11" i="15"/>
  <c r="J10" i="15"/>
  <c r="L10" i="15" s="1"/>
  <c r="J9" i="15"/>
  <c r="L7" i="15"/>
  <c r="L5" i="15"/>
  <c r="L11" i="11" l="1"/>
  <c r="J20" i="15"/>
  <c r="L18" i="15"/>
  <c r="L8" i="15"/>
  <c r="L4" i="15"/>
  <c r="K20" i="15"/>
  <c r="L12" i="11" s="1"/>
  <c r="L17" i="15"/>
  <c r="L13" i="11" l="1"/>
  <c r="L11" i="15"/>
  <c r="L20" i="15" s="1"/>
  <c r="E21" i="7" l="1"/>
  <c r="K7" i="11" s="1"/>
  <c r="F21" i="7"/>
  <c r="K6" i="11" s="1"/>
  <c r="G21" i="7"/>
  <c r="K5" i="11" s="1"/>
  <c r="H21" i="7"/>
  <c r="K8" i="11" s="1"/>
  <c r="I21" i="7"/>
  <c r="K9" i="11" s="1"/>
  <c r="K12" i="11"/>
  <c r="D21" i="7"/>
  <c r="L5" i="7"/>
  <c r="L6" i="7"/>
  <c r="L7" i="7"/>
  <c r="L8" i="7"/>
  <c r="L9" i="7"/>
  <c r="L10" i="7"/>
  <c r="L13" i="7"/>
  <c r="L14" i="7"/>
  <c r="L15" i="7"/>
  <c r="L16" i="7"/>
  <c r="L17" i="7"/>
  <c r="J4" i="7"/>
  <c r="C20" i="6"/>
  <c r="J10" i="11" s="1"/>
  <c r="E20" i="6"/>
  <c r="J7" i="11" s="1"/>
  <c r="F20" i="6"/>
  <c r="J6" i="11" s="1"/>
  <c r="G20" i="6"/>
  <c r="J5" i="11" s="1"/>
  <c r="H20" i="6"/>
  <c r="J8" i="11" s="1"/>
  <c r="I20" i="6"/>
  <c r="J9" i="11" s="1"/>
  <c r="K20" i="6"/>
  <c r="D20" i="6"/>
  <c r="J3" i="11" s="1"/>
  <c r="J5" i="6"/>
  <c r="J6" i="6"/>
  <c r="J7" i="6"/>
  <c r="J8" i="6"/>
  <c r="J9" i="6"/>
  <c r="J10" i="6"/>
  <c r="J11" i="6"/>
  <c r="J12" i="6"/>
  <c r="L12" i="6" s="1"/>
  <c r="J13" i="6"/>
  <c r="J14" i="6"/>
  <c r="J15" i="6"/>
  <c r="L15" i="6" s="1"/>
  <c r="J16" i="6"/>
  <c r="J17" i="6"/>
  <c r="J18" i="6"/>
  <c r="J19" i="6"/>
  <c r="J4" i="6"/>
  <c r="L4" i="6" s="1"/>
  <c r="D16" i="5"/>
  <c r="I3" i="11" s="1"/>
  <c r="E16" i="5"/>
  <c r="I7" i="11" s="1"/>
  <c r="F16" i="5"/>
  <c r="I6" i="11" s="1"/>
  <c r="G16" i="5"/>
  <c r="I5" i="11" s="1"/>
  <c r="H16" i="5"/>
  <c r="I8" i="11" s="1"/>
  <c r="I16" i="5"/>
  <c r="I9" i="11" s="1"/>
  <c r="K16" i="5"/>
  <c r="I12" i="11" s="1"/>
  <c r="J5" i="5"/>
  <c r="L5" i="5" s="1"/>
  <c r="J6" i="5"/>
  <c r="L6" i="5" s="1"/>
  <c r="J7" i="5"/>
  <c r="L7" i="5" s="1"/>
  <c r="J8" i="5"/>
  <c r="L8" i="5" s="1"/>
  <c r="J9" i="5"/>
  <c r="L9" i="5" s="1"/>
  <c r="J10" i="5"/>
  <c r="L10" i="5" s="1"/>
  <c r="J11" i="5"/>
  <c r="L11" i="5" s="1"/>
  <c r="J12" i="5"/>
  <c r="L12" i="5" s="1"/>
  <c r="J13" i="5"/>
  <c r="L13" i="5" s="1"/>
  <c r="J14" i="5"/>
  <c r="L14" i="5" s="1"/>
  <c r="L15" i="5"/>
  <c r="J4" i="5"/>
  <c r="L4" i="5" s="1"/>
  <c r="L5" i="4"/>
  <c r="L6" i="4"/>
  <c r="L7" i="4"/>
  <c r="L8" i="4"/>
  <c r="L9" i="4"/>
  <c r="L10" i="4"/>
  <c r="L11" i="4"/>
  <c r="L12" i="4"/>
  <c r="L13" i="4"/>
  <c r="K15" i="4"/>
  <c r="H12" i="11" s="1"/>
  <c r="E15" i="4"/>
  <c r="H7" i="11" s="1"/>
  <c r="F15" i="4"/>
  <c r="H6" i="11" s="1"/>
  <c r="G15" i="4"/>
  <c r="H5" i="11" s="1"/>
  <c r="H15" i="4"/>
  <c r="H8" i="11" s="1"/>
  <c r="I15" i="4"/>
  <c r="H9" i="11" s="1"/>
  <c r="D15" i="4"/>
  <c r="H3" i="11" s="1"/>
  <c r="L4" i="4"/>
  <c r="E13" i="3"/>
  <c r="G7" i="11" s="1"/>
  <c r="F13" i="3"/>
  <c r="G6" i="11" s="1"/>
  <c r="G13" i="3"/>
  <c r="G5" i="11" s="1"/>
  <c r="H13" i="3"/>
  <c r="G8" i="11" s="1"/>
  <c r="I13" i="3"/>
  <c r="G9" i="11" s="1"/>
  <c r="L13" i="3"/>
  <c r="J13" i="3"/>
  <c r="L6" i="2"/>
  <c r="L10" i="2"/>
  <c r="L4" i="2"/>
  <c r="K13" i="2"/>
  <c r="F12" i="11" s="1"/>
  <c r="F13" i="2"/>
  <c r="F6" i="11" s="1"/>
  <c r="G13" i="2"/>
  <c r="F5" i="11" s="1"/>
  <c r="H13" i="2"/>
  <c r="F8" i="11" s="1"/>
  <c r="I13" i="2"/>
  <c r="F9" i="11" s="1"/>
  <c r="D13" i="2"/>
  <c r="F3" i="11" s="1"/>
  <c r="L5" i="2"/>
  <c r="L7" i="2"/>
  <c r="L8" i="2"/>
  <c r="L9" i="2"/>
  <c r="L11" i="2"/>
  <c r="D22" i="1"/>
  <c r="E7" i="11" s="1"/>
  <c r="E22" i="1"/>
  <c r="E6" i="11" s="1"/>
  <c r="F22" i="1"/>
  <c r="E5" i="11" s="1"/>
  <c r="G22" i="1"/>
  <c r="E9" i="11" s="1"/>
  <c r="C22" i="1"/>
  <c r="E3" i="11" s="1"/>
  <c r="H5" i="1"/>
  <c r="J5" i="1" s="1"/>
  <c r="H6" i="1"/>
  <c r="J6" i="1" s="1"/>
  <c r="H7" i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8" i="1"/>
  <c r="H19" i="1"/>
  <c r="J19" i="1" s="1"/>
  <c r="I22" i="1"/>
  <c r="H21" i="1"/>
  <c r="J21" i="1" s="1"/>
  <c r="H4" i="1"/>
  <c r="J4" i="1" s="1"/>
  <c r="K11" i="9"/>
  <c r="K10" i="9"/>
  <c r="K8" i="9"/>
  <c r="K20" i="9" s="1"/>
  <c r="K7" i="9"/>
  <c r="K6" i="9"/>
  <c r="K5" i="9"/>
  <c r="J3" i="8"/>
  <c r="J20" i="8" s="1"/>
  <c r="K4" i="8"/>
  <c r="K5" i="8"/>
  <c r="K6" i="8"/>
  <c r="K9" i="8"/>
  <c r="K10" i="8"/>
  <c r="K11" i="8"/>
  <c r="K12" i="8"/>
  <c r="K13" i="8"/>
  <c r="K3" i="11" l="1"/>
  <c r="J21" i="7"/>
  <c r="J12" i="11"/>
  <c r="M8" i="11"/>
  <c r="J18" i="1"/>
  <c r="L4" i="7"/>
  <c r="L21" i="7" s="1"/>
  <c r="J16" i="5"/>
  <c r="L16" i="5"/>
  <c r="J20" i="6"/>
  <c r="L20" i="6" s="1"/>
  <c r="J20" i="9"/>
  <c r="D12" i="11" s="1"/>
  <c r="K15" i="9"/>
  <c r="L13" i="2"/>
  <c r="L14" i="4"/>
  <c r="L15" i="4" s="1"/>
  <c r="J15" i="4"/>
  <c r="J13" i="2"/>
  <c r="E12" i="11" l="1"/>
  <c r="D13" i="3"/>
  <c r="G3" i="11" s="1"/>
  <c r="E13" i="2" l="1"/>
  <c r="F7" i="11" s="1"/>
  <c r="K3" i="8" l="1"/>
  <c r="D20" i="9" l="1"/>
  <c r="D3" i="11" s="1"/>
  <c r="E20" i="9"/>
  <c r="D7" i="11" s="1"/>
  <c r="F20" i="9"/>
  <c r="D6" i="11" s="1"/>
  <c r="G20" i="9"/>
  <c r="D5" i="11" s="1"/>
  <c r="H20" i="9"/>
  <c r="D9" i="11" s="1"/>
  <c r="K13" i="3" l="1"/>
  <c r="G12" i="11" s="1"/>
  <c r="C12" i="11" l="1"/>
  <c r="M12" i="11" l="1"/>
  <c r="I20" i="9"/>
  <c r="D20" i="8" l="1"/>
  <c r="C3" i="11" s="1"/>
  <c r="M3" i="11" s="1"/>
  <c r="E20" i="8"/>
  <c r="C7" i="11" s="1"/>
  <c r="M7" i="11" s="1"/>
  <c r="F20" i="8"/>
  <c r="C6" i="11" s="1"/>
  <c r="M6" i="11" s="1"/>
  <c r="G20" i="8"/>
  <c r="C5" i="11" s="1"/>
  <c r="M5" i="11" s="1"/>
  <c r="H20" i="8"/>
  <c r="C9" i="11" s="1"/>
  <c r="M9" i="11" s="1"/>
  <c r="H17" i="1" l="1"/>
  <c r="J17" i="1" l="1"/>
  <c r="J22" i="1" s="1"/>
  <c r="H22" i="1"/>
  <c r="C16" i="5"/>
  <c r="I10" i="11" s="1"/>
  <c r="M10" i="11" s="1"/>
  <c r="M11" i="11" s="1"/>
  <c r="M13" i="11" s="1"/>
  <c r="G11" i="11" l="1"/>
  <c r="G13" i="11" s="1"/>
  <c r="F11" i="11"/>
  <c r="F13" i="11" s="1"/>
  <c r="D11" i="11"/>
  <c r="D13" i="11" s="1"/>
  <c r="C11" i="11"/>
  <c r="C13" i="11" s="1"/>
  <c r="K11" i="11" l="1"/>
  <c r="K13" i="11" s="1"/>
  <c r="J11" i="11"/>
  <c r="J13" i="11" s="1"/>
  <c r="I11" i="11"/>
  <c r="I13" i="11" s="1"/>
  <c r="H11" i="11"/>
  <c r="H13" i="11" s="1"/>
  <c r="E11" i="11"/>
  <c r="E13" i="11" s="1"/>
  <c r="I20" i="8" l="1"/>
  <c r="K20" i="8" s="1"/>
  <c r="G12" i="10" l="1"/>
  <c r="H12" i="10"/>
  <c r="E9" i="10"/>
  <c r="F9" i="10"/>
  <c r="G9" i="10"/>
  <c r="H9" i="10"/>
  <c r="I9" i="10"/>
  <c r="J9" i="10"/>
  <c r="K9" i="10"/>
  <c r="F10" i="10"/>
  <c r="G10" i="10"/>
  <c r="H10" i="10"/>
  <c r="I10" i="10"/>
  <c r="K8" i="10"/>
  <c r="F8" i="10"/>
  <c r="I8" i="10"/>
  <c r="H7" i="10"/>
  <c r="J7" i="10"/>
  <c r="M5" i="10"/>
  <c r="N4" i="10"/>
  <c r="M10" i="10"/>
  <c r="E7" i="10"/>
  <c r="E4" i="10"/>
  <c r="J12" i="10"/>
  <c r="H4" i="10"/>
  <c r="H13" i="10" s="1"/>
  <c r="F4" i="10"/>
  <c r="J10" i="10"/>
  <c r="K10" i="10"/>
  <c r="K12" i="10"/>
  <c r="I4" i="10"/>
  <c r="G4" i="10"/>
  <c r="I12" i="10"/>
  <c r="F12" i="10"/>
  <c r="K7" i="10"/>
  <c r="I7" i="10"/>
  <c r="G7" i="10"/>
  <c r="F7" i="10"/>
  <c r="E43" i="10"/>
  <c r="E42" i="10"/>
  <c r="E41" i="10"/>
  <c r="E40" i="10"/>
  <c r="E39" i="10"/>
  <c r="E38" i="10"/>
  <c r="E37" i="10"/>
  <c r="E36" i="10"/>
  <c r="E35" i="10"/>
  <c r="K4" i="10"/>
  <c r="F43" i="10"/>
  <c r="F42" i="10"/>
  <c r="F41" i="10"/>
  <c r="F40" i="10"/>
  <c r="F39" i="10"/>
  <c r="F38" i="10"/>
  <c r="F37" i="10"/>
  <c r="F36" i="10"/>
  <c r="F35" i="10"/>
  <c r="D13" i="10"/>
  <c r="E12" i="10"/>
  <c r="E10" i="10"/>
  <c r="M12" i="10"/>
  <c r="H8" i="10"/>
  <c r="J8" i="10"/>
  <c r="G5" i="10"/>
  <c r="H5" i="10"/>
  <c r="I5" i="10"/>
  <c r="K5" i="10"/>
  <c r="E5" i="10"/>
  <c r="F6" i="10"/>
  <c r="G6" i="10"/>
  <c r="H6" i="10"/>
  <c r="I6" i="10"/>
  <c r="K6" i="10"/>
  <c r="E8" i="10"/>
  <c r="M4" i="10"/>
  <c r="L4" i="10"/>
  <c r="M8" i="10"/>
  <c r="M6" i="10"/>
  <c r="E6" i="10"/>
  <c r="G40" i="10" l="1"/>
  <c r="G39" i="10"/>
  <c r="G36" i="10"/>
  <c r="G35" i="10"/>
  <c r="I13" i="10"/>
  <c r="G38" i="10"/>
  <c r="G42" i="10"/>
  <c r="G41" i="10"/>
  <c r="G43" i="10"/>
  <c r="M7" i="10"/>
  <c r="G37" i="10"/>
  <c r="N12" i="10"/>
  <c r="E44" i="10"/>
  <c r="L5" i="10"/>
  <c r="F44" i="10"/>
  <c r="L8" i="10"/>
  <c r="N5" i="10"/>
  <c r="L7" i="10"/>
  <c r="N10" i="10"/>
  <c r="N6" i="10"/>
  <c r="L6" i="10"/>
  <c r="F5" i="10"/>
  <c r="G8" i="10"/>
  <c r="L10" i="10"/>
  <c r="L12" i="10"/>
  <c r="M9" i="10"/>
  <c r="G44" i="10" l="1"/>
  <c r="L9" i="10"/>
  <c r="N7" i="10"/>
  <c r="N8" i="10"/>
  <c r="N9" i="10"/>
  <c r="I11" i="10" l="1"/>
  <c r="H11" i="10"/>
  <c r="F11" i="10"/>
  <c r="F13" i="10" s="1"/>
  <c r="G11" i="10"/>
  <c r="G13" i="10" s="1"/>
  <c r="L11" i="10"/>
  <c r="L13" i="10" s="1"/>
  <c r="K11" i="10"/>
  <c r="K13" i="10" s="1"/>
  <c r="J11" i="10"/>
  <c r="J13" i="10" s="1"/>
  <c r="M11" i="10"/>
  <c r="M13" i="10" s="1"/>
  <c r="N11" i="10"/>
  <c r="N13" i="10" s="1"/>
  <c r="E11" i="10"/>
  <c r="E13" i="10" s="1"/>
</calcChain>
</file>

<file path=xl/comments1.xml><?xml version="1.0" encoding="utf-8"?>
<comments xmlns="http://schemas.openxmlformats.org/spreadsheetml/2006/main">
  <authors>
    <author>ISO BASSEY</author>
    <author>Springfield</author>
  </authors>
  <commentList>
    <comment ref="J3" authorId="0">
      <text>
        <r>
          <rPr>
            <b/>
            <sz val="9"/>
            <color indexed="81"/>
            <rFont val="Tahoma"/>
            <family val="2"/>
          </rPr>
          <t>ISO BASSEY:</t>
        </r>
        <r>
          <rPr>
            <sz val="9"/>
            <color indexed="81"/>
            <rFont val="Tahoma"/>
            <family val="2"/>
          </rPr>
          <t xml:space="preserve">
FCMB(POS) N30,350 - dd/mm/yy</t>
        </r>
      </text>
    </comment>
    <comment ref="J4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FCMB(POS)N40000
10/09/2018 N
N20950
10/10/2018</t>
        </r>
      </text>
    </comment>
    <comment ref="J5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FCMB/ACCESS(POS)75950
27/08/2018</t>
        </r>
      </text>
    </comment>
    <comment ref="J6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FCMB(POS)N20000
31/07/2018
N20950
05/10/2018</t>
        </r>
      </text>
    </comment>
    <comment ref="J7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 N60950
31/08/2018</t>
        </r>
      </text>
    </comment>
    <comment ref="J8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FCMB(POS)N45,000
05/09/2018
N15950
23/10/2018</t>
        </r>
      </text>
    </comment>
    <comment ref="J10" authorId="1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 N45000
05/09/2018
N 15950
23/10/2018</t>
        </r>
      </text>
    </comment>
    <comment ref="J11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FCMB(POS)N59950
12/09/2018</t>
        </r>
      </text>
    </comment>
    <comment ref="K12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FCMB(POS)N10000
07/09/2018
N 10000
05/10/2018</t>
        </r>
      </text>
    </comment>
    <comment ref="J13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FCMB(POS)N40000
31/10/2018</t>
        </r>
      </text>
    </comment>
    <comment ref="J14" authorId="1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fcmb(pos)N60950
24/09/2018</t>
        </r>
      </text>
    </comment>
    <comment ref="J15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FCMB(POS)N60950
18/09/2018</t>
        </r>
      </text>
    </comment>
    <comment ref="J16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N20950
09/10/2018
N20000
03/12/2018</t>
        </r>
      </text>
    </comment>
  </commentList>
</comments>
</file>

<file path=xl/comments10.xml><?xml version="1.0" encoding="utf-8"?>
<comments xmlns="http://schemas.openxmlformats.org/spreadsheetml/2006/main">
  <authors>
    <author>Springfield</author>
  </authors>
  <commentList>
    <comment ref="K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N40000
11/09/2018
N31140
9/11/2018</t>
        </r>
      </text>
    </comment>
    <comment ref="K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N35000
11/09/2018
N36140
09/10/2018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FCMB(POS)N52140
13/09/2018
26500
03/10/2018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N30000
26/08/2018
N41140
30/10/2018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FCMB/ACCESS(POS)
N69,140
26/08/2018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ECOBANK(TELLER)
N50000
13/09/2018
N21150
31/10/2018</t>
        </r>
      </text>
    </comment>
    <comment ref="K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N40000
12/09/2018
N 31,140
24/10/2018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FCMB(POS)N74,640
31/08/2018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ECOBANK(POS)N20000
08/11/2018
N45000
10/8/2018
6140
21/11/2018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N27000
17/09/2018 N20000
05/10/2018
N20000
31/10/2018
N4000
21/11/2018</t>
        </r>
      </text>
    </comment>
    <comment ref="K1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ECOBANK(POS)
N45000
18/09/2018</t>
        </r>
      </text>
    </comment>
    <comment ref="K1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FCMB(POS)N20000
21/08/2018
N26140
15/10/2018
N 31000
23/10/2018</t>
        </r>
      </text>
    </comment>
    <comment ref="K1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FCMB(POS)N15000
18/09/2018
N15000
08/10/2018
N10000
14/11/2018</t>
        </r>
      </text>
    </comment>
    <comment ref="J1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N80140
28/08/2018</t>
        </r>
      </text>
    </comment>
    <comment ref="K1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FCMB/ACCESS(POS)
N 74640
28/08/2018</t>
        </r>
      </text>
    </comment>
    <comment ref="K1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 (POS) N89,740
18/09/2018</t>
        </r>
      </text>
    </comment>
  </commentList>
</comments>
</file>

<file path=xl/comments2.xml><?xml version="1.0" encoding="utf-8"?>
<comments xmlns="http://schemas.openxmlformats.org/spreadsheetml/2006/main">
  <authors>
    <author>Springfield</author>
  </authors>
  <commentList>
    <comment ref="J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FCMB(POS)N30000
04/10/2018</t>
        </r>
      </text>
    </comment>
    <comment ref="J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 (TELLER)
N45550
31/08/2018</t>
        </r>
      </text>
    </comment>
    <comment ref="J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FCMB(POS)N60550
17/09/2018 /09/08/2018
N5000
10/10/2018</t>
        </r>
      </text>
    </comment>
    <comment ref="J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FCMB(POS)N5000
19/11/2018</t>
        </r>
      </text>
    </comment>
    <comment ref="J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FCMB(POS)N9550
04/09/2018
N36000
15/11/2018</t>
        </r>
      </text>
    </comment>
    <comment ref="J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 N45550 /10000
05/09/2018/25/09/2018</t>
        </r>
      </text>
    </comment>
    <comment ref="J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FCMB/ACCESS(POS)
N53050
03/10/2018
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N45000
09/08/2018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DIAMOND(TELLER)
N9550
7/09/2018
N36000
04/10/2028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FCMB(POS)N30,000
 10/09/2018 N6550
09/10/2018</t>
        </r>
      </text>
    </comment>
    <comment ref="J1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FCMB(POS)N29860
21/11/2018</t>
        </r>
      </text>
    </comment>
    <comment ref="J1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N62050
07/09/2018</t>
        </r>
      </text>
    </comment>
    <comment ref="J1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N61,050
11/09/2018</t>
        </r>
      </text>
    </comment>
    <comment ref="J1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FCMB(POS)N25000
10/09/2018
N20000
15/10/2018
N17050
08/11/2018</t>
        </r>
      </text>
    </comment>
    <comment ref="J1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N35000/20000
17/09/2018
N 6050
02/11/2018</t>
        </r>
      </text>
    </comment>
    <comment ref="J1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FCMB(TELLER)N20000
21/11/2018</t>
        </r>
      </text>
    </comment>
  </commentList>
</comments>
</file>

<file path=xl/comments3.xml><?xml version="1.0" encoding="utf-8"?>
<comments xmlns="http://schemas.openxmlformats.org/spreadsheetml/2006/main">
  <authors>
    <author>Springfield</author>
  </authors>
  <commentList>
    <comment ref="I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N47450
20/08/2018</t>
        </r>
      </text>
    </comment>
    <comment ref="I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N30,000
10/09/3018
N18450
09/10/2018</t>
        </r>
      </text>
    </comment>
    <comment ref="I6" author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FCMB(POS)N12450
13/09/2018
</t>
        </r>
      </text>
    </comment>
    <comment ref="I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DIAMOND (POS) N12,450
1/08/2018
N22000
02/10/2018
N14000
08/11/2018</t>
        </r>
      </text>
    </comment>
    <comment ref="I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FCMB(POS)N10000
17/09/2018
N10000
05/10/2018
N10000
31/10/2018
19400
22/11/2018</t>
        </r>
      </text>
    </comment>
    <comment ref="I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N25000
07/09/2018
N23450
10/10/2018</t>
        </r>
      </text>
    </comment>
    <comment ref="I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N25000
07/09/2018
N23450
10/10/2018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FCMB(POS)N57950
10/09/2018</t>
        </r>
      </text>
    </comment>
    <comment ref="I13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FCMB(TELLER)N20000
17/09/2018
N20480
10/10/2018</t>
        </r>
      </text>
    </comment>
    <comment ref="I1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N12450
18/09/2018
N26000
05/10/2018
N10000
16/10/2018</t>
        </r>
      </text>
    </comment>
    <comment ref="I1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FCMB(POS)N52950
18/09/2018</t>
        </r>
      </text>
    </comment>
    <comment ref="I1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FCMB/ACCESS(POS)
N55950
03/10/2018</t>
        </r>
      </text>
    </comment>
    <comment ref="I1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N30000
13/09/2018
FCMB(POS)18450
27/09/2018</t>
        </r>
      </text>
    </comment>
    <comment ref="I2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FCNB/ACCESS(TELLER)N 60950
12/09/2018
N4000
12/10/2018</t>
        </r>
      </text>
    </comment>
    <comment ref="I2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FCMB(POS)N20000/
N33950
02/10/2018</t>
        </r>
      </text>
    </comment>
  </commentList>
</comments>
</file>

<file path=xl/comments4.xml><?xml version="1.0" encoding="utf-8"?>
<comments xmlns="http://schemas.openxmlformats.org/spreadsheetml/2006/main">
  <authors>
    <author>Springfield</author>
  </authors>
  <commentList>
    <comment ref="K4" author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 N40000
17/10/2018</t>
        </r>
      </text>
    </comment>
    <comment ref="K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N69450 /3000
12/09/2018 /25/09/2018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FCMB(POS)N69450 /15000
05/09/2018 25/09/2018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FCMB(POS)N25000
10/09/2018
N 25000
15/10/2018
N19450
08/11/2018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 (POS) N 50000
18/08/2018
N19450
05/10/2018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
N44000
30/10/2018
N5450
21/11/2018
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 74450
17/09/2018 09/08/2018
N5000
10/10/2018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FCMB(TELLER)N40000
12/09/2018
N29050
31/10/2018</t>
        </r>
      </text>
    </comment>
  </commentList>
</comments>
</file>

<file path=xl/comments5.xml><?xml version="1.0" encoding="utf-8"?>
<comments xmlns="http://schemas.openxmlformats.org/spreadsheetml/2006/main">
  <authors>
    <author>Springfield</author>
  </authors>
  <commentList>
    <comment ref="K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(POS)N20250
04/09/2018
N40000
15/10/2018
N1000
15/11/2018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FCMB(POS)N17560
13/09/2018
N40000
15/10/2018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 30000/31250
13/09/2018 /27/09/2501
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N61,250
07/09/2018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FCMB(POS)N20000
30/10/2018
N20000
04/12/2018</t>
        </r>
      </text>
    </comment>
    <comment ref="K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FCMB(POS)N61250
17/09/2018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N60,250
25/09/2018
N4500
5/11/2018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FCMB(TELLER)N57450
18/09/2018</t>
        </r>
      </text>
    </comment>
  </commentList>
</comments>
</file>

<file path=xl/comments6.xml><?xml version="1.0" encoding="utf-8"?>
<comments xmlns="http://schemas.openxmlformats.org/spreadsheetml/2006/main">
  <authors>
    <author>Springfield</author>
  </authors>
  <commentList>
    <comment ref="K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N50000
11/09/2018
N9950
08/10/2018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N15000
04/09/2018N13550
21/11/2018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FCMB(POS)N60950
19/09/2018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FCMB(POS)N30000
22/10/2018
N30950
22/11/2018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FCMB(TELLER)N19700/44000
13/09/2018/  25/09/2018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DIAMOND(TELLER) 
N19690
07/09/2018
N41260
04/10/2018
N15000
15/11/2018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FCMB(TELLER)N40000
12/09/2018
N20950
31/10/2018</t>
        </r>
      </text>
    </comment>
    <comment ref="K1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FCMB(TELLER)N77190
18/09/2018</t>
        </r>
      </text>
    </comment>
  </commentList>
</comments>
</file>

<file path=xl/comments7.xml><?xml version="1.0" encoding="utf-8"?>
<comments xmlns="http://schemas.openxmlformats.org/spreadsheetml/2006/main">
  <authors>
    <author>Springfield</author>
  </authors>
  <commentList>
    <comment ref="K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FCBM(POS) N30000
11/09/2018/  FCMB(POS)N25000
03/10/2018
N7810
9/11/2018</t>
        </r>
      </text>
    </comment>
    <comment ref="K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N62810
10/10/2018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(TELLER) N61810
06/09/2018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FCMB(POS)N5000
14/09/2018
N40000
16/10/2018
N22810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FCMB(POS)N24000
10/09/2018
N30000
06/12/2018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FCMB(POS)N67310
28/08/2018
N3500
04/10/2018</t>
        </r>
      </text>
    </comment>
    <comment ref="K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N30000
11/09/2018/N25000
03/10/2018
N7810
9/11/2018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N62810/8000
12/09/2018 /25/09/2018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FCMB(POS)N40000
7/09/2018
N10000
30/10/2018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FCMB(TELLER)N62810
18/09/2018</t>
        </r>
      </text>
    </comment>
    <comment ref="K1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N21810
04/09/2018
N41000
15/10/2018</t>
        </r>
      </text>
    </comment>
    <comment ref="K1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FCMB(POS)N70000
07/09/2018</t>
        </r>
      </text>
    </comment>
  </commentList>
</comments>
</file>

<file path=xl/comments8.xml><?xml version="1.0" encoding="utf-8"?>
<comments xmlns="http://schemas.openxmlformats.org/spreadsheetml/2006/main">
  <authors>
    <author>Springfield</author>
  </authors>
  <commentList>
    <comment ref="K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N59430
6/08/2018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FCMB(POS)N45,000
04/09/2018
N16430
04/10/2018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(TELLER) N61430
13/09/2018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 65930
24/08/2018
N3500
04/10/2018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FCMB(POS)N30000
26/08/2018
N31430
30/10/2018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FCMB(POS)N20430
10/09/2018
N21000
15/10/2018
N20000
5/11/2018</t>
        </r>
      </text>
    </comment>
    <comment ref="K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N60,430
13/09/2018 N 1000
03/10/2018</t>
        </r>
      </text>
    </comment>
    <comment ref="L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FCMB(TELLER)N20000
17/09/2018
N41430
10/10/2018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DIAMOND (TELLER)
N30000
12/09/2018
N25000
09/10/2018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N68930
11/09/2018</t>
        </r>
      </text>
    </comment>
    <comment ref="K1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DIAMOND (TELLER)
N20450
12/09/2018
N20000
30/10/2018
20980
21/11/2018</t>
        </r>
      </text>
    </comment>
    <comment ref="K1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 N21430
10/09/2018
N40000
22/10/2018</t>
        </r>
      </text>
    </comment>
    <comment ref="K17" author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FCMB(POS)N61430
24/09/2018</t>
        </r>
      </text>
    </comment>
    <comment ref="K1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FCMB(TELLER)N76,430
18/09/2018</t>
        </r>
      </text>
    </comment>
    <comment ref="K1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N20430
04/09/2018
N41000
11/10/2018</t>
        </r>
      </text>
    </comment>
  </commentList>
</comments>
</file>

<file path=xl/comments9.xml><?xml version="1.0" encoding="utf-8"?>
<comments xmlns="http://schemas.openxmlformats.org/spreadsheetml/2006/main">
  <authors>
    <author>Springfield</author>
  </authors>
  <commentList>
    <comment ref="K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ECOBANK(POS)N45000
18/09/2018
N44740
15/10/2018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 N50000
26/08/2018
N20000
12/11/2018
N19740
27/11/2018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 87640
29/08/2018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 (POS) N86640
20/08/2018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 N86640
20/08/2018</t>
        </r>
      </text>
    </comment>
    <comment ref="K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 N87740
26/08/2018 N1000
03/10/2018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N44740
24/08/2018
N 30000
04/10/2018
N150000
15/11/2018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N49240
2/08/2018
N 38500
11/10/2018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ecobank(pos) N 50000
18/08/2018
N20000
12/11/2018</t>
        </r>
      </text>
    </comment>
    <comment ref="K1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FCMB(POS)N88,740
31/08/2018</t>
        </r>
      </text>
    </comment>
    <comment ref="K1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ECOBANK(TELLER)
N88740
13/09/218</t>
        </r>
      </text>
    </comment>
    <comment ref="K1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ECOBANK(TELLER)
N50000
17/09/2018
N30000
27/11/2018
N9000
06/12/2018</t>
        </r>
      </text>
    </comment>
    <comment ref="K1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FCMB(POS)N88740
18/09/2018</t>
        </r>
      </text>
    </comment>
    <comment ref="K1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fcmb(pos)N30000
24/09/2018
N30000
27/11/2018</t>
        </r>
      </text>
    </comment>
    <comment ref="K1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FCMB(TELLER)N50000
18/09/2018
N 39740
05/10/2018</t>
        </r>
      </text>
    </comment>
    <comment ref="K2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fcmb(tellerr)N50000
24/09/2018
250000
16/10/2018
N14740
5/11/2018</t>
        </r>
      </text>
    </comment>
  </commentList>
</comments>
</file>

<file path=xl/sharedStrings.xml><?xml version="1.0" encoding="utf-8"?>
<sst xmlns="http://schemas.openxmlformats.org/spreadsheetml/2006/main" count="396" uniqueCount="238">
  <si>
    <t>Pupil Name</t>
  </si>
  <si>
    <t>School Fees</t>
  </si>
  <si>
    <t>PTA</t>
  </si>
  <si>
    <t>Books</t>
  </si>
  <si>
    <t>Uniforms</t>
  </si>
  <si>
    <t>School Bus</t>
  </si>
  <si>
    <t>S/No</t>
  </si>
  <si>
    <t>Previous Debt</t>
  </si>
  <si>
    <t>Total Due</t>
  </si>
  <si>
    <t>Total Paid</t>
  </si>
  <si>
    <t>PAYMENTS RECEIVED</t>
  </si>
  <si>
    <t>Abbey-Kalio O Lily</t>
  </si>
  <si>
    <t>Ibilolia Deborah Clarkson</t>
  </si>
  <si>
    <t>Princess Minadiri Kala-Ogolo</t>
  </si>
  <si>
    <t>Kalio ibitoroko Blessing</t>
  </si>
  <si>
    <t>Tom-Jaja Michael</t>
  </si>
  <si>
    <t>Princess Faith Olalibo</t>
  </si>
  <si>
    <t>Delight Aduba</t>
  </si>
  <si>
    <t>Queen Whyte</t>
  </si>
  <si>
    <t>Sam Bomate Ibinabo</t>
  </si>
  <si>
    <t>Aboki Rejoice</t>
  </si>
  <si>
    <t>Abdulkadir, Abdulhazeez A</t>
  </si>
  <si>
    <t>NURSERY 2</t>
  </si>
  <si>
    <t>Omiete Kalango</t>
  </si>
  <si>
    <t>David S. Inko-Tariah</t>
  </si>
  <si>
    <t>Abbey-Kalio O. Betty</t>
  </si>
  <si>
    <t>Aboki Evovone John</t>
  </si>
  <si>
    <t>Victor E. Ayerite</t>
  </si>
  <si>
    <t>Sopriye Ibifubara</t>
  </si>
  <si>
    <t>Kenneth Okafor</t>
  </si>
  <si>
    <t>Outstanding</t>
  </si>
  <si>
    <t>ICT</t>
  </si>
  <si>
    <t>PRIMARY 2</t>
  </si>
  <si>
    <t>PRIMARY 3</t>
  </si>
  <si>
    <t>Divine Okosi</t>
  </si>
  <si>
    <t>Goodwill Eneyo</t>
  </si>
  <si>
    <t>PRIMARY 4</t>
  </si>
  <si>
    <t>PRIMARY 5</t>
  </si>
  <si>
    <t>KG</t>
  </si>
  <si>
    <t>N1</t>
  </si>
  <si>
    <t>N2</t>
  </si>
  <si>
    <t>P1</t>
  </si>
  <si>
    <t>P2</t>
  </si>
  <si>
    <t>P3</t>
  </si>
  <si>
    <t>P4</t>
  </si>
  <si>
    <t>P5</t>
  </si>
  <si>
    <t>P6</t>
  </si>
  <si>
    <t>S/NO</t>
  </si>
  <si>
    <t>CLASS</t>
  </si>
  <si>
    <t>NO</t>
  </si>
  <si>
    <t>BOOK ANALYSIS</t>
  </si>
  <si>
    <t>FEE ANALYSIS</t>
  </si>
  <si>
    <t>INCOME</t>
  </si>
  <si>
    <t>PROFIT</t>
  </si>
  <si>
    <t>COST OF BOOKS &amp; CRAFTS</t>
  </si>
  <si>
    <t>Uniform</t>
  </si>
  <si>
    <t>Fortuna Ebezimoh</t>
  </si>
  <si>
    <t>Temeketin Imomoemi Alphaeus</t>
  </si>
  <si>
    <t>Solate Sam</t>
  </si>
  <si>
    <t>David Sunday-Christain</t>
  </si>
  <si>
    <t>Delight Ibiyetorokome Wakama</t>
  </si>
  <si>
    <t>Toochukwu Praise T. Ikechukwu</t>
  </si>
  <si>
    <t>Nursery 1</t>
  </si>
  <si>
    <t>Nursery 2</t>
  </si>
  <si>
    <t>Primary 1</t>
  </si>
  <si>
    <t>Primary 2</t>
  </si>
  <si>
    <t>Primary 3</t>
  </si>
  <si>
    <t>Primary 4</t>
  </si>
  <si>
    <t>Primary 5</t>
  </si>
  <si>
    <t>Total</t>
  </si>
  <si>
    <t>Karina Ibubeleye</t>
  </si>
  <si>
    <t>Total Expected Income</t>
  </si>
  <si>
    <t>Item</t>
  </si>
  <si>
    <t>Tuition</t>
  </si>
  <si>
    <t xml:space="preserve">Total </t>
  </si>
  <si>
    <t>Precious Ibifiri Daka</t>
  </si>
  <si>
    <t>Tamuno-orango Igbanibo Maxwell</t>
  </si>
  <si>
    <t>Tamunofiri Elijah Dadin-Alli</t>
  </si>
  <si>
    <t>Tamunokuro Elisha Dadin-Alli</t>
  </si>
  <si>
    <t>Florence Ben</t>
  </si>
  <si>
    <t>Caleb Boma Felix</t>
  </si>
  <si>
    <t>Grateful Benson</t>
  </si>
  <si>
    <t>Mercy Benson</t>
  </si>
  <si>
    <t>Otokinibia Lawrence-Perebo</t>
  </si>
  <si>
    <t>Harees Abdulkadir</t>
  </si>
  <si>
    <t>Christopher Gabriel</t>
  </si>
  <si>
    <t>Ibinabo Esther Boma joel</t>
  </si>
  <si>
    <t>Zion Mitchel</t>
  </si>
  <si>
    <t>Emmanuella U. Williams</t>
  </si>
  <si>
    <t>Prince Reginald Okosi</t>
  </si>
  <si>
    <t>Victory Tamunoseipriala Godwill</t>
  </si>
  <si>
    <t>Love Adi-James</t>
  </si>
  <si>
    <t>`</t>
  </si>
  <si>
    <t>Akusionwu Immaculata</t>
  </si>
  <si>
    <t>Maranatha Chisom Felix</t>
  </si>
  <si>
    <t>Akerele Johnson Ohifeme</t>
  </si>
  <si>
    <t>Temeketin Layefa</t>
  </si>
  <si>
    <t>Jumbo Jayden Ebisinte</t>
  </si>
  <si>
    <t xml:space="preserve"> </t>
  </si>
  <si>
    <t>r</t>
  </si>
  <si>
    <t>NURSERY 1</t>
  </si>
  <si>
    <t>PRIMARY 1</t>
  </si>
  <si>
    <t>Aretha Ibitein Sotari</t>
  </si>
  <si>
    <t>Sophia Ibitoru Sam</t>
  </si>
  <si>
    <t>Kalio Harold Gabriel T.</t>
  </si>
  <si>
    <t>James Susan Iyaye</t>
  </si>
  <si>
    <t>James Hilder Iyowuna</t>
  </si>
  <si>
    <t>Songo_Dawari Estelle T</t>
  </si>
  <si>
    <t>Kere Nte Ibilolia Excel</t>
  </si>
  <si>
    <t>Collins Okosi</t>
  </si>
  <si>
    <t>Ibiene Kala-Ogolo</t>
  </si>
  <si>
    <t>Tamunoiyowuna John Inko - Tariah</t>
  </si>
  <si>
    <t>Victory Tom-Jaja</t>
  </si>
  <si>
    <t>John Daniel Nzuputachi</t>
  </si>
  <si>
    <t>Deborah Sunday</t>
  </si>
  <si>
    <t>Excursion</t>
  </si>
  <si>
    <t>Richesse-Esther Harry</t>
  </si>
  <si>
    <t>JSS 1</t>
  </si>
  <si>
    <t>Membere Favour Damiete</t>
  </si>
  <si>
    <t>George Oselem Belema</t>
  </si>
  <si>
    <t>Lucky Peremabo Harmony</t>
  </si>
  <si>
    <t>Ebizimoh Leonardo</t>
  </si>
  <si>
    <t>Ezekiel-Hart Edna</t>
  </si>
  <si>
    <t>Membere Joy Awo-Ngonengim</t>
  </si>
  <si>
    <t>Amaso Sophia Adokiye Ibubeleye</t>
  </si>
  <si>
    <t>Hart Tamunotonye</t>
  </si>
  <si>
    <t>Fiyananabor Kristin Ebiye</t>
  </si>
  <si>
    <t xml:space="preserve">Tubonimi-Tariah Tamunotonye </t>
  </si>
  <si>
    <t>Nengi Lawrence-Perebo</t>
  </si>
  <si>
    <t>Joel Kalio</t>
  </si>
  <si>
    <t>Fortune Kalio</t>
  </si>
  <si>
    <t>Amris Collins</t>
  </si>
  <si>
    <t>Nimim Gordon-Brown</t>
  </si>
  <si>
    <t>Boma Gordon-Brown</t>
  </si>
  <si>
    <t>Naomi Silas Uyenem</t>
  </si>
  <si>
    <t>Nteiro Silas Uyenem</t>
  </si>
  <si>
    <t>Nimi Telema Georgewill</t>
  </si>
  <si>
    <t>Tamunotonye Briggs</t>
  </si>
  <si>
    <t>Michael Briggs</t>
  </si>
  <si>
    <t>Georgewill Telema Emmanuel</t>
  </si>
  <si>
    <t>date</t>
  </si>
  <si>
    <t>Date</t>
  </si>
  <si>
    <t>Amasiah Living-Stone</t>
  </si>
  <si>
    <t>Cardinal David LivingStone</t>
  </si>
  <si>
    <t>Ibanibo Maxwell Tamuno</t>
  </si>
  <si>
    <t>Miracle Oweizitei</t>
  </si>
  <si>
    <t>Neme George Samuel</t>
  </si>
  <si>
    <t>Abundant Idole</t>
  </si>
  <si>
    <t>Alabibo Ibiye Deinma</t>
  </si>
  <si>
    <t>Nwagu Michael Ebube</t>
  </si>
  <si>
    <t>Nwagu Matilda Chioma</t>
  </si>
  <si>
    <t xml:space="preserve"> Akere Karinatei Godstime</t>
  </si>
  <si>
    <t>Esther Abiye Josiah</t>
  </si>
  <si>
    <t>Tamunoimama David Dawari</t>
  </si>
  <si>
    <t>Amaso Suzzet</t>
  </si>
  <si>
    <t>Tamunobarafiri Collins Oruma</t>
  </si>
  <si>
    <t>Jacob Okakru</t>
  </si>
  <si>
    <t>Nengi Maxwell</t>
  </si>
  <si>
    <t>Godswill Victor</t>
  </si>
  <si>
    <t>Favour Tamunopriye Jidechi</t>
  </si>
  <si>
    <t>Caroline Fubara Odeyh Princess</t>
  </si>
  <si>
    <t>Desmond Nemi Benson-Iwo</t>
  </si>
  <si>
    <t>Tamunoseimiebie excellentGod</t>
  </si>
  <si>
    <t>Tamunodamiekaibioforice Dokubo</t>
  </si>
  <si>
    <t>Precious Oluwa Kemi</t>
  </si>
  <si>
    <t>BensonBelema</t>
  </si>
  <si>
    <t>Jesse Lawson</t>
  </si>
  <si>
    <t>Victor I.K Omughelle</t>
  </si>
  <si>
    <t>biye iyaye Precious</t>
  </si>
  <si>
    <t>Peniel Jackson</t>
  </si>
  <si>
    <t>Akere Marvellous</t>
  </si>
  <si>
    <t>Harry Clinton</t>
  </si>
  <si>
    <t>Uyene Ubene Silas Awagi</t>
  </si>
  <si>
    <t>JSS 2</t>
  </si>
  <si>
    <t>Isreal Tom-Jaja</t>
  </si>
  <si>
    <t>Aseme .L. Orunaboka</t>
  </si>
  <si>
    <t>Ayomide Williams</t>
  </si>
  <si>
    <t>Joy A. Ayerite</t>
  </si>
  <si>
    <t>Isaac Victory Inemeawaji</t>
  </si>
  <si>
    <t>Ariweriokuma Grace</t>
  </si>
  <si>
    <t>Egemony Emmanuel Izuchukwu</t>
  </si>
  <si>
    <t>Jackson Chekuro</t>
  </si>
  <si>
    <t>Iyalla Victory</t>
  </si>
  <si>
    <t>Faith Adada</t>
  </si>
  <si>
    <t>Bright Felix</t>
  </si>
  <si>
    <t>Ominini Alolote Sokari</t>
  </si>
  <si>
    <t>Rose James Ukofia</t>
  </si>
  <si>
    <t>Divine Aduba</t>
  </si>
  <si>
    <t>Oriton Panga Fenibo</t>
  </si>
  <si>
    <t>Total Received</t>
  </si>
  <si>
    <t>Tekenah Beucah Iolia Edward</t>
  </si>
  <si>
    <t>13/09/2018/27/09/2018</t>
  </si>
  <si>
    <t>Ebiwanri Jasper Preye</t>
  </si>
  <si>
    <t>Isreal Ebibiete Ryan</t>
  </si>
  <si>
    <t>21/08/2018/12/09/2018</t>
  </si>
  <si>
    <t>17/09/2018 /27/09/2018</t>
  </si>
  <si>
    <t>13/09/218</t>
  </si>
  <si>
    <t xml:space="preserve">         Loveday Prudent</t>
  </si>
  <si>
    <t>Evon Austeen</t>
  </si>
  <si>
    <t>24/09/201</t>
  </si>
  <si>
    <t>13/09/2018/03/10/2018</t>
  </si>
  <si>
    <t>04/09/2018/04/10/2018</t>
  </si>
  <si>
    <t>24/08/2018/04/10/2018</t>
  </si>
  <si>
    <t>07/09/2017/ 04/10/2028</t>
  </si>
  <si>
    <t>28/08/2018 /04/10/2018</t>
  </si>
  <si>
    <t>24/08/2018/ 04/10/2018</t>
  </si>
  <si>
    <t>Loveday Prudence</t>
  </si>
  <si>
    <t>18/09/2018/05/10/2018</t>
  </si>
  <si>
    <t>31/07/2018 /05/10/2018</t>
  </si>
  <si>
    <t>10/09/2018 /15/10/2018</t>
  </si>
  <si>
    <t xml:space="preserve">10/09/2018 /09/10/2018 </t>
  </si>
  <si>
    <t>Igbikiyemieari Trust Obelemabo-Oforiye</t>
  </si>
  <si>
    <t>10/09/2018/ 10/10/2018</t>
  </si>
  <si>
    <t>07/09/2018/ 10/10/2018</t>
  </si>
  <si>
    <t>17/09/2018 /09/08/201810/10/2018</t>
  </si>
  <si>
    <t xml:space="preserve">17/09/2018/10/10/2018 </t>
  </si>
  <si>
    <t>17/09/2018/10/10/2018</t>
  </si>
  <si>
    <t>02/08/2018/11/10/2018</t>
  </si>
  <si>
    <t>09/10/2018/</t>
  </si>
  <si>
    <t>12/10/1028</t>
  </si>
  <si>
    <t>04/09/2018 /11/10/2018</t>
  </si>
  <si>
    <t>02/09/2018 /15/10/2018</t>
  </si>
  <si>
    <t xml:space="preserve">18/09/2018/15/10/2018 </t>
  </si>
  <si>
    <t>18/09/2018/15/10/2018</t>
  </si>
  <si>
    <t>14/09/2018/16/10/2018</t>
  </si>
  <si>
    <t>12/09/2018/24/10/2018</t>
  </si>
  <si>
    <t>05/09/2018/23/10/2018</t>
  </si>
  <si>
    <t>11/09/2018/30/10/2018</t>
  </si>
  <si>
    <t>31/08/2018/30/10/2018</t>
  </si>
  <si>
    <t>30/10/201843378</t>
  </si>
  <si>
    <t>17/09/2018 /05/10/2018/</t>
  </si>
  <si>
    <t>13/09/2018/31/10/2018</t>
  </si>
  <si>
    <t>12/09/2018/31/10/2018</t>
  </si>
  <si>
    <t>10/09/2018 /15/10/2018/02/11/2018</t>
  </si>
  <si>
    <t>10/09/2018/09/10/2018</t>
  </si>
  <si>
    <t>kio-jack Olivia</t>
  </si>
  <si>
    <t>12/11/2018/27/11/2018</t>
  </si>
  <si>
    <t>31/08/201827/11/2018/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</si>
</sst>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₦-46A]\ #,##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4" fontId="0" fillId="0" borderId="0" xfId="0" applyNumberFormat="1"/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3" xfId="0" applyFont="1" applyBorder="1"/>
    <xf numFmtId="3" fontId="0" fillId="0" borderId="1" xfId="0" applyNumberFormat="1" applyFont="1" applyBorder="1"/>
    <xf numFmtId="0" fontId="0" fillId="0" borderId="6" xfId="0" applyBorder="1"/>
    <xf numFmtId="0" fontId="0" fillId="0" borderId="6" xfId="0" applyFont="1" applyBorder="1"/>
    <xf numFmtId="0" fontId="0" fillId="0" borderId="2" xfId="0" applyBorder="1"/>
    <xf numFmtId="0" fontId="0" fillId="0" borderId="0" xfId="0" applyBorder="1"/>
    <xf numFmtId="0" fontId="1" fillId="0" borderId="7" xfId="0" applyFont="1" applyBorder="1"/>
    <xf numFmtId="0" fontId="1" fillId="0" borderId="4" xfId="0" applyFont="1" applyBorder="1"/>
    <xf numFmtId="0" fontId="1" fillId="0" borderId="5" xfId="0" applyFont="1" applyBorder="1"/>
    <xf numFmtId="3" fontId="0" fillId="0" borderId="2" xfId="0" applyNumberFormat="1" applyBorder="1"/>
    <xf numFmtId="3" fontId="0" fillId="0" borderId="2" xfId="0" applyNumberFormat="1" applyFont="1" applyBorder="1"/>
    <xf numFmtId="3" fontId="1" fillId="0" borderId="10" xfId="0" applyNumberFormat="1" applyFont="1" applyBorder="1"/>
    <xf numFmtId="0" fontId="0" fillId="0" borderId="13" xfId="0" applyFont="1" applyBorder="1"/>
    <xf numFmtId="3" fontId="0" fillId="0" borderId="7" xfId="0" applyNumberFormat="1" applyFont="1" applyBorder="1"/>
    <xf numFmtId="3" fontId="0" fillId="0" borderId="12" xfId="0" applyNumberFormat="1" applyFont="1" applyBorder="1"/>
    <xf numFmtId="3" fontId="1" fillId="0" borderId="14" xfId="0" applyNumberFormat="1" applyFont="1" applyBorder="1"/>
    <xf numFmtId="0" fontId="2" fillId="0" borderId="2" xfId="0" applyFont="1" applyBorder="1"/>
    <xf numFmtId="0" fontId="2" fillId="0" borderId="1" xfId="0" applyFont="1" applyBorder="1"/>
    <xf numFmtId="0" fontId="3" fillId="0" borderId="1" xfId="0" applyFont="1" applyBorder="1"/>
    <xf numFmtId="4" fontId="3" fillId="0" borderId="1" xfId="0" applyNumberFormat="1" applyFont="1" applyBorder="1"/>
    <xf numFmtId="3" fontId="2" fillId="0" borderId="2" xfId="0" applyNumberFormat="1" applyFont="1" applyBorder="1"/>
    <xf numFmtId="4" fontId="2" fillId="0" borderId="1" xfId="0" applyNumberFormat="1" applyFont="1" applyBorder="1"/>
    <xf numFmtId="4" fontId="2" fillId="2" borderId="1" xfId="0" applyNumberFormat="1" applyFont="1" applyFill="1" applyBorder="1"/>
    <xf numFmtId="14" fontId="2" fillId="0" borderId="1" xfId="0" applyNumberFormat="1" applyFont="1" applyBorder="1"/>
    <xf numFmtId="0" fontId="2" fillId="0" borderId="0" xfId="0" applyFont="1"/>
    <xf numFmtId="3" fontId="2" fillId="0" borderId="1" xfId="0" applyNumberFormat="1" applyFont="1" applyBorder="1"/>
    <xf numFmtId="164" fontId="2" fillId="0" borderId="1" xfId="0" applyNumberFormat="1" applyFont="1" applyBorder="1"/>
    <xf numFmtId="0" fontId="2" fillId="0" borderId="11" xfId="0" applyFont="1" applyFill="1" applyBorder="1"/>
    <xf numFmtId="0" fontId="2" fillId="0" borderId="0" xfId="0" applyFont="1" applyBorder="1"/>
    <xf numFmtId="0" fontId="3" fillId="0" borderId="0" xfId="0" applyFont="1" applyBorder="1"/>
    <xf numFmtId="4" fontId="2" fillId="0" borderId="0" xfId="0" applyNumberFormat="1" applyFont="1" applyBorder="1"/>
    <xf numFmtId="0" fontId="3" fillId="0" borderId="1" xfId="0" applyFont="1" applyBorder="1" applyAlignment="1"/>
    <xf numFmtId="0" fontId="2" fillId="2" borderId="1" xfId="0" applyFont="1" applyFill="1" applyBorder="1"/>
    <xf numFmtId="0" fontId="2" fillId="0" borderId="1" xfId="0" applyFont="1" applyFill="1" applyBorder="1"/>
    <xf numFmtId="3" fontId="2" fillId="0" borderId="0" xfId="0" applyNumberFormat="1" applyFont="1"/>
    <xf numFmtId="4" fontId="2" fillId="0" borderId="0" xfId="0" applyNumberFormat="1" applyFont="1"/>
    <xf numFmtId="0" fontId="4" fillId="0" borderId="1" xfId="0" applyFont="1" applyFill="1" applyBorder="1"/>
    <xf numFmtId="3" fontId="2" fillId="0" borderId="0" xfId="0" applyNumberFormat="1" applyFont="1" applyBorder="1"/>
    <xf numFmtId="3" fontId="2" fillId="0" borderId="1" xfId="0" applyNumberFormat="1" applyFont="1" applyFill="1" applyBorder="1"/>
    <xf numFmtId="3" fontId="3" fillId="0" borderId="1" xfId="0" applyNumberFormat="1" applyFont="1" applyFill="1" applyBorder="1"/>
    <xf numFmtId="164" fontId="3" fillId="0" borderId="1" xfId="0" applyNumberFormat="1" applyFont="1" applyBorder="1"/>
    <xf numFmtId="0" fontId="3" fillId="0" borderId="0" xfId="0" applyFont="1" applyFill="1" applyBorder="1"/>
    <xf numFmtId="14" fontId="2" fillId="0" borderId="1" xfId="0" applyNumberFormat="1" applyFont="1" applyFill="1" applyBorder="1"/>
    <xf numFmtId="3" fontId="0" fillId="0" borderId="16" xfId="0" applyNumberFormat="1" applyBorder="1"/>
    <xf numFmtId="0" fontId="0" fillId="0" borderId="16" xfId="0" applyBorder="1"/>
    <xf numFmtId="3" fontId="0" fillId="0" borderId="16" xfId="0" applyNumberFormat="1" applyFont="1" applyBorder="1"/>
    <xf numFmtId="3" fontId="0" fillId="0" borderId="17" xfId="0" applyNumberFormat="1" applyFont="1" applyBorder="1"/>
    <xf numFmtId="0" fontId="1" fillId="0" borderId="5" xfId="0" applyFont="1" applyFill="1" applyBorder="1"/>
    <xf numFmtId="0" fontId="1" fillId="0" borderId="8" xfId="0" applyFont="1" applyFill="1" applyBorder="1"/>
    <xf numFmtId="0" fontId="1" fillId="0" borderId="15" xfId="0" applyFont="1" applyFill="1" applyBorder="1"/>
    <xf numFmtId="0" fontId="1" fillId="0" borderId="9" xfId="0" applyFont="1" applyFill="1" applyBorder="1"/>
    <xf numFmtId="0" fontId="1" fillId="0" borderId="13" xfId="0" applyFont="1" applyFill="1" applyBorder="1"/>
    <xf numFmtId="3" fontId="1" fillId="0" borderId="7" xfId="0" applyNumberFormat="1" applyFont="1" applyBorder="1"/>
    <xf numFmtId="3" fontId="1" fillId="0" borderId="12" xfId="0" applyNumberFormat="1" applyFont="1" applyBorder="1"/>
    <xf numFmtId="0" fontId="0" fillId="0" borderId="1" xfId="0" applyFont="1" applyFill="1" applyBorder="1"/>
    <xf numFmtId="3" fontId="5" fillId="0" borderId="1" xfId="0" applyNumberFormat="1" applyFont="1" applyBorder="1"/>
    <xf numFmtId="164" fontId="0" fillId="0" borderId="1" xfId="0" applyNumberFormat="1" applyFont="1" applyBorder="1"/>
    <xf numFmtId="14" fontId="2" fillId="0" borderId="0" xfId="0" applyNumberFormat="1" applyFont="1"/>
    <xf numFmtId="14" fontId="0" fillId="0" borderId="0" xfId="0" applyNumberFormat="1"/>
    <xf numFmtId="0" fontId="2" fillId="0" borderId="18" xfId="0" applyFont="1" applyBorder="1"/>
    <xf numFmtId="0" fontId="2" fillId="0" borderId="19" xfId="0" applyFont="1" applyBorder="1"/>
    <xf numFmtId="164" fontId="10" fillId="0" borderId="1" xfId="0" applyNumberFormat="1" applyFont="1" applyBorder="1"/>
    <xf numFmtId="14" fontId="2" fillId="0" borderId="0" xfId="0" applyNumberFormat="1" applyFont="1" applyBorder="1"/>
    <xf numFmtId="164" fontId="11" fillId="0" borderId="1" xfId="0" applyNumberFormat="1" applyFont="1" applyBorder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hartsheet" Target="chartsheets/sheet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chartsheet" Target="chartsheets/sheet1.xml"/><Relationship Id="rId15" Type="http://schemas.openxmlformats.org/officeDocument/2006/relationships/theme" Target="theme/theme1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Pupil Population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Page'!$C$4:$C$12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Page'!$D$4:$D$12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22</c:v>
                </c:pt>
                <c:pt idx="6">
                  <c:v>17</c:v>
                </c:pt>
                <c:pt idx="7">
                  <c:v>20</c:v>
                </c:pt>
                <c:pt idx="8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32736"/>
        <c:axId val="68486272"/>
      </c:barChart>
      <c:catAx>
        <c:axId val="3453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6272"/>
        <c:crosses val="autoZero"/>
        <c:auto val="1"/>
        <c:lblAlgn val="ctr"/>
        <c:lblOffset val="100"/>
        <c:noMultiLvlLbl val="0"/>
      </c:catAx>
      <c:valAx>
        <c:axId val="684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</a:t>
            </a:r>
            <a:r>
              <a:rPr lang="en-US" baseline="0"/>
              <a:t> Sales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'Summary Page'!$E$34</c:f>
              <c:strCache>
                <c:ptCount val="1"/>
                <c:pt idx="0">
                  <c:v>COST OF BOOKS &amp; CRAFTS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Page'!$C$35:$C$43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Page'!$E$35:$E$43</c:f>
              <c:numCache>
                <c:formatCode>#,##0.00</c:formatCode>
                <c:ptCount val="9"/>
                <c:pt idx="0">
                  <c:v>29000</c:v>
                </c:pt>
                <c:pt idx="1">
                  <c:v>50500</c:v>
                </c:pt>
                <c:pt idx="2">
                  <c:v>87000</c:v>
                </c:pt>
                <c:pt idx="3">
                  <c:v>132800</c:v>
                </c:pt>
                <c:pt idx="4">
                  <c:v>188010</c:v>
                </c:pt>
                <c:pt idx="5">
                  <c:v>235510</c:v>
                </c:pt>
                <c:pt idx="6">
                  <c:v>211650</c:v>
                </c:pt>
                <c:pt idx="7">
                  <c:v>227800</c:v>
                </c:pt>
                <c:pt idx="8">
                  <c:v>54175</c:v>
                </c:pt>
              </c:numCache>
            </c:numRef>
          </c:val>
        </c:ser>
        <c:ser>
          <c:idx val="1"/>
          <c:order val="1"/>
          <c:tx>
            <c:strRef>
              <c:f>'Summary Page'!$F$34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Page'!$C$35:$C$43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Page'!$F$35:$F$43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'Summary Page'!$G$34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Page'!$C$35:$C$43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Page'!$G$35:$G$43</c:f>
              <c:numCache>
                <c:formatCode>#,##0.00</c:formatCode>
                <c:ptCount val="9"/>
                <c:pt idx="0">
                  <c:v>0</c:v>
                </c:pt>
                <c:pt idx="1">
                  <c:v>-50500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-235510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295744"/>
        <c:axId val="75297536"/>
      </c:barChart>
      <c:catAx>
        <c:axId val="7529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7536"/>
        <c:crosses val="autoZero"/>
        <c:auto val="1"/>
        <c:lblAlgn val="ctr"/>
        <c:lblOffset val="100"/>
        <c:noMultiLvlLbl val="0"/>
      </c:catAx>
      <c:valAx>
        <c:axId val="752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('Summary Page'!$L$3,'Summary Page'!$N$3)</c:f>
              <c:strCache>
                <c:ptCount val="2"/>
                <c:pt idx="0">
                  <c:v>Total Paid</c:v>
                </c:pt>
                <c:pt idx="1">
                  <c:v>Outstanding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'Summary Page'!$L$3:$N$3</c15:sqref>
                  </c15:fullRef>
                </c:ext>
              </c:extLst>
            </c:strRef>
          </c:cat>
          <c:val>
            <c:numRef>
              <c:f>('Summary Page'!$L$13,'Summary Page'!$N$13)</c:f>
              <c:numCache>
                <c:formatCode>#,##0</c:formatCode>
                <c:ptCount val="2"/>
                <c:pt idx="0">
                  <c:v>0</c:v>
                </c:pt>
                <c:pt idx="1">
                  <c:v>0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'Summary Page'!$L$13:$N$13</c15:sqref>
                  </c15:fullRef>
                </c:ext>
              </c:extLst>
            </c:numRef>
          </c:val>
          <c:extLst/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Transition!$A$1:$A$3</c:f>
              <c:strCache>
                <c:ptCount val="1"/>
                <c:pt idx="0">
                  <c:v>NURSERY 2 S/No</c:v>
                </c:pt>
              </c:strCache>
            </c:strRef>
          </c:tx>
          <c:invertIfNegative val="0"/>
          <c:val>
            <c:numRef>
              <c:f>Transition!$A$4:$A$17</c:f>
              <c:numCache>
                <c:formatCode>#,##0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</c:ser>
        <c:ser>
          <c:idx val="1"/>
          <c:order val="1"/>
          <c:tx>
            <c:strRef>
              <c:f>Transition!$B$1:$B$3</c:f>
              <c:strCache>
                <c:ptCount val="1"/>
                <c:pt idx="0">
                  <c:v>NURSERY 2 Pupil Name</c:v>
                </c:pt>
              </c:strCache>
            </c:strRef>
          </c:tx>
          <c:invertIfNegative val="0"/>
          <c:val>
            <c:numRef>
              <c:f>Transition!$B$4:$B$10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Transition!#REF!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Transition!#REF!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Transition!$C$1:$C$3</c:f>
              <c:strCache>
                <c:ptCount val="1"/>
                <c:pt idx="0">
                  <c:v>NURSERY 2 PAYMENTS RECEIVED School Fees</c:v>
                </c:pt>
              </c:strCache>
            </c:strRef>
          </c:tx>
          <c:invertIfNegative val="0"/>
          <c:val>
            <c:numRef>
              <c:f>Transition!$C$4:$C$12</c:f>
              <c:numCache>
                <c:formatCode>[$₦-46A]\ #,##0</c:formatCode>
                <c:ptCount val="9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</c:numCache>
            </c:numRef>
          </c:val>
        </c:ser>
        <c:ser>
          <c:idx val="4"/>
          <c:order val="4"/>
          <c:tx>
            <c:strRef>
              <c:f>Transition!$D$1:$D$3</c:f>
              <c:strCache>
                <c:ptCount val="1"/>
                <c:pt idx="0">
                  <c:v>NURSERY 2 PAYMENTS RECEIVED PTA</c:v>
                </c:pt>
              </c:strCache>
            </c:strRef>
          </c:tx>
          <c:invertIfNegative val="0"/>
          <c:val>
            <c:numRef>
              <c:f>Transition!$D$4:$D$12</c:f>
              <c:numCache>
                <c:formatCode>[$₦-46A]\ #,##0</c:formatCode>
                <c:ptCount val="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</c:numCache>
            </c:numRef>
          </c:val>
        </c:ser>
        <c:ser>
          <c:idx val="5"/>
          <c:order val="5"/>
          <c:tx>
            <c:strRef>
              <c:f>'N1'!#REF!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Transition!$F$1:$F$3</c:f>
              <c:strCache>
                <c:ptCount val="1"/>
                <c:pt idx="0">
                  <c:v>NURSERY 2 PAYMENTS RECEIVED Books</c:v>
                </c:pt>
              </c:strCache>
            </c:strRef>
          </c:tx>
          <c:invertIfNegative val="0"/>
          <c:val>
            <c:numRef>
              <c:f>Transition!$F$4:$F$12</c:f>
              <c:numCache>
                <c:formatCode>[$₦-46A]\ #,##0</c:formatCode>
                <c:ptCount val="9"/>
                <c:pt idx="0">
                  <c:v>12450</c:v>
                </c:pt>
                <c:pt idx="1">
                  <c:v>12450</c:v>
                </c:pt>
                <c:pt idx="2">
                  <c:v>12450</c:v>
                </c:pt>
                <c:pt idx="3">
                  <c:v>12450</c:v>
                </c:pt>
                <c:pt idx="4">
                  <c:v>12450</c:v>
                </c:pt>
                <c:pt idx="5">
                  <c:v>12450</c:v>
                </c:pt>
                <c:pt idx="6">
                  <c:v>12450</c:v>
                </c:pt>
                <c:pt idx="7">
                  <c:v>12450</c:v>
                </c:pt>
                <c:pt idx="8">
                  <c:v>12450</c:v>
                </c:pt>
              </c:numCache>
            </c:numRef>
          </c:val>
        </c:ser>
        <c:ser>
          <c:idx val="7"/>
          <c:order val="7"/>
          <c:tx>
            <c:strRef>
              <c:f>Transition!$G$1:$G$3</c:f>
              <c:strCache>
                <c:ptCount val="1"/>
                <c:pt idx="0">
                  <c:v>NURSERY 2 PAYMENTS RECEIVED School Bus</c:v>
                </c:pt>
              </c:strCache>
            </c:strRef>
          </c:tx>
          <c:invertIfNegative val="0"/>
          <c:val>
            <c:numRef>
              <c:f>Transition!$G$4:$G$12</c:f>
              <c:numCache>
                <c:formatCode>[$₦-46A]\ #,##0</c:formatCode>
                <c:ptCount val="9"/>
              </c:numCache>
            </c:numRef>
          </c:val>
        </c:ser>
        <c:ser>
          <c:idx val="8"/>
          <c:order val="8"/>
          <c:tx>
            <c:strRef>
              <c:f>Transition!$H$1:$H$3</c:f>
              <c:strCache>
                <c:ptCount val="1"/>
                <c:pt idx="0">
                  <c:v>NURSERY 2 PAYMENTS RECEIVED Total Due</c:v>
                </c:pt>
              </c:strCache>
            </c:strRef>
          </c:tx>
          <c:invertIfNegative val="0"/>
          <c:val>
            <c:numRef>
              <c:f>Transition!$H$4:$H$12</c:f>
              <c:numCache>
                <c:formatCode>[$₦-46A]\ #,##0</c:formatCode>
                <c:ptCount val="9"/>
                <c:pt idx="0">
                  <c:v>48450</c:v>
                </c:pt>
                <c:pt idx="1">
                  <c:v>48450</c:v>
                </c:pt>
                <c:pt idx="2">
                  <c:v>48450</c:v>
                </c:pt>
                <c:pt idx="3">
                  <c:v>48450</c:v>
                </c:pt>
                <c:pt idx="4">
                  <c:v>48450</c:v>
                </c:pt>
                <c:pt idx="5">
                  <c:v>48450</c:v>
                </c:pt>
                <c:pt idx="6">
                  <c:v>48450</c:v>
                </c:pt>
                <c:pt idx="7">
                  <c:v>52950</c:v>
                </c:pt>
                <c:pt idx="8">
                  <c:v>48450</c:v>
                </c:pt>
              </c:numCache>
            </c:numRef>
          </c:val>
        </c:ser>
        <c:ser>
          <c:idx val="9"/>
          <c:order val="9"/>
          <c:tx>
            <c:strRef>
              <c:f>Transition!$I$1:$I$3</c:f>
              <c:strCache>
                <c:ptCount val="1"/>
                <c:pt idx="0">
                  <c:v>NURSERY 2 PAYMENTS RECEIVED Total Paid</c:v>
                </c:pt>
              </c:strCache>
            </c:strRef>
          </c:tx>
          <c:invertIfNegative val="0"/>
          <c:val>
            <c:numRef>
              <c:f>Transition!$I$4:$I$12</c:f>
              <c:numCache>
                <c:formatCode>[$₦-46A]\ #,##0</c:formatCode>
                <c:ptCount val="9"/>
                <c:pt idx="0">
                  <c:v>47450</c:v>
                </c:pt>
                <c:pt idx="1">
                  <c:v>48450</c:v>
                </c:pt>
                <c:pt idx="2">
                  <c:v>12450</c:v>
                </c:pt>
                <c:pt idx="3">
                  <c:v>48450</c:v>
                </c:pt>
                <c:pt idx="4">
                  <c:v>48450</c:v>
                </c:pt>
                <c:pt idx="5">
                  <c:v>48450</c:v>
                </c:pt>
                <c:pt idx="6">
                  <c:v>48450</c:v>
                </c:pt>
                <c:pt idx="7">
                  <c:v>57950</c:v>
                </c:pt>
                <c:pt idx="8">
                  <c:v>48450</c:v>
                </c:pt>
              </c:numCache>
            </c:numRef>
          </c:val>
        </c:ser>
        <c:ser>
          <c:idx val="10"/>
          <c:order val="10"/>
          <c:tx>
            <c:strRef>
              <c:f>Transition!$J$1:$J$3</c:f>
              <c:strCache>
                <c:ptCount val="1"/>
                <c:pt idx="0">
                  <c:v>NURSERY 2 PAYMENTS RECEIVED Outstanding</c:v>
                </c:pt>
              </c:strCache>
            </c:strRef>
          </c:tx>
          <c:invertIfNegative val="0"/>
          <c:val>
            <c:numRef>
              <c:f>Transition!$J$4:$J$12</c:f>
              <c:numCache>
                <c:formatCode>[$₦-46A]\ #,##0</c:formatCode>
                <c:ptCount val="9"/>
                <c:pt idx="0">
                  <c:v>1000</c:v>
                </c:pt>
                <c:pt idx="1">
                  <c:v>0</c:v>
                </c:pt>
                <c:pt idx="2">
                  <c:v>36000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-5000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30016"/>
        <c:axId val="77831552"/>
      </c:barChart>
      <c:catAx>
        <c:axId val="7783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77831552"/>
        <c:crosses val="autoZero"/>
        <c:auto val="1"/>
        <c:lblAlgn val="ctr"/>
        <c:lblOffset val="100"/>
        <c:noMultiLvlLbl val="0"/>
      </c:catAx>
      <c:valAx>
        <c:axId val="7783155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783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'JSS 1'!#REF!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'JSS 1'!$C$1:$C$2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1'!$C$3:$C$5</c:f>
              <c:numCache>
                <c:formatCode>[$₦-46A]\ #,##0</c:formatCode>
                <c:ptCount val="3"/>
                <c:pt idx="0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'JSS 1'!$D$1:$D$2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1'!$D$3:$D$5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38500</c:v>
                </c:pt>
                <c:pt idx="2">
                  <c:v>38500</c:v>
                </c:pt>
              </c:numCache>
            </c:numRef>
          </c:val>
        </c:ser>
        <c:ser>
          <c:idx val="3"/>
          <c:order val="3"/>
          <c:tx>
            <c:strRef>
              <c:f>'JSS 1'!$E$1:$E$2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1'!$E$3:$E$5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1000</c:v>
                </c:pt>
                <c:pt idx="2">
                  <c:v>1000</c:v>
                </c:pt>
              </c:numCache>
            </c:numRef>
          </c:val>
        </c:ser>
        <c:ser>
          <c:idx val="4"/>
          <c:order val="4"/>
          <c:tx>
            <c:strRef>
              <c:f>'p6'!#REF!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'JSS 1'!$G$1:$G$2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1'!$G$3:$G$5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29240</c:v>
                </c:pt>
                <c:pt idx="2">
                  <c:v>29240</c:v>
                </c:pt>
              </c:numCache>
            </c:numRef>
          </c:val>
        </c:ser>
        <c:ser>
          <c:idx val="6"/>
          <c:order val="6"/>
          <c:tx>
            <c:strRef>
              <c:f>'JSS 1'!$I$1:$I$2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1'!$I$3:$I$5</c:f>
              <c:numCache>
                <c:formatCode>[$₦-46A]\ #,##0</c:formatCode>
                <c:ptCount val="3"/>
                <c:pt idx="0" formatCode="General">
                  <c:v>0</c:v>
                </c:pt>
              </c:numCache>
            </c:numRef>
          </c:val>
        </c:ser>
        <c:ser>
          <c:idx val="7"/>
          <c:order val="7"/>
          <c:tx>
            <c:strRef>
              <c:f>'JSS 1'!$J$1:$J$2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1'!$J$3:$J$5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89740</c:v>
                </c:pt>
                <c:pt idx="2">
                  <c:v>89740</c:v>
                </c:pt>
              </c:numCache>
            </c:numRef>
          </c:val>
        </c:ser>
        <c:ser>
          <c:idx val="8"/>
          <c:order val="8"/>
          <c:tx>
            <c:strRef>
              <c:f>'JSS 1'!$K$1:$K$2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1'!$K$3:$K$5</c:f>
              <c:numCache>
                <c:formatCode>[$₦-46A]\ #,##0</c:formatCode>
                <c:ptCount val="3"/>
                <c:pt idx="0" formatCode="General">
                  <c:v>0</c:v>
                </c:pt>
                <c:pt idx="2">
                  <c:v>89740</c:v>
                </c:pt>
              </c:numCache>
            </c:numRef>
          </c:val>
        </c:ser>
        <c:ser>
          <c:idx val="9"/>
          <c:order val="9"/>
          <c:tx>
            <c:strRef>
              <c:f>'JSS 1'!$L$1:$L$2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1'!$L$3:$L$5</c:f>
              <c:numCache>
                <c:formatCode>[$₦-46A]\ #,##0</c:formatCode>
                <c:ptCount val="3"/>
                <c:pt idx="0" formatCode="#,##0.00">
                  <c:v>0</c:v>
                </c:pt>
                <c:pt idx="1">
                  <c:v>89740</c:v>
                </c:pt>
                <c:pt idx="2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'JSS 1'!#REF!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'JSS 1'!$M$1:$M$1</c:f>
              <c:strCache>
                <c:ptCount val="1"/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'JSS 1'!$N$1:$N$1</c:f>
              <c:strCache>
                <c:ptCount val="1"/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'JSS 1'!$O$1:$O$1</c:f>
              <c:strCache>
                <c:ptCount val="1"/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330688"/>
        <c:axId val="79332480"/>
      </c:barChart>
      <c:catAx>
        <c:axId val="7933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332480"/>
        <c:crosses val="autoZero"/>
        <c:auto val="1"/>
        <c:lblAlgn val="ctr"/>
        <c:lblOffset val="100"/>
        <c:noMultiLvlLbl val="0"/>
      </c:catAx>
      <c:valAx>
        <c:axId val="7933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33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14</xdr:row>
      <xdr:rowOff>33337</xdr:rowOff>
    </xdr:from>
    <xdr:to>
      <xdr:col>8</xdr:col>
      <xdr:colOff>476250</xdr:colOff>
      <xdr:row>28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47</xdr:row>
      <xdr:rowOff>14287</xdr:rowOff>
    </xdr:from>
    <xdr:to>
      <xdr:col>8</xdr:col>
      <xdr:colOff>304800</xdr:colOff>
      <xdr:row>61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14</xdr:row>
      <xdr:rowOff>23812</xdr:rowOff>
    </xdr:from>
    <xdr:to>
      <xdr:col>15</xdr:col>
      <xdr:colOff>304800</xdr:colOff>
      <xdr:row>28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4"/>
  <sheetViews>
    <sheetView workbookViewId="0">
      <selection activeCell="I38" sqref="I38"/>
    </sheetView>
  </sheetViews>
  <sheetFormatPr defaultRowHeight="15" x14ac:dyDescent="0.25"/>
  <cols>
    <col min="1" max="2" width="5.7109375" bestFit="1" customWidth="1"/>
    <col min="3" max="3" width="6.28515625" bestFit="1" customWidth="1"/>
    <col min="4" max="4" width="4" bestFit="1" customWidth="1"/>
    <col min="5" max="5" width="24.42578125" bestFit="1" customWidth="1"/>
    <col min="6" max="6" width="14.42578125" bestFit="1" customWidth="1"/>
    <col min="7" max="7" width="11.7109375" bestFit="1" customWidth="1"/>
    <col min="8" max="8" width="13.5703125" bestFit="1" customWidth="1"/>
    <col min="9" max="9" width="11.42578125" bestFit="1" customWidth="1"/>
    <col min="10" max="10" width="10.140625" bestFit="1" customWidth="1"/>
    <col min="11" max="11" width="10.42578125" bestFit="1" customWidth="1"/>
    <col min="12" max="12" width="10.140625" bestFit="1" customWidth="1"/>
    <col min="13" max="13" width="11.7109375" bestFit="1" customWidth="1"/>
    <col min="14" max="14" width="11.85546875" bestFit="1" customWidth="1"/>
    <col min="15" max="15" width="10.140625" bestFit="1" customWidth="1"/>
    <col min="16" max="16" width="11.7109375" bestFit="1" customWidth="1"/>
    <col min="17" max="17" width="11.85546875" bestFit="1" customWidth="1"/>
    <col min="18" max="18" width="10.140625" bestFit="1" customWidth="1"/>
  </cols>
  <sheetData>
    <row r="1" spans="2:14" x14ac:dyDescent="0.25">
      <c r="B1" s="6" t="s">
        <v>51</v>
      </c>
    </row>
    <row r="3" spans="2:14" x14ac:dyDescent="0.25">
      <c r="B3" s="5" t="s">
        <v>47</v>
      </c>
      <c r="C3" s="5" t="s">
        <v>48</v>
      </c>
      <c r="D3" s="5" t="s">
        <v>49</v>
      </c>
      <c r="E3" s="5" t="s">
        <v>7</v>
      </c>
      <c r="F3" s="5" t="s">
        <v>1</v>
      </c>
      <c r="G3" s="5" t="s">
        <v>2</v>
      </c>
      <c r="H3" s="5" t="s">
        <v>3</v>
      </c>
      <c r="I3" s="5" t="s">
        <v>4</v>
      </c>
      <c r="J3" s="5" t="s">
        <v>31</v>
      </c>
      <c r="K3" s="5" t="s">
        <v>5</v>
      </c>
      <c r="L3" s="5" t="s">
        <v>9</v>
      </c>
      <c r="M3" s="5" t="s">
        <v>8</v>
      </c>
      <c r="N3" s="5" t="s">
        <v>30</v>
      </c>
    </row>
    <row r="4" spans="2:14" x14ac:dyDescent="0.25">
      <c r="B4" s="1">
        <v>1</v>
      </c>
      <c r="C4" s="1" t="s">
        <v>38</v>
      </c>
      <c r="D4" s="1">
        <v>10</v>
      </c>
      <c r="E4" s="2" t="e">
        <f>Transition!#REF!</f>
        <v>#REF!</v>
      </c>
      <c r="F4" s="2">
        <f>Transition!C10</f>
        <v>35000</v>
      </c>
      <c r="G4" s="2">
        <f>Transition!D10</f>
        <v>1000</v>
      </c>
      <c r="H4" s="2" t="e">
        <f>Transition!#REF!</f>
        <v>#REF!</v>
      </c>
      <c r="I4" s="2">
        <f>Transition!F10</f>
        <v>12450</v>
      </c>
      <c r="J4" s="2"/>
      <c r="K4" s="2">
        <f>Transition!G10</f>
        <v>0</v>
      </c>
      <c r="L4" s="2">
        <f>Transition!H10</f>
        <v>48450</v>
      </c>
      <c r="M4" s="2">
        <f>Transition!I10</f>
        <v>48450</v>
      </c>
      <c r="N4" s="2">
        <f>Transition!J10</f>
        <v>0</v>
      </c>
    </row>
    <row r="5" spans="2:14" x14ac:dyDescent="0.25">
      <c r="B5" s="1">
        <v>2</v>
      </c>
      <c r="C5" s="1" t="s">
        <v>39</v>
      </c>
      <c r="D5" s="1">
        <v>10</v>
      </c>
      <c r="E5" s="3" t="e">
        <f>'Grade 1'!#REF!</f>
        <v>#REF!</v>
      </c>
      <c r="F5" s="3" t="e">
        <f>'Grade 1'!#REF!</f>
        <v>#REF!</v>
      </c>
      <c r="G5" s="3" t="e">
        <f>'Grade 1'!#REF!</f>
        <v>#REF!</v>
      </c>
      <c r="H5" s="3" t="e">
        <f>'Grade 1'!#REF!</f>
        <v>#REF!</v>
      </c>
      <c r="I5" s="3" t="e">
        <f>'Grade 1'!#REF!</f>
        <v>#REF!</v>
      </c>
      <c r="J5" s="3"/>
      <c r="K5" s="3" t="e">
        <f>'Grade 1'!#REF!</f>
        <v>#REF!</v>
      </c>
      <c r="L5" s="3" t="e">
        <f>'Grade 1'!#REF!</f>
        <v>#REF!</v>
      </c>
      <c r="M5" s="3" t="e">
        <f>'Grade 1'!#REF!</f>
        <v>#REF!</v>
      </c>
      <c r="N5" s="3" t="e">
        <f>'Grade 1'!#REF!</f>
        <v>#REF!</v>
      </c>
    </row>
    <row r="6" spans="2:14" x14ac:dyDescent="0.25">
      <c r="B6" s="1">
        <v>3</v>
      </c>
      <c r="C6" s="1" t="s">
        <v>40</v>
      </c>
      <c r="D6" s="1">
        <v>15</v>
      </c>
      <c r="E6" s="3" t="e">
        <f>'Grade 2'!#REF!</f>
        <v>#REF!</v>
      </c>
      <c r="F6" s="3" t="e">
        <f>'Grade 2'!#REF!</f>
        <v>#REF!</v>
      </c>
      <c r="G6" s="3" t="e">
        <f>'Grade 2'!#REF!</f>
        <v>#REF!</v>
      </c>
      <c r="H6" s="3" t="e">
        <f>'Grade 2'!#REF!</f>
        <v>#REF!</v>
      </c>
      <c r="I6" s="3" t="e">
        <f>'Grade 2'!#REF!</f>
        <v>#REF!</v>
      </c>
      <c r="J6" s="3"/>
      <c r="K6" s="3" t="e">
        <f>'Grade 2'!#REF!</f>
        <v>#REF!</v>
      </c>
      <c r="L6" s="3" t="e">
        <f>'Grade 2'!#REF!</f>
        <v>#REF!</v>
      </c>
      <c r="M6" s="3" t="e">
        <f>'Grade 2'!#REF!</f>
        <v>#REF!</v>
      </c>
      <c r="N6" s="3" t="e">
        <f>'Grade 2'!#REF!</f>
        <v>#REF!</v>
      </c>
    </row>
    <row r="7" spans="2:14" x14ac:dyDescent="0.25">
      <c r="B7" s="1">
        <v>4</v>
      </c>
      <c r="C7" s="1" t="s">
        <v>41</v>
      </c>
      <c r="D7" s="1">
        <v>16</v>
      </c>
      <c r="E7" s="3" t="e">
        <f>'Grade 3'!#REF!</f>
        <v>#REF!</v>
      </c>
      <c r="F7" s="3" t="e">
        <f>'Grade 3'!#REF!</f>
        <v>#REF!</v>
      </c>
      <c r="G7" s="3" t="e">
        <f>'Grade 3'!#REF!</f>
        <v>#REF!</v>
      </c>
      <c r="H7" s="3" t="e">
        <f>'Grade 3'!#REF!</f>
        <v>#REF!</v>
      </c>
      <c r="I7" s="3" t="e">
        <f>'Grade 3'!#REF!</f>
        <v>#REF!</v>
      </c>
      <c r="J7" s="3" t="e">
        <f>'Grade 3'!#REF!</f>
        <v>#REF!</v>
      </c>
      <c r="K7" s="3" t="e">
        <f>'Grade 3'!#REF!</f>
        <v>#REF!</v>
      </c>
      <c r="L7" s="3" t="e">
        <f>'Grade 3'!#REF!</f>
        <v>#REF!</v>
      </c>
      <c r="M7" s="3" t="e">
        <f>'Grade 3'!#REF!</f>
        <v>#REF!</v>
      </c>
      <c r="N7" s="3" t="e">
        <f>'Grade 3'!#REF!</f>
        <v>#REF!</v>
      </c>
    </row>
    <row r="8" spans="2:14" x14ac:dyDescent="0.25">
      <c r="B8" s="1">
        <v>5</v>
      </c>
      <c r="C8" s="1" t="s">
        <v>42</v>
      </c>
      <c r="D8" s="1">
        <v>18</v>
      </c>
      <c r="E8" s="3" t="e">
        <f>'Grade 4'!#REF!</f>
        <v>#REF!</v>
      </c>
      <c r="F8" s="3" t="e">
        <f>'Grade 4'!#REF!</f>
        <v>#REF!</v>
      </c>
      <c r="G8" s="3" t="e">
        <f>'Grade 4'!#REF!</f>
        <v>#REF!</v>
      </c>
      <c r="H8" s="3" t="e">
        <f>'Grade 4'!#REF!</f>
        <v>#REF!</v>
      </c>
      <c r="I8" s="3" t="e">
        <f>'Grade 4'!#REF!</f>
        <v>#REF!</v>
      </c>
      <c r="J8" s="3" t="e">
        <f>'Grade 4'!#REF!</f>
        <v>#REF!</v>
      </c>
      <c r="K8" s="3" t="e">
        <f>'Grade 4'!#REF!</f>
        <v>#REF!</v>
      </c>
      <c r="L8" s="3" t="e">
        <f>'Grade 4'!#REF!</f>
        <v>#REF!</v>
      </c>
      <c r="M8" s="3" t="e">
        <f>'Grade 4'!#REF!</f>
        <v>#REF!</v>
      </c>
      <c r="N8" s="3" t="e">
        <f>'Grade 4'!#REF!</f>
        <v>#REF!</v>
      </c>
    </row>
    <row r="9" spans="2:14" x14ac:dyDescent="0.25">
      <c r="B9" s="1">
        <v>6</v>
      </c>
      <c r="C9" s="1" t="s">
        <v>43</v>
      </c>
      <c r="D9" s="1">
        <v>22</v>
      </c>
      <c r="E9" s="3">
        <f>'Grade 5'!C15</f>
        <v>0</v>
      </c>
      <c r="F9" s="3">
        <f>'Grade 5'!D15</f>
        <v>36500</v>
      </c>
      <c r="G9" s="3">
        <f>'Grade 5'!E15</f>
        <v>1000</v>
      </c>
      <c r="H9" s="3">
        <f>'Grade 5'!G15</f>
        <v>20430</v>
      </c>
      <c r="I9" s="3" t="e">
        <f>'Grade 5'!#REF!</f>
        <v>#REF!</v>
      </c>
      <c r="J9" s="3">
        <f>'Grade 5'!H15</f>
        <v>3500</v>
      </c>
      <c r="K9" s="3">
        <f>'Grade 5'!I15</f>
        <v>15000</v>
      </c>
      <c r="L9" s="3">
        <f>'Grade 5'!J15</f>
        <v>81430</v>
      </c>
      <c r="M9" s="3">
        <f>'Grade 5'!K15</f>
        <v>81430</v>
      </c>
      <c r="N9" s="3">
        <f>'Grade 5'!L15</f>
        <v>0</v>
      </c>
    </row>
    <row r="10" spans="2:14" x14ac:dyDescent="0.25">
      <c r="B10" s="1">
        <v>7</v>
      </c>
      <c r="C10" s="1" t="s">
        <v>44</v>
      </c>
      <c r="D10" s="1">
        <v>17</v>
      </c>
      <c r="E10" s="3" t="e">
        <f>'JSS 1'!#REF!</f>
        <v>#REF!</v>
      </c>
      <c r="F10" s="3" t="e">
        <f>'JSS 1'!#REF!</f>
        <v>#REF!</v>
      </c>
      <c r="G10" s="3" t="e">
        <f>'JSS 1'!#REF!</f>
        <v>#REF!</v>
      </c>
      <c r="H10" s="3" t="e">
        <f>'JSS 1'!#REF!</f>
        <v>#REF!</v>
      </c>
      <c r="I10" s="3" t="e">
        <f>'JSS 1'!#REF!</f>
        <v>#REF!</v>
      </c>
      <c r="J10" s="3" t="e">
        <f>'JSS 1'!#REF!</f>
        <v>#REF!</v>
      </c>
      <c r="K10" s="3" t="e">
        <f>'JSS 1'!#REF!</f>
        <v>#REF!</v>
      </c>
      <c r="L10" s="3" t="e">
        <f>'JSS 1'!#REF!</f>
        <v>#REF!</v>
      </c>
      <c r="M10" s="3" t="e">
        <f>'JSS 1'!#REF!</f>
        <v>#REF!</v>
      </c>
      <c r="N10" s="3" t="e">
        <f>'JSS 1'!#REF!</f>
        <v>#REF!</v>
      </c>
    </row>
    <row r="11" spans="2:14" x14ac:dyDescent="0.25">
      <c r="B11" s="1">
        <v>8</v>
      </c>
      <c r="C11" s="1" t="s">
        <v>45</v>
      </c>
      <c r="D11" s="1">
        <v>20</v>
      </c>
      <c r="E11" s="3" t="e">
        <f>Preschool!#REF!</f>
        <v>#REF!</v>
      </c>
      <c r="F11" s="3" t="e">
        <f>Preschool!#REF!</f>
        <v>#REF!</v>
      </c>
      <c r="G11" s="3" t="e">
        <f>Preschool!#REF!</f>
        <v>#REF!</v>
      </c>
      <c r="H11" s="3" t="e">
        <f>Preschool!#REF!</f>
        <v>#REF!</v>
      </c>
      <c r="I11" s="3" t="e">
        <f>Preschool!#REF!</f>
        <v>#REF!</v>
      </c>
      <c r="J11" s="3" t="e">
        <f>Preschool!#REF!</f>
        <v>#REF!</v>
      </c>
      <c r="K11" s="3" t="e">
        <f>Preschool!#REF!</f>
        <v>#REF!</v>
      </c>
      <c r="L11" s="3" t="e">
        <f>Preschool!#REF!</f>
        <v>#REF!</v>
      </c>
      <c r="M11" s="3" t="e">
        <f>Preschool!#REF!</f>
        <v>#REF!</v>
      </c>
      <c r="N11" s="3" t="e">
        <f>Preschool!#REF!</f>
        <v>#REF!</v>
      </c>
    </row>
    <row r="12" spans="2:14" x14ac:dyDescent="0.25">
      <c r="B12" s="1">
        <v>9</v>
      </c>
      <c r="C12" s="1" t="s">
        <v>46</v>
      </c>
      <c r="D12" s="1">
        <v>5</v>
      </c>
      <c r="E12" s="3" t="e">
        <f>Nur.!#REF!</f>
        <v>#REF!</v>
      </c>
      <c r="F12" s="3">
        <f>Nur.!D6</f>
        <v>35000</v>
      </c>
      <c r="G12" s="3">
        <f>Nur.!E6</f>
        <v>1000</v>
      </c>
      <c r="H12" s="3" t="e">
        <f>Nur.!#REF!</f>
        <v>#REF!</v>
      </c>
      <c r="I12" s="3">
        <f>Nur.!G6</f>
        <v>9550</v>
      </c>
      <c r="J12" s="3" t="e">
        <f>Nur.!#REF!</f>
        <v>#REF!</v>
      </c>
      <c r="K12" s="3">
        <f>Nur.!H6</f>
        <v>15000</v>
      </c>
      <c r="L12" s="3">
        <f>Nur.!I6</f>
        <v>65550</v>
      </c>
      <c r="M12" s="3">
        <f>Nur.!J6</f>
        <v>65550</v>
      </c>
      <c r="N12" s="3">
        <f>Nur.!K6</f>
        <v>0</v>
      </c>
    </row>
    <row r="13" spans="2:14" x14ac:dyDescent="0.25">
      <c r="D13" s="8">
        <f>SUM(D4:D12)</f>
        <v>133</v>
      </c>
      <c r="E13" s="2" t="e">
        <f t="shared" ref="E13:M13" si="0">SUM(E4:E12)</f>
        <v>#REF!</v>
      </c>
      <c r="F13" s="2" t="e">
        <f t="shared" si="0"/>
        <v>#REF!</v>
      </c>
      <c r="G13" s="2" t="e">
        <f t="shared" si="0"/>
        <v>#REF!</v>
      </c>
      <c r="H13" s="2" t="e">
        <f t="shared" si="0"/>
        <v>#REF!</v>
      </c>
      <c r="I13" s="2" t="e">
        <f t="shared" si="0"/>
        <v>#REF!</v>
      </c>
      <c r="J13" s="2" t="e">
        <f t="shared" si="0"/>
        <v>#REF!</v>
      </c>
      <c r="K13" s="2" t="e">
        <f t="shared" si="0"/>
        <v>#REF!</v>
      </c>
      <c r="L13" s="2" t="e">
        <f t="shared" si="0"/>
        <v>#REF!</v>
      </c>
      <c r="M13" s="2" t="e">
        <f t="shared" si="0"/>
        <v>#REF!</v>
      </c>
      <c r="N13" s="2" t="e">
        <f>SUM(N4:N12)</f>
        <v>#REF!</v>
      </c>
    </row>
    <row r="32" spans="2:2" x14ac:dyDescent="0.25">
      <c r="B32" s="6" t="s">
        <v>50</v>
      </c>
    </row>
    <row r="34" spans="2:7" x14ac:dyDescent="0.25">
      <c r="B34" s="5" t="s">
        <v>47</v>
      </c>
      <c r="C34" s="5" t="s">
        <v>48</v>
      </c>
      <c r="D34" s="5" t="s">
        <v>49</v>
      </c>
      <c r="E34" s="7" t="s">
        <v>54</v>
      </c>
      <c r="F34" s="7" t="s">
        <v>52</v>
      </c>
      <c r="G34" s="7" t="s">
        <v>53</v>
      </c>
    </row>
    <row r="35" spans="2:7" x14ac:dyDescent="0.25">
      <c r="B35" s="1">
        <v>1</v>
      </c>
      <c r="C35" s="1" t="s">
        <v>38</v>
      </c>
      <c r="D35" s="1">
        <v>10</v>
      </c>
      <c r="E35" s="3">
        <f>D35*2900</f>
        <v>29000</v>
      </c>
      <c r="F35" s="3" t="e">
        <f>Transition!#REF!*D35</f>
        <v>#REF!</v>
      </c>
      <c r="G35" s="3" t="e">
        <f t="shared" ref="G35:G43" si="1">F35-E35</f>
        <v>#REF!</v>
      </c>
    </row>
    <row r="36" spans="2:7" x14ac:dyDescent="0.25">
      <c r="B36" s="1">
        <v>2</v>
      </c>
      <c r="C36" s="1" t="s">
        <v>39</v>
      </c>
      <c r="D36" s="1">
        <v>10</v>
      </c>
      <c r="E36" s="3">
        <f>D36*5050</f>
        <v>50500</v>
      </c>
      <c r="F36" s="3">
        <f>'Grade 1'!N5*D36</f>
        <v>0</v>
      </c>
      <c r="G36" s="3">
        <f t="shared" si="1"/>
        <v>-50500</v>
      </c>
    </row>
    <row r="37" spans="2:7" x14ac:dyDescent="0.25">
      <c r="B37" s="1">
        <v>3</v>
      </c>
      <c r="C37" s="1" t="s">
        <v>40</v>
      </c>
      <c r="D37" s="1">
        <v>15</v>
      </c>
      <c r="E37" s="3">
        <f>D37*5800</f>
        <v>87000</v>
      </c>
      <c r="F37" s="3" t="e">
        <f>'Grade 2'!#REF!*D37</f>
        <v>#REF!</v>
      </c>
      <c r="G37" s="3" t="e">
        <f t="shared" si="1"/>
        <v>#REF!</v>
      </c>
    </row>
    <row r="38" spans="2:7" x14ac:dyDescent="0.25">
      <c r="B38" s="1">
        <v>4</v>
      </c>
      <c r="C38" s="1" t="s">
        <v>41</v>
      </c>
      <c r="D38" s="1">
        <v>16</v>
      </c>
      <c r="E38" s="3">
        <f>D38*8300</f>
        <v>132800</v>
      </c>
      <c r="F38" s="3" t="e">
        <f>'Grade 3'!#REF!*D38</f>
        <v>#REF!</v>
      </c>
      <c r="G38" s="3" t="e">
        <f t="shared" si="1"/>
        <v>#REF!</v>
      </c>
    </row>
    <row r="39" spans="2:7" x14ac:dyDescent="0.25">
      <c r="B39" s="1">
        <v>5</v>
      </c>
      <c r="C39" s="1" t="s">
        <v>42</v>
      </c>
      <c r="D39" s="1">
        <v>18</v>
      </c>
      <c r="E39" s="3">
        <f>D39*10445</f>
        <v>188010</v>
      </c>
      <c r="F39" s="3" t="e">
        <f>'Grade 4'!#REF!*D39</f>
        <v>#REF!</v>
      </c>
      <c r="G39" s="3" t="e">
        <f t="shared" si="1"/>
        <v>#REF!</v>
      </c>
    </row>
    <row r="40" spans="2:7" x14ac:dyDescent="0.25">
      <c r="B40" s="1">
        <v>6</v>
      </c>
      <c r="C40" s="1" t="s">
        <v>43</v>
      </c>
      <c r="D40" s="1">
        <v>22</v>
      </c>
      <c r="E40" s="3">
        <f>D40*10705</f>
        <v>235510</v>
      </c>
      <c r="F40" s="3">
        <f>'Grade 5'!O5*D40</f>
        <v>0</v>
      </c>
      <c r="G40" s="3">
        <f t="shared" si="1"/>
        <v>-235510</v>
      </c>
    </row>
    <row r="41" spans="2:7" x14ac:dyDescent="0.25">
      <c r="B41" s="1">
        <v>7</v>
      </c>
      <c r="C41" s="1" t="s">
        <v>44</v>
      </c>
      <c r="D41" s="1">
        <v>17</v>
      </c>
      <c r="E41" s="3">
        <f>D41*12450</f>
        <v>211650</v>
      </c>
      <c r="F41" s="3" t="e">
        <f>'JSS 1'!#REF!*D41</f>
        <v>#REF!</v>
      </c>
      <c r="G41" s="3" t="e">
        <f t="shared" si="1"/>
        <v>#REF!</v>
      </c>
    </row>
    <row r="42" spans="2:7" x14ac:dyDescent="0.25">
      <c r="B42" s="1">
        <v>8</v>
      </c>
      <c r="C42" s="1" t="s">
        <v>45</v>
      </c>
      <c r="D42" s="1">
        <v>20</v>
      </c>
      <c r="E42" s="3">
        <f>D42*11390</f>
        <v>227800</v>
      </c>
      <c r="F42" s="3" t="e">
        <f>Preschool!#REF!*D42</f>
        <v>#REF!</v>
      </c>
      <c r="G42" s="3" t="e">
        <f t="shared" si="1"/>
        <v>#REF!</v>
      </c>
    </row>
    <row r="43" spans="2:7" x14ac:dyDescent="0.25">
      <c r="B43" s="1">
        <v>9</v>
      </c>
      <c r="C43" s="1" t="s">
        <v>46</v>
      </c>
      <c r="D43" s="1">
        <v>5</v>
      </c>
      <c r="E43" s="3">
        <f>D43*10835</f>
        <v>54175</v>
      </c>
      <c r="F43" s="3" t="e">
        <f>Nur.!#REF!*D43</f>
        <v>#REF!</v>
      </c>
      <c r="G43" s="3" t="e">
        <f t="shared" si="1"/>
        <v>#REF!</v>
      </c>
    </row>
    <row r="44" spans="2:7" x14ac:dyDescent="0.25">
      <c r="E44" s="4">
        <f>SUM(E35:E43)</f>
        <v>1216445</v>
      </c>
      <c r="F44" s="4" t="e">
        <f>SUM(F35:F43)</f>
        <v>#REF!</v>
      </c>
      <c r="G44" s="4" t="e">
        <f>SUM(G35:G43)</f>
        <v>#REF!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K28" sqref="K28"/>
    </sheetView>
  </sheetViews>
  <sheetFormatPr defaultColWidth="8.85546875" defaultRowHeight="15.75" x14ac:dyDescent="0.25"/>
  <cols>
    <col min="1" max="1" width="5.42578125" style="32" bestFit="1" customWidth="1"/>
    <col min="2" max="2" width="35.140625" style="32" customWidth="1"/>
    <col min="3" max="3" width="10.42578125" style="32" customWidth="1"/>
    <col min="4" max="4" width="11.85546875" style="32" customWidth="1"/>
    <col min="5" max="5" width="11.7109375" style="32" customWidth="1"/>
    <col min="6" max="6" width="10.85546875" style="32" customWidth="1"/>
    <col min="7" max="7" width="13.140625" style="32" customWidth="1"/>
    <col min="8" max="8" width="12.140625" style="32" customWidth="1"/>
    <col min="9" max="9" width="11.28515625" style="32" bestFit="1" customWidth="1"/>
    <col min="10" max="10" width="12.7109375" style="32" customWidth="1"/>
    <col min="11" max="11" width="13" style="32" customWidth="1"/>
    <col min="12" max="12" width="18.7109375" style="32" customWidth="1"/>
    <col min="13" max="13" width="32.85546875" style="32" customWidth="1"/>
    <col min="14" max="14" width="14" style="32" customWidth="1"/>
    <col min="15" max="15" width="10.7109375" style="32" bestFit="1" customWidth="1"/>
    <col min="16" max="16384" width="8.85546875" style="32"/>
  </cols>
  <sheetData>
    <row r="1" spans="1:16" x14ac:dyDescent="0.25">
      <c r="A1" s="26" t="s">
        <v>37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4"/>
      <c r="M1" s="36"/>
      <c r="N1" s="36"/>
      <c r="O1" s="36"/>
      <c r="P1" s="36"/>
    </row>
    <row r="2" spans="1:16" x14ac:dyDescent="0.25">
      <c r="A2" s="25"/>
      <c r="B2" s="25"/>
      <c r="C2" s="25"/>
      <c r="D2" s="72" t="s">
        <v>10</v>
      </c>
      <c r="E2" s="72"/>
      <c r="F2" s="72"/>
      <c r="G2" s="72"/>
      <c r="H2" s="72"/>
      <c r="I2" s="72"/>
      <c r="J2" s="72"/>
      <c r="K2" s="25"/>
      <c r="L2" s="25"/>
      <c r="M2" s="36"/>
      <c r="N2" s="36"/>
      <c r="O2" s="37"/>
      <c r="P2" s="37"/>
    </row>
    <row r="3" spans="1:16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141</v>
      </c>
      <c r="N3" s="37"/>
      <c r="O3" s="38"/>
      <c r="P3" s="36"/>
    </row>
    <row r="4" spans="1:16" ht="15.6" customHeight="1" x14ac:dyDescent="0.25">
      <c r="A4" s="33">
        <v>1</v>
      </c>
      <c r="B4" s="25" t="s">
        <v>23</v>
      </c>
      <c r="C4" s="34"/>
      <c r="D4" s="34">
        <v>36500</v>
      </c>
      <c r="E4" s="34">
        <v>1000</v>
      </c>
      <c r="F4" s="34">
        <v>8000</v>
      </c>
      <c r="G4" s="34">
        <v>20430</v>
      </c>
      <c r="H4" s="34">
        <v>3500</v>
      </c>
      <c r="I4" s="34"/>
      <c r="J4" s="34">
        <f>SUM(C4:I4)</f>
        <v>69430</v>
      </c>
      <c r="K4" s="34">
        <v>69430</v>
      </c>
      <c r="L4" s="34">
        <f>J4-K4</f>
        <v>0</v>
      </c>
      <c r="M4" s="31">
        <v>43318</v>
      </c>
      <c r="N4" s="37"/>
      <c r="O4" s="38"/>
      <c r="P4" s="36"/>
    </row>
    <row r="5" spans="1:16" x14ac:dyDescent="0.25">
      <c r="A5" s="33">
        <v>2</v>
      </c>
      <c r="B5" s="25" t="s">
        <v>24</v>
      </c>
      <c r="C5" s="34"/>
      <c r="D5" s="34">
        <v>36500</v>
      </c>
      <c r="E5" s="34">
        <v>1000</v>
      </c>
      <c r="F5" s="34"/>
      <c r="G5" s="34">
        <v>20430</v>
      </c>
      <c r="H5" s="34">
        <v>3500</v>
      </c>
      <c r="I5" s="34"/>
      <c r="J5" s="34">
        <f t="shared" ref="J5:J19" si="0">SUM(C5:I5)</f>
        <v>61430</v>
      </c>
      <c r="K5" s="34">
        <f>45000+16430</f>
        <v>61430</v>
      </c>
      <c r="L5" s="34">
        <f t="shared" ref="L5:L20" si="1">J5-K5</f>
        <v>0</v>
      </c>
      <c r="M5" s="31" t="s">
        <v>201</v>
      </c>
      <c r="N5" s="49"/>
      <c r="O5" s="38"/>
      <c r="P5" s="36"/>
    </row>
    <row r="6" spans="1:16" x14ac:dyDescent="0.25">
      <c r="A6" s="33">
        <v>3</v>
      </c>
      <c r="B6" s="25" t="s">
        <v>25</v>
      </c>
      <c r="C6" s="34"/>
      <c r="D6" s="34">
        <v>36500</v>
      </c>
      <c r="E6" s="34">
        <v>1000</v>
      </c>
      <c r="F6" s="34"/>
      <c r="G6" s="34">
        <v>20430</v>
      </c>
      <c r="H6" s="34">
        <v>3500</v>
      </c>
      <c r="I6" s="34"/>
      <c r="J6" s="34">
        <f t="shared" si="0"/>
        <v>61430</v>
      </c>
      <c r="K6" s="34">
        <v>61430</v>
      </c>
      <c r="L6" s="34">
        <f t="shared" si="1"/>
        <v>0</v>
      </c>
      <c r="M6" s="31">
        <v>43356</v>
      </c>
      <c r="N6" s="37"/>
      <c r="O6" s="38"/>
      <c r="P6" s="36"/>
    </row>
    <row r="7" spans="1:16" x14ac:dyDescent="0.25">
      <c r="A7" s="33">
        <v>4</v>
      </c>
      <c r="B7" s="25" t="s">
        <v>26</v>
      </c>
      <c r="C7" s="34"/>
      <c r="D7" s="34">
        <v>36500</v>
      </c>
      <c r="E7" s="34">
        <v>1000</v>
      </c>
      <c r="F7" s="34">
        <v>8000</v>
      </c>
      <c r="G7" s="34">
        <v>20430</v>
      </c>
      <c r="H7" s="34">
        <v>3500</v>
      </c>
      <c r="I7" s="34"/>
      <c r="J7" s="34">
        <f t="shared" si="0"/>
        <v>69430</v>
      </c>
      <c r="K7" s="34">
        <f>57930+8000+3500</f>
        <v>69430</v>
      </c>
      <c r="L7" s="34">
        <f t="shared" si="1"/>
        <v>0</v>
      </c>
      <c r="M7" s="31" t="s">
        <v>205</v>
      </c>
      <c r="N7" s="37"/>
      <c r="O7" s="38"/>
      <c r="P7" s="38"/>
    </row>
    <row r="8" spans="1:16" ht="15.6" customHeight="1" x14ac:dyDescent="0.25">
      <c r="A8" s="33">
        <v>5</v>
      </c>
      <c r="B8" s="25" t="s">
        <v>27</v>
      </c>
      <c r="C8" s="34"/>
      <c r="D8" s="34">
        <v>36500</v>
      </c>
      <c r="E8" s="34">
        <v>1000</v>
      </c>
      <c r="F8" s="34"/>
      <c r="G8" s="34">
        <v>20430</v>
      </c>
      <c r="H8" s="34">
        <v>3500</v>
      </c>
      <c r="I8" s="34"/>
      <c r="J8" s="34">
        <f t="shared" si="0"/>
        <v>61430</v>
      </c>
      <c r="K8" s="34">
        <f>30000+31430</f>
        <v>61430</v>
      </c>
      <c r="L8" s="34">
        <f t="shared" si="1"/>
        <v>0</v>
      </c>
      <c r="M8" s="31">
        <v>43403</v>
      </c>
      <c r="N8" s="70">
        <v>43403</v>
      </c>
      <c r="O8" s="36"/>
      <c r="P8" s="38"/>
    </row>
    <row r="9" spans="1:16" x14ac:dyDescent="0.25">
      <c r="A9" s="33">
        <v>6</v>
      </c>
      <c r="B9" s="25" t="s">
        <v>28</v>
      </c>
      <c r="C9" s="34"/>
      <c r="D9" s="34">
        <v>36500</v>
      </c>
      <c r="E9" s="34">
        <v>1000</v>
      </c>
      <c r="F9" s="34"/>
      <c r="G9" s="34">
        <v>20430</v>
      </c>
      <c r="H9" s="34">
        <v>3500</v>
      </c>
      <c r="I9" s="34"/>
      <c r="J9" s="34">
        <f t="shared" si="0"/>
        <v>61430</v>
      </c>
      <c r="K9" s="34">
        <f>20430+21000+20000</f>
        <v>61430</v>
      </c>
      <c r="L9" s="34">
        <f t="shared" si="1"/>
        <v>0</v>
      </c>
      <c r="M9" s="31" t="s">
        <v>209</v>
      </c>
      <c r="N9" s="36"/>
      <c r="O9" s="38"/>
      <c r="P9" s="38"/>
    </row>
    <row r="10" spans="1:16" x14ac:dyDescent="0.25">
      <c r="A10" s="33">
        <v>7</v>
      </c>
      <c r="B10" s="25" t="s">
        <v>29</v>
      </c>
      <c r="C10" s="34"/>
      <c r="D10" s="34">
        <v>36500</v>
      </c>
      <c r="E10" s="34">
        <v>1000</v>
      </c>
      <c r="F10" s="34"/>
      <c r="G10" s="34">
        <v>20430</v>
      </c>
      <c r="H10" s="34">
        <v>3500</v>
      </c>
      <c r="I10" s="34"/>
      <c r="J10" s="34">
        <f t="shared" si="0"/>
        <v>61430</v>
      </c>
      <c r="K10" s="34">
        <f>60430+1000</f>
        <v>61430</v>
      </c>
      <c r="L10" s="34">
        <f t="shared" si="1"/>
        <v>0</v>
      </c>
      <c r="M10" s="31">
        <v>43356</v>
      </c>
      <c r="N10" s="36"/>
      <c r="O10" s="36"/>
      <c r="P10" s="36"/>
    </row>
    <row r="11" spans="1:16" x14ac:dyDescent="0.25">
      <c r="A11" s="33">
        <v>8</v>
      </c>
      <c r="B11" s="25" t="s">
        <v>57</v>
      </c>
      <c r="C11" s="34"/>
      <c r="D11" s="34">
        <v>36500</v>
      </c>
      <c r="E11" s="34">
        <v>1000</v>
      </c>
      <c r="F11" s="34"/>
      <c r="G11" s="34">
        <v>20430</v>
      </c>
      <c r="H11" s="34">
        <v>3500</v>
      </c>
      <c r="I11" s="34"/>
      <c r="J11" s="34">
        <f t="shared" si="0"/>
        <v>61430</v>
      </c>
      <c r="K11" s="34">
        <f>20000+41430</f>
        <v>61430</v>
      </c>
      <c r="L11" s="34">
        <f t="shared" si="1"/>
        <v>0</v>
      </c>
      <c r="M11" s="25"/>
      <c r="N11" s="49"/>
      <c r="O11" s="36"/>
      <c r="P11" s="36"/>
    </row>
    <row r="12" spans="1:16" x14ac:dyDescent="0.25">
      <c r="A12" s="33">
        <v>9</v>
      </c>
      <c r="B12" s="25" t="s">
        <v>79</v>
      </c>
      <c r="C12" s="34"/>
      <c r="D12" s="34">
        <v>36500</v>
      </c>
      <c r="E12" s="34">
        <v>1000</v>
      </c>
      <c r="F12" s="34"/>
      <c r="G12" s="34">
        <v>20430</v>
      </c>
      <c r="H12" s="34">
        <v>3500</v>
      </c>
      <c r="I12" s="34">
        <v>7500</v>
      </c>
      <c r="J12" s="34">
        <f t="shared" si="0"/>
        <v>68930</v>
      </c>
      <c r="K12" s="34">
        <f>30000+25000+13000</f>
        <v>68000</v>
      </c>
      <c r="L12" s="34">
        <f>J12-K12</f>
        <v>930</v>
      </c>
      <c r="M12" s="31" t="s">
        <v>216</v>
      </c>
      <c r="N12" s="36"/>
      <c r="O12" s="38"/>
      <c r="P12" s="36"/>
    </row>
    <row r="13" spans="1:16" x14ac:dyDescent="0.25">
      <c r="A13" s="33">
        <v>10</v>
      </c>
      <c r="B13" s="25" t="s">
        <v>85</v>
      </c>
      <c r="C13" s="34"/>
      <c r="D13" s="34">
        <v>36500</v>
      </c>
      <c r="E13" s="34">
        <v>1000</v>
      </c>
      <c r="F13" s="34"/>
      <c r="G13" s="34">
        <v>20430</v>
      </c>
      <c r="H13" s="34">
        <v>3500</v>
      </c>
      <c r="I13" s="34">
        <v>7500</v>
      </c>
      <c r="J13" s="34">
        <f t="shared" si="0"/>
        <v>68930</v>
      </c>
      <c r="K13" s="34">
        <v>68930</v>
      </c>
      <c r="L13" s="34">
        <f t="shared" si="1"/>
        <v>0</v>
      </c>
      <c r="M13" s="50" t="s">
        <v>218</v>
      </c>
      <c r="N13" s="36"/>
      <c r="O13" s="36"/>
      <c r="P13" s="36"/>
    </row>
    <row r="14" spans="1:16" ht="15.6" customHeight="1" x14ac:dyDescent="0.25">
      <c r="A14" s="33">
        <v>11</v>
      </c>
      <c r="B14" s="25" t="s">
        <v>86</v>
      </c>
      <c r="C14" s="34"/>
      <c r="D14" s="34">
        <v>36500</v>
      </c>
      <c r="E14" s="34">
        <v>1000</v>
      </c>
      <c r="F14" s="34"/>
      <c r="G14" s="34">
        <v>20430</v>
      </c>
      <c r="H14" s="34">
        <v>3500</v>
      </c>
      <c r="I14" s="34"/>
      <c r="J14" s="34">
        <f t="shared" si="0"/>
        <v>61430</v>
      </c>
      <c r="K14" s="34">
        <f>20450+20000+20980</f>
        <v>61430</v>
      </c>
      <c r="L14" s="34">
        <f t="shared" si="1"/>
        <v>0</v>
      </c>
      <c r="M14" s="31" t="s">
        <v>227</v>
      </c>
      <c r="N14" s="36"/>
      <c r="O14" s="36"/>
      <c r="P14" s="36"/>
    </row>
    <row r="15" spans="1:16" x14ac:dyDescent="0.25">
      <c r="A15" s="33">
        <v>12</v>
      </c>
      <c r="B15" s="25" t="s">
        <v>88</v>
      </c>
      <c r="C15" s="34"/>
      <c r="D15" s="34">
        <v>36500</v>
      </c>
      <c r="E15" s="34">
        <v>1000</v>
      </c>
      <c r="F15" s="34">
        <v>5000</v>
      </c>
      <c r="G15" s="34">
        <v>20430</v>
      </c>
      <c r="H15" s="34">
        <v>3500</v>
      </c>
      <c r="I15" s="34">
        <v>15000</v>
      </c>
      <c r="J15" s="34">
        <f t="shared" si="0"/>
        <v>81430</v>
      </c>
      <c r="K15" s="34">
        <f>SUM(D15:I15)</f>
        <v>81430</v>
      </c>
      <c r="L15" s="34">
        <f t="shared" si="1"/>
        <v>0</v>
      </c>
      <c r="M15" s="31">
        <v>43355</v>
      </c>
      <c r="N15" s="36"/>
      <c r="O15" s="36"/>
      <c r="P15" s="36"/>
    </row>
    <row r="16" spans="1:16" x14ac:dyDescent="0.25">
      <c r="A16" s="33">
        <v>13</v>
      </c>
      <c r="B16" s="25" t="s">
        <v>93</v>
      </c>
      <c r="C16" s="34"/>
      <c r="D16" s="34">
        <v>36500</v>
      </c>
      <c r="E16" s="34">
        <v>1000</v>
      </c>
      <c r="F16" s="34"/>
      <c r="G16" s="34">
        <v>20430</v>
      </c>
      <c r="H16" s="34">
        <v>3500</v>
      </c>
      <c r="I16" s="34"/>
      <c r="J16" s="34">
        <f t="shared" si="0"/>
        <v>61430</v>
      </c>
      <c r="K16" s="34">
        <f>21430+40000</f>
        <v>61430</v>
      </c>
      <c r="L16" s="34">
        <f t="shared" si="1"/>
        <v>0</v>
      </c>
      <c r="M16" s="31">
        <v>43395</v>
      </c>
      <c r="O16" s="36"/>
      <c r="P16" s="36"/>
    </row>
    <row r="17" spans="1:16" ht="15.6" customHeight="1" x14ac:dyDescent="0.25">
      <c r="A17" s="33">
        <v>14</v>
      </c>
      <c r="B17" s="25" t="s">
        <v>111</v>
      </c>
      <c r="C17" s="34"/>
      <c r="D17" s="34">
        <v>36500</v>
      </c>
      <c r="E17" s="34">
        <v>1000</v>
      </c>
      <c r="F17" s="34"/>
      <c r="G17" s="34">
        <v>20430</v>
      </c>
      <c r="H17" s="34">
        <v>3500</v>
      </c>
      <c r="I17" s="34"/>
      <c r="J17" s="34">
        <f t="shared" si="0"/>
        <v>61430</v>
      </c>
      <c r="K17" s="34">
        <v>61430</v>
      </c>
      <c r="L17" s="34">
        <f t="shared" si="1"/>
        <v>0</v>
      </c>
      <c r="M17" s="31">
        <v>43353</v>
      </c>
      <c r="N17" s="36"/>
      <c r="O17" s="36"/>
      <c r="P17" s="36"/>
    </row>
    <row r="18" spans="1:16" x14ac:dyDescent="0.25">
      <c r="A18" s="33">
        <v>15</v>
      </c>
      <c r="B18" s="25" t="s">
        <v>120</v>
      </c>
      <c r="C18" s="34"/>
      <c r="D18" s="34">
        <v>36500</v>
      </c>
      <c r="E18" s="34">
        <v>1000</v>
      </c>
      <c r="F18" s="34"/>
      <c r="G18" s="34">
        <v>20430</v>
      </c>
      <c r="H18" s="34">
        <v>3500</v>
      </c>
      <c r="I18" s="34">
        <v>15000</v>
      </c>
      <c r="J18" s="34">
        <f t="shared" si="0"/>
        <v>76430</v>
      </c>
      <c r="K18" s="34">
        <v>76430</v>
      </c>
      <c r="L18" s="34">
        <f t="shared" si="1"/>
        <v>0</v>
      </c>
      <c r="M18" s="31">
        <v>43367</v>
      </c>
      <c r="N18" s="36"/>
      <c r="O18" s="36"/>
      <c r="P18" s="70">
        <v>43382</v>
      </c>
    </row>
    <row r="19" spans="1:16" x14ac:dyDescent="0.25">
      <c r="A19" s="33">
        <v>16</v>
      </c>
      <c r="B19" s="25" t="s">
        <v>138</v>
      </c>
      <c r="C19" s="34"/>
      <c r="D19" s="34">
        <v>36500</v>
      </c>
      <c r="E19" s="34">
        <v>1000</v>
      </c>
      <c r="F19" s="34"/>
      <c r="G19" s="34">
        <v>20430</v>
      </c>
      <c r="H19" s="34">
        <v>3500</v>
      </c>
      <c r="I19" s="34"/>
      <c r="J19" s="34">
        <f t="shared" si="0"/>
        <v>61430</v>
      </c>
      <c r="K19" s="34">
        <f>20430+41000</f>
        <v>61430</v>
      </c>
      <c r="L19" s="34">
        <f t="shared" si="1"/>
        <v>0</v>
      </c>
      <c r="M19" s="31">
        <v>43361</v>
      </c>
      <c r="N19" s="36"/>
      <c r="O19" s="36"/>
    </row>
    <row r="20" spans="1:16" x14ac:dyDescent="0.25">
      <c r="A20" s="33">
        <v>17</v>
      </c>
      <c r="B20" s="25"/>
      <c r="C20" s="34">
        <f t="shared" ref="C20:K20" si="2">SUM(C4:C19)</f>
        <v>0</v>
      </c>
      <c r="D20" s="34">
        <f t="shared" si="2"/>
        <v>584000</v>
      </c>
      <c r="E20" s="34">
        <f t="shared" si="2"/>
        <v>16000</v>
      </c>
      <c r="F20" s="34">
        <f t="shared" si="2"/>
        <v>21000</v>
      </c>
      <c r="G20" s="34">
        <f t="shared" si="2"/>
        <v>326880</v>
      </c>
      <c r="H20" s="34">
        <f t="shared" si="2"/>
        <v>56000</v>
      </c>
      <c r="I20" s="34">
        <f t="shared" si="2"/>
        <v>45000</v>
      </c>
      <c r="J20" s="34">
        <f t="shared" si="2"/>
        <v>1048880</v>
      </c>
      <c r="K20" s="34">
        <f t="shared" si="2"/>
        <v>1047950</v>
      </c>
      <c r="L20" s="34">
        <f t="shared" si="1"/>
        <v>930</v>
      </c>
      <c r="M20" s="31" t="s">
        <v>220</v>
      </c>
      <c r="N20" s="36"/>
      <c r="O20" s="36"/>
    </row>
    <row r="21" spans="1:16" x14ac:dyDescent="0.25">
      <c r="M21" s="25"/>
      <c r="N21" s="36"/>
      <c r="O21" s="36"/>
    </row>
    <row r="22" spans="1:16" x14ac:dyDescent="0.25">
      <c r="M22" s="36"/>
      <c r="N22" s="36"/>
    </row>
    <row r="23" spans="1:16" x14ac:dyDescent="0.25">
      <c r="O23" s="36"/>
    </row>
    <row r="24" spans="1:16" x14ac:dyDescent="0.25">
      <c r="N24" s="36"/>
      <c r="O24" s="36"/>
    </row>
    <row r="25" spans="1:16" x14ac:dyDescent="0.25">
      <c r="O25" s="36"/>
    </row>
    <row r="26" spans="1:16" x14ac:dyDescent="0.25">
      <c r="O26" s="36"/>
    </row>
    <row r="41" spans="18:18" x14ac:dyDescent="0.25">
      <c r="R41" s="36"/>
    </row>
  </sheetData>
  <mergeCells count="1">
    <mergeCell ref="D2:J2"/>
  </mergeCells>
  <pageMargins left="0.7" right="0.7" top="0.75" bottom="0.75" header="0.3" footer="0.3"/>
  <pageSetup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topLeftCell="A3" zoomScale="80" zoomScaleNormal="80" workbookViewId="0">
      <selection activeCell="M29" sqref="M29"/>
    </sheetView>
  </sheetViews>
  <sheetFormatPr defaultColWidth="8.85546875" defaultRowHeight="15.75" x14ac:dyDescent="0.25"/>
  <cols>
    <col min="1" max="1" width="5.42578125" style="32" bestFit="1" customWidth="1"/>
    <col min="2" max="2" width="28.85546875" style="32" customWidth="1"/>
    <col min="3" max="3" width="14.42578125" style="32" bestFit="1" customWidth="1"/>
    <col min="4" max="4" width="11.85546875" style="32" bestFit="1" customWidth="1"/>
    <col min="5" max="5" width="10.7109375" style="32" customWidth="1"/>
    <col min="6" max="6" width="12.140625" style="32" customWidth="1"/>
    <col min="7" max="8" width="11.140625" style="32" customWidth="1"/>
    <col min="9" max="9" width="11.28515625" style="32" bestFit="1" customWidth="1"/>
    <col min="10" max="10" width="13.42578125" style="32" customWidth="1"/>
    <col min="11" max="12" width="13.28515625" style="32" customWidth="1"/>
    <col min="13" max="13" width="27.42578125" style="32" customWidth="1"/>
    <col min="14" max="14" width="16.85546875" style="32" customWidth="1"/>
    <col min="15" max="16384" width="8.85546875" style="32"/>
  </cols>
  <sheetData>
    <row r="1" spans="1:15" x14ac:dyDescent="0.25">
      <c r="A1" s="26" t="s">
        <v>117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x14ac:dyDescent="0.25">
      <c r="A2" s="25"/>
      <c r="B2" s="25"/>
      <c r="C2" s="72" t="s">
        <v>10</v>
      </c>
      <c r="D2" s="72"/>
      <c r="E2" s="72"/>
      <c r="F2" s="72"/>
      <c r="G2" s="72"/>
      <c r="H2" s="72"/>
      <c r="I2" s="72"/>
      <c r="J2" s="72"/>
      <c r="K2" s="25"/>
      <c r="L2" s="25"/>
    </row>
    <row r="3" spans="1:15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141</v>
      </c>
    </row>
    <row r="4" spans="1:15" x14ac:dyDescent="0.25">
      <c r="A4" s="33">
        <v>1</v>
      </c>
      <c r="B4" s="25" t="s">
        <v>34</v>
      </c>
      <c r="C4" s="34"/>
      <c r="D4" s="34">
        <v>38500</v>
      </c>
      <c r="E4" s="34">
        <v>1000</v>
      </c>
      <c r="F4" s="34">
        <v>17500</v>
      </c>
      <c r="G4" s="34">
        <v>29240</v>
      </c>
      <c r="H4" s="34">
        <v>3500</v>
      </c>
      <c r="I4" s="34"/>
      <c r="J4" s="34">
        <f t="shared" ref="J4:J21" si="0">SUM(C4:I4)</f>
        <v>89740</v>
      </c>
      <c r="K4" s="34"/>
      <c r="L4" s="34">
        <f t="shared" ref="L4:L20" si="1">J4-K4</f>
        <v>89740</v>
      </c>
      <c r="M4" s="31"/>
    </row>
    <row r="5" spans="1:15" ht="15.6" customHeight="1" x14ac:dyDescent="0.25">
      <c r="A5" s="33">
        <v>2</v>
      </c>
      <c r="B5" s="25" t="s">
        <v>80</v>
      </c>
      <c r="C5" s="34"/>
      <c r="D5" s="34">
        <v>38500</v>
      </c>
      <c r="E5" s="34">
        <v>1000</v>
      </c>
      <c r="F5" s="34">
        <v>17500</v>
      </c>
      <c r="G5" s="34">
        <v>29240</v>
      </c>
      <c r="H5" s="34">
        <v>3500</v>
      </c>
      <c r="I5" s="34"/>
      <c r="J5" s="34">
        <f t="shared" si="0"/>
        <v>89740</v>
      </c>
      <c r="K5" s="34">
        <f>45000+44740</f>
        <v>89740</v>
      </c>
      <c r="L5" s="34">
        <f t="shared" si="1"/>
        <v>0</v>
      </c>
      <c r="M5" s="31" t="s">
        <v>222</v>
      </c>
    </row>
    <row r="6" spans="1:15" x14ac:dyDescent="0.25">
      <c r="A6" s="33">
        <v>3</v>
      </c>
      <c r="B6" s="25" t="s">
        <v>35</v>
      </c>
      <c r="C6" s="34"/>
      <c r="D6" s="34">
        <v>38500</v>
      </c>
      <c r="E6" s="34">
        <v>1000</v>
      </c>
      <c r="F6" s="34">
        <v>17500</v>
      </c>
      <c r="G6" s="34">
        <v>29240</v>
      </c>
      <c r="H6" s="34">
        <v>3500</v>
      </c>
      <c r="I6" s="34"/>
      <c r="J6" s="34">
        <f t="shared" si="0"/>
        <v>89740</v>
      </c>
      <c r="K6" s="34">
        <f>50000+20000+19740</f>
        <v>89740</v>
      </c>
      <c r="L6" s="34">
        <f t="shared" si="1"/>
        <v>0</v>
      </c>
      <c r="M6" s="31" t="s">
        <v>236</v>
      </c>
    </row>
    <row r="7" spans="1:15" x14ac:dyDescent="0.25">
      <c r="A7" s="33">
        <v>4</v>
      </c>
      <c r="B7" s="25" t="s">
        <v>87</v>
      </c>
      <c r="C7" s="34"/>
      <c r="D7" s="34">
        <v>38500</v>
      </c>
      <c r="E7" s="34">
        <v>1000</v>
      </c>
      <c r="F7" s="34">
        <v>17500</v>
      </c>
      <c r="G7" s="34">
        <v>29240</v>
      </c>
      <c r="H7" s="34">
        <v>3500</v>
      </c>
      <c r="I7" s="34"/>
      <c r="J7" s="34">
        <f t="shared" si="0"/>
        <v>89740</v>
      </c>
      <c r="K7" s="34">
        <v>87640</v>
      </c>
      <c r="L7" s="34">
        <f t="shared" si="1"/>
        <v>2100</v>
      </c>
      <c r="M7" s="31"/>
    </row>
    <row r="8" spans="1:15" x14ac:dyDescent="0.25">
      <c r="A8" s="25">
        <v>5</v>
      </c>
      <c r="B8" s="25" t="s">
        <v>105</v>
      </c>
      <c r="C8" s="34"/>
      <c r="D8" s="34">
        <v>38500</v>
      </c>
      <c r="E8" s="34">
        <v>1000</v>
      </c>
      <c r="F8" s="34">
        <v>17500</v>
      </c>
      <c r="G8" s="34">
        <v>29240</v>
      </c>
      <c r="H8" s="34">
        <v>3500</v>
      </c>
      <c r="I8" s="34"/>
      <c r="J8" s="34">
        <f t="shared" si="0"/>
        <v>89740</v>
      </c>
      <c r="K8" s="34">
        <f>86640+3100</f>
        <v>89740</v>
      </c>
      <c r="L8" s="34">
        <f t="shared" si="1"/>
        <v>0</v>
      </c>
      <c r="M8" s="31"/>
    </row>
    <row r="9" spans="1:15" x14ac:dyDescent="0.25">
      <c r="A9" s="33">
        <v>6</v>
      </c>
      <c r="B9" s="25" t="s">
        <v>106</v>
      </c>
      <c r="C9" s="34"/>
      <c r="D9" s="34">
        <v>38500</v>
      </c>
      <c r="E9" s="34">
        <v>1000</v>
      </c>
      <c r="F9" s="34">
        <v>17500</v>
      </c>
      <c r="G9" s="34">
        <v>29240</v>
      </c>
      <c r="H9" s="34">
        <v>3500</v>
      </c>
      <c r="I9" s="34"/>
      <c r="J9" s="34">
        <f t="shared" si="0"/>
        <v>89740</v>
      </c>
      <c r="K9" s="34">
        <f>86640+2100+1000</f>
        <v>89740</v>
      </c>
      <c r="L9" s="34">
        <f t="shared" si="1"/>
        <v>0</v>
      </c>
      <c r="M9" s="31"/>
    </row>
    <row r="10" spans="1:15" x14ac:dyDescent="0.25">
      <c r="A10" s="33">
        <v>7</v>
      </c>
      <c r="B10" s="25" t="s">
        <v>119</v>
      </c>
      <c r="C10" s="34"/>
      <c r="D10" s="34">
        <v>38500</v>
      </c>
      <c r="E10" s="34">
        <v>1000</v>
      </c>
      <c r="F10" s="34">
        <v>17500</v>
      </c>
      <c r="G10" s="34">
        <v>29240</v>
      </c>
      <c r="H10" s="34">
        <v>3500</v>
      </c>
      <c r="I10" s="34"/>
      <c r="J10" s="34">
        <f t="shared" si="0"/>
        <v>89740</v>
      </c>
      <c r="K10" s="34">
        <v>88740</v>
      </c>
      <c r="L10" s="34">
        <f t="shared" si="1"/>
        <v>1000</v>
      </c>
      <c r="M10" s="31">
        <v>43341</v>
      </c>
    </row>
    <row r="11" spans="1:15" x14ac:dyDescent="0.25">
      <c r="A11" s="33">
        <v>8</v>
      </c>
      <c r="B11" s="25" t="s">
        <v>166</v>
      </c>
      <c r="C11" s="34"/>
      <c r="D11" s="34">
        <v>38500</v>
      </c>
      <c r="E11" s="34">
        <v>1000</v>
      </c>
      <c r="F11" s="34">
        <v>17500</v>
      </c>
      <c r="G11" s="34">
        <v>29240</v>
      </c>
      <c r="H11" s="34">
        <v>3500</v>
      </c>
      <c r="I11" s="34"/>
      <c r="J11" s="34">
        <f t="shared" si="0"/>
        <v>89740</v>
      </c>
      <c r="K11" s="34">
        <f>44740+30000+15000</f>
        <v>89740</v>
      </c>
      <c r="L11" s="34">
        <f>J11-K11</f>
        <v>0</v>
      </c>
      <c r="M11" s="31"/>
    </row>
    <row r="12" spans="1:15" x14ac:dyDescent="0.25">
      <c r="A12" s="33">
        <v>9</v>
      </c>
      <c r="B12" s="25" t="s">
        <v>167</v>
      </c>
      <c r="C12" s="34"/>
      <c r="D12" s="34">
        <v>38500</v>
      </c>
      <c r="E12" s="34">
        <v>1000</v>
      </c>
      <c r="F12" s="34">
        <v>17500</v>
      </c>
      <c r="G12" s="34">
        <v>29240</v>
      </c>
      <c r="H12" s="34">
        <v>3500</v>
      </c>
      <c r="I12" s="34"/>
      <c r="J12" s="34">
        <f t="shared" si="0"/>
        <v>89740</v>
      </c>
      <c r="K12" s="34">
        <f>49240+38500</f>
        <v>87740</v>
      </c>
      <c r="L12" s="34">
        <f>J12-K12</f>
        <v>2000</v>
      </c>
      <c r="M12" s="31">
        <v>43332</v>
      </c>
    </row>
    <row r="13" spans="1:15" x14ac:dyDescent="0.25">
      <c r="A13" s="25">
        <v>10</v>
      </c>
      <c r="B13" s="25" t="s">
        <v>168</v>
      </c>
      <c r="C13" s="34"/>
      <c r="D13" s="34">
        <v>38500</v>
      </c>
      <c r="E13" s="34">
        <v>1000</v>
      </c>
      <c r="F13" s="34">
        <v>17500</v>
      </c>
      <c r="G13" s="34">
        <v>29240</v>
      </c>
      <c r="H13" s="34">
        <v>3500</v>
      </c>
      <c r="I13" s="34"/>
      <c r="J13" s="34">
        <f t="shared" si="0"/>
        <v>89740</v>
      </c>
      <c r="K13" s="34">
        <f>50000+20000</f>
        <v>70000</v>
      </c>
      <c r="L13" s="34">
        <f t="shared" si="1"/>
        <v>19740</v>
      </c>
      <c r="M13" s="31">
        <v>43332</v>
      </c>
      <c r="N13" s="32">
        <v>40000</v>
      </c>
    </row>
    <row r="14" spans="1:15" x14ac:dyDescent="0.25">
      <c r="A14" s="33">
        <v>11</v>
      </c>
      <c r="B14" s="25" t="s">
        <v>169</v>
      </c>
      <c r="C14" s="34"/>
      <c r="D14" s="34">
        <v>38500</v>
      </c>
      <c r="E14" s="34">
        <v>1000</v>
      </c>
      <c r="F14" s="34">
        <v>17500</v>
      </c>
      <c r="G14" s="34">
        <v>29240</v>
      </c>
      <c r="H14" s="34">
        <v>3500</v>
      </c>
      <c r="I14" s="34"/>
      <c r="J14" s="34">
        <f t="shared" si="0"/>
        <v>89740</v>
      </c>
      <c r="K14" s="34">
        <v>88740</v>
      </c>
      <c r="L14" s="34">
        <f t="shared" si="1"/>
        <v>1000</v>
      </c>
      <c r="M14" s="31">
        <v>43338</v>
      </c>
    </row>
    <row r="15" spans="1:15" x14ac:dyDescent="0.25">
      <c r="A15" s="33">
        <v>12</v>
      </c>
      <c r="B15" s="25" t="s">
        <v>170</v>
      </c>
      <c r="C15" s="34"/>
      <c r="D15" s="34">
        <v>38500</v>
      </c>
      <c r="E15" s="34">
        <v>1000</v>
      </c>
      <c r="F15" s="34">
        <v>17500</v>
      </c>
      <c r="G15" s="34">
        <v>29240</v>
      </c>
      <c r="H15" s="34">
        <v>3500</v>
      </c>
      <c r="I15" s="34"/>
      <c r="J15" s="34">
        <f t="shared" si="0"/>
        <v>89740</v>
      </c>
      <c r="K15" s="34">
        <v>88740</v>
      </c>
      <c r="L15" s="34">
        <f t="shared" si="1"/>
        <v>1000</v>
      </c>
      <c r="M15" s="31" t="s">
        <v>202</v>
      </c>
    </row>
    <row r="16" spans="1:15" ht="15.6" customHeight="1" x14ac:dyDescent="0.25">
      <c r="A16" s="33">
        <v>13</v>
      </c>
      <c r="B16" s="25" t="s">
        <v>171</v>
      </c>
      <c r="C16" s="34"/>
      <c r="D16" s="34">
        <v>38500</v>
      </c>
      <c r="E16" s="34">
        <v>1000</v>
      </c>
      <c r="F16" s="34">
        <v>17500</v>
      </c>
      <c r="G16" s="34">
        <v>29240</v>
      </c>
      <c r="H16" s="34">
        <v>3500</v>
      </c>
      <c r="I16" s="34"/>
      <c r="J16" s="34">
        <f t="shared" si="0"/>
        <v>89740</v>
      </c>
      <c r="K16" s="34">
        <f>50000+30000+9000</f>
        <v>89000</v>
      </c>
      <c r="L16" s="34">
        <f t="shared" si="1"/>
        <v>740</v>
      </c>
      <c r="M16" s="31" t="s">
        <v>217</v>
      </c>
    </row>
    <row r="17" spans="1:14" x14ac:dyDescent="0.25">
      <c r="A17" s="33">
        <v>14</v>
      </c>
      <c r="B17" s="25" t="s">
        <v>172</v>
      </c>
      <c r="C17" s="34"/>
      <c r="D17" s="34">
        <v>38500</v>
      </c>
      <c r="E17" s="34">
        <v>1000</v>
      </c>
      <c r="F17" s="34">
        <v>17500</v>
      </c>
      <c r="G17" s="34">
        <v>29240</v>
      </c>
      <c r="H17" s="34">
        <v>3500</v>
      </c>
      <c r="I17" s="34"/>
      <c r="J17" s="34">
        <f t="shared" si="0"/>
        <v>89740</v>
      </c>
      <c r="K17" s="34">
        <f>88740+1000</f>
        <v>89740</v>
      </c>
      <c r="L17" s="34">
        <f t="shared" si="1"/>
        <v>0</v>
      </c>
      <c r="M17" s="31">
        <v>43330</v>
      </c>
    </row>
    <row r="18" spans="1:14" x14ac:dyDescent="0.25">
      <c r="A18" s="25">
        <v>15</v>
      </c>
      <c r="B18" s="25" t="s">
        <v>192</v>
      </c>
      <c r="C18" s="34"/>
      <c r="D18" s="34">
        <v>38500</v>
      </c>
      <c r="E18" s="34">
        <v>1000</v>
      </c>
      <c r="F18" s="34">
        <v>17500</v>
      </c>
      <c r="G18" s="34">
        <v>29240</v>
      </c>
      <c r="H18" s="34">
        <v>3500</v>
      </c>
      <c r="I18" s="34"/>
      <c r="J18" s="34">
        <f t="shared" si="0"/>
        <v>89740</v>
      </c>
      <c r="K18" s="34">
        <f>30000+30000</f>
        <v>60000</v>
      </c>
      <c r="L18" s="34">
        <f>J18-K18</f>
        <v>29740</v>
      </c>
      <c r="M18" s="31" t="s">
        <v>237</v>
      </c>
    </row>
    <row r="19" spans="1:14" ht="15.6" customHeight="1" x14ac:dyDescent="0.25">
      <c r="A19" s="33">
        <v>16</v>
      </c>
      <c r="B19" s="32" t="s">
        <v>206</v>
      </c>
      <c r="D19" s="34">
        <v>38500</v>
      </c>
      <c r="E19" s="34">
        <v>1000</v>
      </c>
      <c r="F19" s="34">
        <v>17500</v>
      </c>
      <c r="G19" s="34">
        <v>29240</v>
      </c>
      <c r="H19" s="34">
        <v>3500</v>
      </c>
      <c r="I19" s="34"/>
      <c r="J19" s="34">
        <f t="shared" si="0"/>
        <v>89740</v>
      </c>
      <c r="K19" s="34">
        <f>50000+39740</f>
        <v>89740</v>
      </c>
      <c r="L19" s="34">
        <f t="shared" si="1"/>
        <v>0</v>
      </c>
      <c r="M19" s="31" t="s">
        <v>196</v>
      </c>
    </row>
    <row r="20" spans="1:14" x14ac:dyDescent="0.25">
      <c r="A20" s="33">
        <v>17</v>
      </c>
      <c r="B20" s="68" t="s">
        <v>198</v>
      </c>
      <c r="C20" s="34"/>
      <c r="D20" s="34">
        <v>38500</v>
      </c>
      <c r="E20" s="34">
        <v>1000</v>
      </c>
      <c r="F20" s="34">
        <v>17500</v>
      </c>
      <c r="G20" s="34">
        <v>29240</v>
      </c>
      <c r="H20" s="34">
        <v>3500</v>
      </c>
      <c r="I20" s="34"/>
      <c r="J20" s="34">
        <f t="shared" si="0"/>
        <v>89740</v>
      </c>
      <c r="K20" s="69">
        <f>50000+25000+14740</f>
        <v>89740</v>
      </c>
      <c r="L20" s="34">
        <f t="shared" si="1"/>
        <v>0</v>
      </c>
      <c r="M20" s="31">
        <v>43360</v>
      </c>
      <c r="N20" s="65">
        <v>43389</v>
      </c>
    </row>
    <row r="21" spans="1:14" x14ac:dyDescent="0.25">
      <c r="A21" s="33">
        <v>18</v>
      </c>
      <c r="B21" s="68"/>
      <c r="C21" s="34"/>
      <c r="D21" s="34">
        <f t="shared" ref="D21:I21" si="2">SUM(D4:D18)</f>
        <v>577500</v>
      </c>
      <c r="E21" s="34">
        <f t="shared" si="2"/>
        <v>15000</v>
      </c>
      <c r="F21" s="34">
        <f t="shared" si="2"/>
        <v>262500</v>
      </c>
      <c r="G21" s="34">
        <f t="shared" si="2"/>
        <v>438600</v>
      </c>
      <c r="H21" s="34">
        <f t="shared" si="2"/>
        <v>52500</v>
      </c>
      <c r="I21" s="34">
        <f t="shared" si="2"/>
        <v>0</v>
      </c>
      <c r="J21" s="34">
        <f t="shared" si="0"/>
        <v>1346100</v>
      </c>
      <c r="K21" s="34">
        <f>SUM(K4:K20)</f>
        <v>1378520</v>
      </c>
      <c r="L21" s="34">
        <f>SUM(L4:L20)</f>
        <v>147060</v>
      </c>
      <c r="M21" s="31">
        <v>43361</v>
      </c>
    </row>
    <row r="22" spans="1:14" x14ac:dyDescent="0.25">
      <c r="A22" s="33">
        <v>19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31">
        <v>43367</v>
      </c>
    </row>
    <row r="23" spans="1:14" x14ac:dyDescent="0.25">
      <c r="A23" s="25">
        <v>20</v>
      </c>
      <c r="M23" s="65">
        <v>43378</v>
      </c>
    </row>
    <row r="24" spans="1:14" x14ac:dyDescent="0.25">
      <c r="A24" s="33">
        <v>21</v>
      </c>
      <c r="M24" s="31" t="s">
        <v>199</v>
      </c>
    </row>
    <row r="25" spans="1:14" x14ac:dyDescent="0.25">
      <c r="A25" s="25">
        <v>22</v>
      </c>
    </row>
    <row r="26" spans="1:14" x14ac:dyDescent="0.25">
      <c r="A26" s="25">
        <v>23</v>
      </c>
      <c r="B26" s="34"/>
    </row>
    <row r="27" spans="1:14" x14ac:dyDescent="0.25">
      <c r="A27" s="25"/>
    </row>
    <row r="29" spans="1:14" x14ac:dyDescent="0.25">
      <c r="B29"/>
    </row>
    <row r="30" spans="1:14" x14ac:dyDescent="0.25">
      <c r="D30"/>
    </row>
    <row r="31" spans="1:14" x14ac:dyDescent="0.25">
      <c r="A31" s="34"/>
    </row>
  </sheetData>
  <mergeCells count="1">
    <mergeCell ref="C2:J2"/>
  </mergeCells>
  <pageMargins left="0.7" right="0.7" top="0.75" bottom="0.75" header="0.3" footer="0.3"/>
  <pageSetup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4"/>
  <sheetViews>
    <sheetView zoomScale="80" zoomScaleNormal="80" workbookViewId="0">
      <selection activeCell="H20" sqref="H20"/>
    </sheetView>
  </sheetViews>
  <sheetFormatPr defaultRowHeight="15" x14ac:dyDescent="0.25"/>
  <cols>
    <col min="1" max="1" width="4.85546875" customWidth="1"/>
    <col min="2" max="2" width="32.28515625" bestFit="1" customWidth="1"/>
    <col min="3" max="3" width="19.140625" customWidth="1"/>
    <col min="4" max="4" width="11.7109375" bestFit="1" customWidth="1"/>
    <col min="5" max="5" width="10.42578125" customWidth="1"/>
    <col min="6" max="6" width="10.28515625" bestFit="1" customWidth="1"/>
    <col min="7" max="7" width="12.140625" customWidth="1"/>
    <col min="8" max="8" width="11" customWidth="1"/>
    <col min="9" max="9" width="11.28515625" bestFit="1" customWidth="1"/>
    <col min="10" max="10" width="13.28515625" customWidth="1"/>
    <col min="11" max="11" width="13" customWidth="1"/>
    <col min="12" max="12" width="12.5703125" bestFit="1" customWidth="1"/>
    <col min="13" max="13" width="26.42578125" customWidth="1"/>
    <col min="14" max="14" width="16.140625" customWidth="1"/>
  </cols>
  <sheetData>
    <row r="1" spans="1:14" ht="15.75" x14ac:dyDescent="0.25">
      <c r="A1" s="26" t="s">
        <v>173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4" ht="15.75" x14ac:dyDescent="0.25">
      <c r="A2" s="26"/>
      <c r="B2" s="26"/>
      <c r="C2" s="26" t="s">
        <v>10</v>
      </c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4" ht="15.75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6" t="s">
        <v>30</v>
      </c>
      <c r="M3" s="26" t="s">
        <v>141</v>
      </c>
    </row>
    <row r="4" spans="1:14" ht="15.75" x14ac:dyDescent="0.25">
      <c r="A4" s="25">
        <v>1</v>
      </c>
      <c r="B4" s="25" t="s">
        <v>174</v>
      </c>
      <c r="C4" s="34"/>
      <c r="D4" s="34">
        <v>38500</v>
      </c>
      <c r="E4" s="34">
        <v>1000</v>
      </c>
      <c r="F4" s="34"/>
      <c r="G4" s="34">
        <v>28140</v>
      </c>
      <c r="H4" s="34">
        <v>3500</v>
      </c>
      <c r="I4" s="34"/>
      <c r="J4" s="34">
        <f>SUM(C4:I4)</f>
        <v>71140</v>
      </c>
      <c r="K4" s="34">
        <f>40000+31140</f>
        <v>71140</v>
      </c>
      <c r="L4" s="34">
        <f t="shared" ref="L4:L18" si="0">J4-K4</f>
        <v>0</v>
      </c>
      <c r="M4" s="31">
        <v>43413</v>
      </c>
    </row>
    <row r="5" spans="1:14" ht="15.75" x14ac:dyDescent="0.25">
      <c r="A5" s="25">
        <v>2</v>
      </c>
      <c r="B5" s="25" t="s">
        <v>175</v>
      </c>
      <c r="C5" s="34"/>
      <c r="D5" s="34">
        <v>38500</v>
      </c>
      <c r="E5" s="34">
        <v>1000</v>
      </c>
      <c r="F5" s="34"/>
      <c r="G5" s="34">
        <v>28140</v>
      </c>
      <c r="H5" s="34">
        <v>3500</v>
      </c>
      <c r="I5" s="34"/>
      <c r="J5" s="34">
        <f>SUM(C5:I5)</f>
        <v>71140</v>
      </c>
      <c r="K5" s="34">
        <f>35000+36140</f>
        <v>71140</v>
      </c>
      <c r="L5" s="34">
        <f t="shared" si="0"/>
        <v>0</v>
      </c>
      <c r="M5" s="31">
        <v>43382</v>
      </c>
    </row>
    <row r="6" spans="1:14" ht="15.75" x14ac:dyDescent="0.25">
      <c r="A6" s="25">
        <v>3</v>
      </c>
      <c r="B6" s="25" t="s">
        <v>176</v>
      </c>
      <c r="C6" s="34"/>
      <c r="D6" s="34">
        <v>38500</v>
      </c>
      <c r="E6" s="34">
        <v>1000</v>
      </c>
      <c r="F6" s="34"/>
      <c r="G6" s="34">
        <v>28140</v>
      </c>
      <c r="H6" s="34">
        <v>3500</v>
      </c>
      <c r="I6" s="34">
        <v>7500</v>
      </c>
      <c r="J6" s="34">
        <f>SUM(C6:I6)</f>
        <v>78640</v>
      </c>
      <c r="K6" s="34">
        <f>52140+26500</f>
        <v>78640</v>
      </c>
      <c r="L6" s="34">
        <f t="shared" si="0"/>
        <v>0</v>
      </c>
      <c r="M6" s="31" t="s">
        <v>200</v>
      </c>
    </row>
    <row r="7" spans="1:14" ht="15.75" x14ac:dyDescent="0.25">
      <c r="A7" s="25">
        <v>4</v>
      </c>
      <c r="B7" s="25" t="s">
        <v>177</v>
      </c>
      <c r="C7" s="34"/>
      <c r="D7" s="34">
        <v>38500</v>
      </c>
      <c r="E7" s="34">
        <v>1000</v>
      </c>
      <c r="F7" s="34"/>
      <c r="G7" s="34">
        <v>28140</v>
      </c>
      <c r="H7" s="34">
        <v>3500</v>
      </c>
      <c r="I7" s="34"/>
      <c r="J7" s="34">
        <f>SUM(C7:I7)</f>
        <v>71140</v>
      </c>
      <c r="K7" s="34">
        <f>30000+41140</f>
        <v>71140</v>
      </c>
      <c r="L7" s="34">
        <f t="shared" si="0"/>
        <v>0</v>
      </c>
      <c r="M7" s="31">
        <v>43338</v>
      </c>
      <c r="N7" s="66">
        <v>43403</v>
      </c>
    </row>
    <row r="8" spans="1:14" ht="15.75" x14ac:dyDescent="0.25">
      <c r="A8" s="25">
        <v>5</v>
      </c>
      <c r="B8" s="25" t="s">
        <v>178</v>
      </c>
      <c r="C8" s="34"/>
      <c r="D8" s="34">
        <v>38500</v>
      </c>
      <c r="E8" s="34">
        <v>1000</v>
      </c>
      <c r="F8" s="34"/>
      <c r="G8" s="34">
        <v>28140</v>
      </c>
      <c r="H8" s="34">
        <v>3500</v>
      </c>
      <c r="I8" s="34"/>
      <c r="J8" s="34">
        <f>SUM(C8:I8)</f>
        <v>71140</v>
      </c>
      <c r="K8" s="34">
        <f>SUM(D8:H8)</f>
        <v>71140</v>
      </c>
      <c r="L8" s="34">
        <f t="shared" si="0"/>
        <v>0</v>
      </c>
      <c r="M8" s="31">
        <v>43338</v>
      </c>
    </row>
    <row r="9" spans="1:14" ht="15.75" x14ac:dyDescent="0.25">
      <c r="A9" s="25">
        <v>6</v>
      </c>
      <c r="B9" s="25" t="s">
        <v>179</v>
      </c>
      <c r="C9" s="34"/>
      <c r="D9" s="34">
        <v>38500</v>
      </c>
      <c r="E9" s="34">
        <v>1000</v>
      </c>
      <c r="F9" s="34"/>
      <c r="G9" s="34">
        <v>28140</v>
      </c>
      <c r="H9" s="34">
        <v>3500</v>
      </c>
      <c r="I9" s="34"/>
      <c r="J9" s="34">
        <f t="shared" ref="J9:J18" si="1">SUM(C9:I9)</f>
        <v>71140</v>
      </c>
      <c r="K9" s="34">
        <f>50000+21150</f>
        <v>71150</v>
      </c>
      <c r="L9" s="34">
        <f t="shared" si="0"/>
        <v>-10</v>
      </c>
      <c r="M9" s="66" t="s">
        <v>231</v>
      </c>
    </row>
    <row r="10" spans="1:14" ht="15.75" x14ac:dyDescent="0.25">
      <c r="A10" s="25">
        <v>7</v>
      </c>
      <c r="B10" s="25" t="s">
        <v>180</v>
      </c>
      <c r="C10" s="34"/>
      <c r="D10" s="34">
        <v>38500</v>
      </c>
      <c r="E10" s="34">
        <v>1000</v>
      </c>
      <c r="F10" s="34"/>
      <c r="G10" s="34">
        <v>28140</v>
      </c>
      <c r="H10" s="34">
        <v>3500</v>
      </c>
      <c r="I10" s="34"/>
      <c r="J10" s="34">
        <f t="shared" si="1"/>
        <v>71140</v>
      </c>
      <c r="K10" s="34">
        <f>40000+31140</f>
        <v>71140</v>
      </c>
      <c r="L10" s="34">
        <f t="shared" si="0"/>
        <v>0</v>
      </c>
      <c r="M10" s="25"/>
    </row>
    <row r="11" spans="1:14" ht="15.75" x14ac:dyDescent="0.25">
      <c r="A11" s="25">
        <v>8</v>
      </c>
      <c r="B11" s="25" t="s">
        <v>181</v>
      </c>
      <c r="C11" s="34"/>
      <c r="D11" s="34">
        <v>38500</v>
      </c>
      <c r="E11" s="34">
        <v>1000</v>
      </c>
      <c r="F11" s="34">
        <v>5500</v>
      </c>
      <c r="G11" s="34">
        <v>28140</v>
      </c>
      <c r="H11" s="34">
        <v>3500</v>
      </c>
      <c r="I11" s="34"/>
      <c r="J11" s="34">
        <f t="shared" si="1"/>
        <v>76640</v>
      </c>
      <c r="K11" s="34">
        <f>SUM(D11:H11)</f>
        <v>76640</v>
      </c>
      <c r="L11" s="34">
        <f t="shared" si="0"/>
        <v>0</v>
      </c>
      <c r="M11" s="31" t="s">
        <v>225</v>
      </c>
    </row>
    <row r="12" spans="1:14" ht="15.75" x14ac:dyDescent="0.25">
      <c r="A12" s="25">
        <v>9</v>
      </c>
      <c r="B12" s="25" t="s">
        <v>182</v>
      </c>
      <c r="C12" s="34"/>
      <c r="D12" s="34">
        <v>38500</v>
      </c>
      <c r="E12" s="34">
        <v>1000</v>
      </c>
      <c r="F12" s="34"/>
      <c r="G12" s="34">
        <v>28140</v>
      </c>
      <c r="H12" s="34">
        <v>3500</v>
      </c>
      <c r="I12" s="34"/>
      <c r="J12" s="34">
        <f t="shared" si="1"/>
        <v>71140</v>
      </c>
      <c r="K12" s="34">
        <f>20000+45000+6140</f>
        <v>71140</v>
      </c>
      <c r="L12" s="34">
        <f t="shared" si="0"/>
        <v>0</v>
      </c>
      <c r="M12" s="31">
        <v>43412</v>
      </c>
    </row>
    <row r="13" spans="1:14" ht="15.75" x14ac:dyDescent="0.25">
      <c r="A13" s="25">
        <v>10</v>
      </c>
      <c r="B13" s="25" t="s">
        <v>183</v>
      </c>
      <c r="C13" s="34"/>
      <c r="D13" s="34">
        <v>38500</v>
      </c>
      <c r="E13" s="34">
        <v>1000</v>
      </c>
      <c r="F13" s="34"/>
      <c r="G13" s="34">
        <v>28140</v>
      </c>
      <c r="H13" s="34">
        <v>3500</v>
      </c>
      <c r="I13" s="34"/>
      <c r="J13" s="34">
        <f t="shared" si="1"/>
        <v>71140</v>
      </c>
      <c r="K13" s="34">
        <f>27000+20000+20000+4000</f>
        <v>71000</v>
      </c>
      <c r="L13" s="34">
        <f t="shared" si="0"/>
        <v>140</v>
      </c>
      <c r="M13" s="25"/>
    </row>
    <row r="14" spans="1:14" ht="15.75" x14ac:dyDescent="0.25">
      <c r="A14" s="25">
        <v>11</v>
      </c>
      <c r="B14" s="25" t="s">
        <v>184</v>
      </c>
      <c r="C14" s="34"/>
      <c r="D14" s="34">
        <v>38500</v>
      </c>
      <c r="E14" s="34">
        <v>1000</v>
      </c>
      <c r="F14" s="34"/>
      <c r="G14" s="34">
        <v>28140</v>
      </c>
      <c r="H14" s="34">
        <v>3500</v>
      </c>
      <c r="I14" s="34"/>
      <c r="J14" s="34">
        <f t="shared" si="1"/>
        <v>71140</v>
      </c>
      <c r="K14" s="34">
        <f>45000+26140</f>
        <v>71140</v>
      </c>
      <c r="L14" s="34">
        <f t="shared" si="0"/>
        <v>0</v>
      </c>
      <c r="M14" s="31">
        <v>43378</v>
      </c>
    </row>
    <row r="15" spans="1:14" ht="15.75" x14ac:dyDescent="0.25">
      <c r="A15" s="25">
        <v>12</v>
      </c>
      <c r="B15" s="25" t="s">
        <v>185</v>
      </c>
      <c r="C15" s="34"/>
      <c r="D15" s="34">
        <v>38500</v>
      </c>
      <c r="E15" s="34">
        <v>1000</v>
      </c>
      <c r="F15" s="34"/>
      <c r="G15" s="34">
        <v>28140</v>
      </c>
      <c r="H15" s="34">
        <v>3500</v>
      </c>
      <c r="I15" s="34"/>
      <c r="J15" s="34">
        <f t="shared" si="1"/>
        <v>71140</v>
      </c>
      <c r="K15" s="34">
        <f>20000+20000+31000</f>
        <v>71000</v>
      </c>
      <c r="L15" s="34">
        <f t="shared" si="0"/>
        <v>140</v>
      </c>
      <c r="M15" s="31" t="s">
        <v>223</v>
      </c>
    </row>
    <row r="16" spans="1:14" ht="15.75" x14ac:dyDescent="0.25">
      <c r="A16" s="25">
        <v>13</v>
      </c>
      <c r="B16" s="25" t="s">
        <v>186</v>
      </c>
      <c r="C16" s="34"/>
      <c r="D16" s="34">
        <v>38500</v>
      </c>
      <c r="E16" s="34">
        <v>1000</v>
      </c>
      <c r="F16" s="34"/>
      <c r="G16" s="34">
        <v>28140</v>
      </c>
      <c r="H16" s="34">
        <v>3500</v>
      </c>
      <c r="I16" s="34"/>
      <c r="J16" s="34">
        <f t="shared" si="1"/>
        <v>71140</v>
      </c>
      <c r="K16" s="34">
        <f>15000+15000+10000</f>
        <v>40000</v>
      </c>
      <c r="L16" s="34">
        <f t="shared" si="0"/>
        <v>31140</v>
      </c>
      <c r="M16" s="31">
        <v>43396</v>
      </c>
    </row>
    <row r="17" spans="1:13" ht="15.75" x14ac:dyDescent="0.25">
      <c r="A17" s="25">
        <v>14</v>
      </c>
      <c r="B17" s="25" t="s">
        <v>187</v>
      </c>
      <c r="C17" s="34"/>
      <c r="D17" s="34">
        <v>38500</v>
      </c>
      <c r="E17" s="34">
        <v>1000</v>
      </c>
      <c r="F17" s="34">
        <v>11000</v>
      </c>
      <c r="G17" s="34">
        <v>28140</v>
      </c>
      <c r="H17" s="34">
        <v>3500</v>
      </c>
      <c r="I17" s="34"/>
      <c r="J17" s="34">
        <f>SUM(C17:I17)</f>
        <v>82140</v>
      </c>
      <c r="K17" s="34">
        <f>SUM(D17:H17)</f>
        <v>82140</v>
      </c>
      <c r="L17" s="34">
        <f t="shared" si="0"/>
        <v>0</v>
      </c>
      <c r="M17" s="25"/>
    </row>
    <row r="18" spans="1:13" ht="15.75" x14ac:dyDescent="0.25">
      <c r="A18" s="25">
        <v>15</v>
      </c>
      <c r="B18" s="25" t="s">
        <v>188</v>
      </c>
      <c r="C18" s="34"/>
      <c r="D18" s="34">
        <v>38500</v>
      </c>
      <c r="E18" s="34">
        <v>1000</v>
      </c>
      <c r="F18" s="34">
        <v>5500</v>
      </c>
      <c r="G18" s="34">
        <v>28140</v>
      </c>
      <c r="H18" s="34">
        <v>3500</v>
      </c>
      <c r="I18" s="34"/>
      <c r="J18" s="34">
        <f t="shared" si="1"/>
        <v>76640</v>
      </c>
      <c r="K18" s="34">
        <f>SUM(D18:H18)</f>
        <v>76640</v>
      </c>
      <c r="L18" s="34">
        <f t="shared" si="0"/>
        <v>0</v>
      </c>
      <c r="M18" s="31" t="s">
        <v>194</v>
      </c>
    </row>
    <row r="19" spans="1:13" ht="15.75" x14ac:dyDescent="0.25">
      <c r="A19" s="25">
        <v>16</v>
      </c>
      <c r="B19" s="25" t="s">
        <v>190</v>
      </c>
      <c r="C19" s="34"/>
      <c r="D19" s="34">
        <v>38500</v>
      </c>
      <c r="E19" s="34">
        <v>1000</v>
      </c>
      <c r="F19" s="34">
        <v>18500</v>
      </c>
      <c r="G19" s="34">
        <v>28140</v>
      </c>
      <c r="H19" s="34">
        <v>3500</v>
      </c>
      <c r="I19" s="34"/>
      <c r="J19" s="34">
        <f>SUM(C19:I19)</f>
        <v>89640</v>
      </c>
      <c r="K19" s="34">
        <v>89740</v>
      </c>
      <c r="L19" s="34"/>
      <c r="M19" s="31">
        <v>43381</v>
      </c>
    </row>
    <row r="20" spans="1:13" ht="15.75" x14ac:dyDescent="0.25">
      <c r="A20" s="25">
        <v>17</v>
      </c>
      <c r="B20" s="25"/>
      <c r="C20" s="34"/>
      <c r="D20" s="34">
        <f t="shared" ref="D20:L20" si="2">SUM(D4:D18)</f>
        <v>577500</v>
      </c>
      <c r="E20" s="34">
        <f t="shared" si="2"/>
        <v>15000</v>
      </c>
      <c r="F20" s="34">
        <f t="shared" si="2"/>
        <v>22000</v>
      </c>
      <c r="G20" s="34">
        <f t="shared" si="2"/>
        <v>422100</v>
      </c>
      <c r="H20" s="34">
        <f t="shared" si="2"/>
        <v>52500</v>
      </c>
      <c r="I20" s="34">
        <f t="shared" si="2"/>
        <v>7500</v>
      </c>
      <c r="J20" s="34">
        <f t="shared" si="2"/>
        <v>1096600</v>
      </c>
      <c r="K20" s="34">
        <f t="shared" si="2"/>
        <v>1065190</v>
      </c>
      <c r="L20" s="34">
        <f t="shared" si="2"/>
        <v>31410</v>
      </c>
      <c r="M20" s="25"/>
    </row>
    <row r="21" spans="1:13" ht="15.75" x14ac:dyDescent="0.25">
      <c r="A21" s="25">
        <v>18</v>
      </c>
      <c r="M21" s="31">
        <v>43340</v>
      </c>
    </row>
    <row r="22" spans="1:13" ht="15.75" x14ac:dyDescent="0.25">
      <c r="A22" s="25">
        <v>19</v>
      </c>
      <c r="M22" s="31">
        <v>43340</v>
      </c>
    </row>
    <row r="23" spans="1:13" ht="15.75" x14ac:dyDescent="0.25">
      <c r="A23" s="25" t="s">
        <v>197</v>
      </c>
      <c r="M23" s="31">
        <v>43361</v>
      </c>
    </row>
    <row r="24" spans="1:13" ht="15.75" x14ac:dyDescent="0.25">
      <c r="A24" s="25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3"/>
  <sheetViews>
    <sheetView workbookViewId="0">
      <selection activeCell="I7" sqref="I7"/>
    </sheetView>
  </sheetViews>
  <sheetFormatPr defaultRowHeight="15" x14ac:dyDescent="0.25"/>
  <cols>
    <col min="2" max="2" width="20.7109375" customWidth="1"/>
    <col min="3" max="3" width="11.42578125" customWidth="1"/>
    <col min="4" max="4" width="9.42578125" customWidth="1"/>
    <col min="5" max="5" width="9.28515625" customWidth="1"/>
    <col min="6" max="6" width="9.140625" customWidth="1"/>
    <col min="7" max="8" width="10" customWidth="1"/>
    <col min="11" max="12" width="9.140625" bestFit="1" customWidth="1"/>
    <col min="13" max="13" width="9.42578125" customWidth="1"/>
  </cols>
  <sheetData>
    <row r="1" spans="2:13" ht="15.75" thickBot="1" x14ac:dyDescent="0.3">
      <c r="B1" s="14" t="s">
        <v>71</v>
      </c>
      <c r="C1" s="14"/>
      <c r="E1" s="13"/>
    </row>
    <row r="2" spans="2:13" x14ac:dyDescent="0.25">
      <c r="B2" s="15" t="s">
        <v>72</v>
      </c>
      <c r="C2" s="16" t="s">
        <v>38</v>
      </c>
      <c r="D2" s="16" t="s">
        <v>62</v>
      </c>
      <c r="E2" s="16" t="s">
        <v>63</v>
      </c>
      <c r="F2" s="55" t="s">
        <v>64</v>
      </c>
      <c r="G2" s="55" t="s">
        <v>65</v>
      </c>
      <c r="H2" s="55" t="s">
        <v>66</v>
      </c>
      <c r="I2" s="55" t="s">
        <v>67</v>
      </c>
      <c r="J2" s="55" t="s">
        <v>68</v>
      </c>
      <c r="K2" s="56" t="s">
        <v>117</v>
      </c>
      <c r="L2" s="57" t="s">
        <v>173</v>
      </c>
      <c r="M2" s="58" t="s">
        <v>69</v>
      </c>
    </row>
    <row r="3" spans="2:13" x14ac:dyDescent="0.25">
      <c r="B3" s="10" t="s">
        <v>73</v>
      </c>
      <c r="C3" s="2">
        <f>Preschool!D20</f>
        <v>455000</v>
      </c>
      <c r="D3" s="2">
        <f>Nur.!D20</f>
        <v>561000</v>
      </c>
      <c r="E3" s="2">
        <f>Transition!C22</f>
        <v>630000</v>
      </c>
      <c r="F3" s="2">
        <f>'Grade 1'!D13</f>
        <v>328500</v>
      </c>
      <c r="G3" s="2">
        <f>'Grade 2'!D13</f>
        <v>328500</v>
      </c>
      <c r="H3" s="3">
        <f>'Grade 3'!D15</f>
        <v>401500</v>
      </c>
      <c r="I3" s="2">
        <f>'Grade 4'!D16</f>
        <v>438000</v>
      </c>
      <c r="J3" s="2">
        <f>'Grade 5'!D20</f>
        <v>584000</v>
      </c>
      <c r="K3" s="17">
        <f>'JSS 1'!D21</f>
        <v>577500</v>
      </c>
      <c r="L3" s="51">
        <f>'JSS 2'!D20</f>
        <v>577500</v>
      </c>
      <c r="M3" s="19">
        <f>SUM(C3:L3)</f>
        <v>4881500</v>
      </c>
    </row>
    <row r="4" spans="2:13" x14ac:dyDescent="0.25">
      <c r="B4" s="10" t="s">
        <v>115</v>
      </c>
      <c r="C4" s="2">
        <v>0</v>
      </c>
      <c r="D4" s="2"/>
      <c r="E4" s="2">
        <v>0</v>
      </c>
      <c r="F4" s="2">
        <v>0</v>
      </c>
      <c r="G4" s="2">
        <v>0</v>
      </c>
      <c r="H4" s="3">
        <v>0</v>
      </c>
      <c r="I4" s="2">
        <v>0</v>
      </c>
      <c r="J4" s="2">
        <v>0</v>
      </c>
      <c r="K4" s="17">
        <v>0</v>
      </c>
      <c r="L4" s="51">
        <v>0</v>
      </c>
      <c r="M4" s="19">
        <f t="shared" ref="M4:M10" si="0">SUM(C4:L4)</f>
        <v>0</v>
      </c>
    </row>
    <row r="5" spans="2:13" x14ac:dyDescent="0.25">
      <c r="B5" s="10" t="s">
        <v>3</v>
      </c>
      <c r="C5" s="1">
        <f>Preschool!G20</f>
        <v>124150</v>
      </c>
      <c r="D5" s="2">
        <f>Nur.!G20</f>
        <v>152800</v>
      </c>
      <c r="E5" s="2">
        <f>Transition!F22</f>
        <v>224100</v>
      </c>
      <c r="F5" s="2">
        <f>'Grade 1'!G13</f>
        <v>175050</v>
      </c>
      <c r="G5" s="2">
        <f>'Grade 2'!G13</f>
        <v>182250</v>
      </c>
      <c r="H5" s="2">
        <f>'Grade 3'!G15</f>
        <v>216590</v>
      </c>
      <c r="I5" s="2">
        <f>'Grade 4'!G16</f>
        <v>261720</v>
      </c>
      <c r="J5" s="2">
        <f>'Grade 5'!G20</f>
        <v>326880</v>
      </c>
      <c r="K5" s="17">
        <f>'JSS 1'!G21</f>
        <v>438600</v>
      </c>
      <c r="L5" s="51">
        <f>'JSS 2'!G20</f>
        <v>422100</v>
      </c>
      <c r="M5" s="19">
        <f t="shared" si="0"/>
        <v>2524240</v>
      </c>
    </row>
    <row r="6" spans="2:13" x14ac:dyDescent="0.25">
      <c r="B6" s="10" t="s">
        <v>4</v>
      </c>
      <c r="C6" s="1">
        <f>Preschool!F20</f>
        <v>201500</v>
      </c>
      <c r="D6" s="1">
        <f>Nur.!F20</f>
        <v>46500</v>
      </c>
      <c r="E6" s="2">
        <f>Transition!E22</f>
        <v>24500</v>
      </c>
      <c r="F6" s="1">
        <f>'Grade 1'!F13</f>
        <v>84000</v>
      </c>
      <c r="G6" s="1">
        <f>'Grade 2'!F13</f>
        <v>4500</v>
      </c>
      <c r="H6" s="1">
        <f>'Grade 3'!F15</f>
        <v>21500</v>
      </c>
      <c r="I6" s="1">
        <f>'Grade 4'!F16</f>
        <v>21000</v>
      </c>
      <c r="J6" s="1">
        <f>'Grade 5'!F20</f>
        <v>21000</v>
      </c>
      <c r="K6" s="12">
        <f>'JSS 1'!F21</f>
        <v>262500</v>
      </c>
      <c r="L6" s="52">
        <f>'JSS 2'!F20</f>
        <v>22000</v>
      </c>
      <c r="M6" s="19">
        <f t="shared" si="0"/>
        <v>709000</v>
      </c>
    </row>
    <row r="7" spans="2:13" x14ac:dyDescent="0.25">
      <c r="B7" s="10" t="s">
        <v>2</v>
      </c>
      <c r="C7" s="2">
        <f>Preschool!E20</f>
        <v>13000</v>
      </c>
      <c r="D7" s="2">
        <f>Nur.!E20</f>
        <v>16000</v>
      </c>
      <c r="E7" s="2">
        <f>Transition!D22</f>
        <v>18000</v>
      </c>
      <c r="F7" s="2">
        <f>'Grade 1'!E13</f>
        <v>9000</v>
      </c>
      <c r="G7" s="2">
        <f>'Grade 2'!E13</f>
        <v>9000</v>
      </c>
      <c r="H7" s="2">
        <f>'Grade 3'!E15</f>
        <v>11000</v>
      </c>
      <c r="I7" s="2">
        <f>'Grade 4'!E16</f>
        <v>12000</v>
      </c>
      <c r="J7" s="2">
        <f>'Grade 5'!E20</f>
        <v>16000</v>
      </c>
      <c r="K7" s="17">
        <f>'JSS 1'!E21</f>
        <v>15000</v>
      </c>
      <c r="L7" s="51">
        <f>'JSS 2'!E20</f>
        <v>15000</v>
      </c>
      <c r="M7" s="19">
        <f t="shared" si="0"/>
        <v>134000</v>
      </c>
    </row>
    <row r="8" spans="2:13" x14ac:dyDescent="0.25">
      <c r="B8" s="10" t="s">
        <v>31</v>
      </c>
      <c r="C8" s="1">
        <v>0</v>
      </c>
      <c r="D8" s="1">
        <v>0</v>
      </c>
      <c r="E8" s="2">
        <v>0</v>
      </c>
      <c r="F8" s="2">
        <f>'Grade 1'!H13</f>
        <v>31500</v>
      </c>
      <c r="G8" s="2">
        <f>'Grade 2'!H13</f>
        <v>31500</v>
      </c>
      <c r="H8" s="2">
        <f>'Grade 3'!H15</f>
        <v>38500</v>
      </c>
      <c r="I8" s="2">
        <f>'Grade 4'!H16</f>
        <v>42000</v>
      </c>
      <c r="J8" s="2">
        <f>'Grade 5'!H20</f>
        <v>56000</v>
      </c>
      <c r="K8" s="17">
        <f>'JSS 1'!H21</f>
        <v>52500</v>
      </c>
      <c r="L8" s="51">
        <f>'JSS 2'!H20</f>
        <v>52500</v>
      </c>
      <c r="M8" s="19">
        <f t="shared" si="0"/>
        <v>304500</v>
      </c>
    </row>
    <row r="9" spans="2:13" x14ac:dyDescent="0.25">
      <c r="B9" s="11" t="s">
        <v>5</v>
      </c>
      <c r="C9" s="9">
        <f>Preschool!H20</f>
        <v>15000</v>
      </c>
      <c r="D9" s="9">
        <f>Nur.!H20</f>
        <v>32500</v>
      </c>
      <c r="E9" s="9">
        <f>Transition!G22</f>
        <v>7500</v>
      </c>
      <c r="F9" s="9">
        <f>'Grade 1'!I13</f>
        <v>30000</v>
      </c>
      <c r="G9" s="9">
        <f>'Grade 2'!I13</f>
        <v>0</v>
      </c>
      <c r="H9" s="9">
        <f>'Grade 3'!I15</f>
        <v>15000</v>
      </c>
      <c r="I9" s="9">
        <f>'Grade 4'!I16</f>
        <v>0</v>
      </c>
      <c r="J9" s="9">
        <f>'Grade 5'!I20</f>
        <v>45000</v>
      </c>
      <c r="K9" s="18">
        <f>'JSS 1'!I21</f>
        <v>0</v>
      </c>
      <c r="L9" s="53">
        <f>'JSS 2'!I20</f>
        <v>7500</v>
      </c>
      <c r="M9" s="19">
        <f t="shared" si="0"/>
        <v>152500</v>
      </c>
    </row>
    <row r="10" spans="2:13" x14ac:dyDescent="0.25">
      <c r="B10" s="20" t="s">
        <v>7</v>
      </c>
      <c r="C10" s="21">
        <f>Preschool!C20</f>
        <v>0</v>
      </c>
      <c r="D10" s="21">
        <f>Nur.!C20</f>
        <v>0</v>
      </c>
      <c r="E10" s="21">
        <f>Nur.!C20</f>
        <v>0</v>
      </c>
      <c r="F10" s="21">
        <f>'Grade 1'!C13</f>
        <v>0</v>
      </c>
      <c r="G10" s="21">
        <f>'Grade 2'!C13</f>
        <v>0</v>
      </c>
      <c r="H10" s="21">
        <f>'Grade 3'!C15</f>
        <v>0</v>
      </c>
      <c r="I10" s="21">
        <f>'Grade 4'!C16</f>
        <v>0</v>
      </c>
      <c r="J10" s="21">
        <f>'Grade 5'!C20</f>
        <v>0</v>
      </c>
      <c r="K10" s="22">
        <f>'JSS 1'!C21</f>
        <v>0</v>
      </c>
      <c r="L10" s="54">
        <f>'JSS 2'!C20</f>
        <v>0</v>
      </c>
      <c r="M10" s="19">
        <f t="shared" si="0"/>
        <v>0</v>
      </c>
    </row>
    <row r="11" spans="2:13" x14ac:dyDescent="0.25">
      <c r="B11" s="59" t="s">
        <v>74</v>
      </c>
      <c r="C11" s="60">
        <f t="shared" ref="C11:L11" si="1">SUM(C3:C10)</f>
        <v>808650</v>
      </c>
      <c r="D11" s="60">
        <f t="shared" si="1"/>
        <v>808800</v>
      </c>
      <c r="E11" s="60">
        <f t="shared" si="1"/>
        <v>904100</v>
      </c>
      <c r="F11" s="60">
        <f t="shared" si="1"/>
        <v>658050</v>
      </c>
      <c r="G11" s="60">
        <f t="shared" si="1"/>
        <v>555750</v>
      </c>
      <c r="H11" s="60">
        <f t="shared" si="1"/>
        <v>704090</v>
      </c>
      <c r="I11" s="60">
        <f t="shared" si="1"/>
        <v>774720</v>
      </c>
      <c r="J11" s="60">
        <f t="shared" si="1"/>
        <v>1048880</v>
      </c>
      <c r="K11" s="61">
        <f t="shared" si="1"/>
        <v>1346100</v>
      </c>
      <c r="L11" s="61">
        <f t="shared" si="1"/>
        <v>1096600</v>
      </c>
      <c r="M11" s="23">
        <f>SUM(M3:M10)</f>
        <v>8705740</v>
      </c>
    </row>
    <row r="12" spans="2:13" x14ac:dyDescent="0.25">
      <c r="B12" s="62" t="s">
        <v>189</v>
      </c>
      <c r="C12" s="1">
        <f>Preschool!J20</f>
        <v>715000</v>
      </c>
      <c r="D12" s="1">
        <f>Nur.!J20</f>
        <v>742960</v>
      </c>
      <c r="E12" s="1">
        <f>Nur.!J20</f>
        <v>742960</v>
      </c>
      <c r="F12" s="1">
        <f>'Grade 1'!K13</f>
        <v>553750</v>
      </c>
      <c r="G12" s="1">
        <f>'Grade 2'!K13</f>
        <v>521560</v>
      </c>
      <c r="H12" s="1">
        <f>'Grade 3'!K15</f>
        <v>549130</v>
      </c>
      <c r="I12" s="1">
        <f>'Grade 4'!K16</f>
        <v>769290</v>
      </c>
      <c r="J12" s="1">
        <f>'Grade 5'!K20</f>
        <v>1047950</v>
      </c>
      <c r="K12" s="1">
        <f>'JSS 1'!K21</f>
        <v>1378520</v>
      </c>
      <c r="L12" s="1">
        <f>'JSS 2'!K20</f>
        <v>1065190</v>
      </c>
      <c r="M12" s="2">
        <f>SUM(C12:L12)</f>
        <v>8086310</v>
      </c>
    </row>
    <row r="13" spans="2:13" x14ac:dyDescent="0.25">
      <c r="B13" s="62" t="s">
        <v>30</v>
      </c>
      <c r="C13" s="63">
        <f>C11-C12</f>
        <v>93650</v>
      </c>
      <c r="D13" s="63">
        <f t="shared" ref="D13:M13" si="2">D11-D12</f>
        <v>65840</v>
      </c>
      <c r="E13" s="63">
        <f t="shared" si="2"/>
        <v>161140</v>
      </c>
      <c r="F13" s="63">
        <f t="shared" si="2"/>
        <v>104300</v>
      </c>
      <c r="G13" s="63">
        <f t="shared" si="2"/>
        <v>34190</v>
      </c>
      <c r="H13" s="63">
        <f t="shared" si="2"/>
        <v>154960</v>
      </c>
      <c r="I13" s="63">
        <f t="shared" si="2"/>
        <v>5430</v>
      </c>
      <c r="J13" s="63">
        <f t="shared" si="2"/>
        <v>930</v>
      </c>
      <c r="K13" s="63">
        <f t="shared" si="2"/>
        <v>-32420</v>
      </c>
      <c r="L13" s="63">
        <f t="shared" si="2"/>
        <v>31410</v>
      </c>
      <c r="M13" s="63">
        <f t="shared" si="2"/>
        <v>619430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"/>
  <sheetViews>
    <sheetView tabSelected="1" zoomScale="80" zoomScaleNormal="80" workbookViewId="0">
      <selection activeCell="K23" sqref="K23"/>
    </sheetView>
  </sheetViews>
  <sheetFormatPr defaultColWidth="8.85546875" defaultRowHeight="15.75" x14ac:dyDescent="0.25"/>
  <cols>
    <col min="1" max="1" width="5.5703125" style="32" bestFit="1" customWidth="1"/>
    <col min="2" max="2" width="40.42578125" style="32" customWidth="1"/>
    <col min="3" max="3" width="15" style="32" customWidth="1"/>
    <col min="4" max="4" width="10.85546875" style="32" bestFit="1" customWidth="1"/>
    <col min="5" max="5" width="10" style="32" bestFit="1" customWidth="1"/>
    <col min="6" max="7" width="11.28515625" style="32" bestFit="1" customWidth="1"/>
    <col min="8" max="8" width="10.5703125" style="32" customWidth="1"/>
    <col min="9" max="9" width="11.28515625" style="32" bestFit="1" customWidth="1"/>
    <col min="10" max="10" width="10.85546875" style="32" customWidth="1"/>
    <col min="11" max="11" width="12.85546875" style="32" bestFit="1" customWidth="1"/>
    <col min="12" max="12" width="31.28515625" style="32" customWidth="1"/>
    <col min="13" max="13" width="10.7109375" style="32" bestFit="1" customWidth="1"/>
    <col min="14" max="14" width="10.5703125" style="32" bestFit="1" customWidth="1"/>
    <col min="15" max="15" width="10.7109375" style="32" bestFit="1" customWidth="1"/>
    <col min="16" max="16384" width="8.85546875" style="32"/>
  </cols>
  <sheetData>
    <row r="1" spans="1:15" x14ac:dyDescent="0.25">
      <c r="A1" s="25"/>
      <c r="B1" s="25"/>
      <c r="C1" s="25"/>
      <c r="D1" s="72" t="s">
        <v>10</v>
      </c>
      <c r="E1" s="72"/>
      <c r="F1" s="72"/>
      <c r="G1" s="72"/>
      <c r="H1" s="72"/>
      <c r="I1" s="72"/>
      <c r="J1" s="72"/>
      <c r="K1" s="25"/>
      <c r="L1" s="25"/>
    </row>
    <row r="2" spans="1:15" x14ac:dyDescent="0.25">
      <c r="A2" s="26" t="s">
        <v>6</v>
      </c>
      <c r="B2" s="26" t="s">
        <v>0</v>
      </c>
      <c r="C2" s="26" t="s">
        <v>7</v>
      </c>
      <c r="D2" s="26" t="s">
        <v>1</v>
      </c>
      <c r="E2" s="26" t="s">
        <v>2</v>
      </c>
      <c r="F2" s="26" t="s">
        <v>55</v>
      </c>
      <c r="G2" s="26" t="s">
        <v>3</v>
      </c>
      <c r="H2" s="26" t="s">
        <v>5</v>
      </c>
      <c r="I2" s="26" t="s">
        <v>8</v>
      </c>
      <c r="J2" s="26" t="s">
        <v>9</v>
      </c>
      <c r="K2" s="27" t="s">
        <v>30</v>
      </c>
      <c r="L2" s="26" t="s">
        <v>140</v>
      </c>
    </row>
    <row r="3" spans="1:15" x14ac:dyDescent="0.25">
      <c r="A3" s="33">
        <v>1</v>
      </c>
      <c r="B3" s="25" t="s">
        <v>144</v>
      </c>
      <c r="C3" s="25"/>
      <c r="D3" s="34">
        <v>35000</v>
      </c>
      <c r="E3" s="34">
        <v>1000</v>
      </c>
      <c r="F3" s="34">
        <v>15500</v>
      </c>
      <c r="G3" s="34">
        <v>9550</v>
      </c>
      <c r="H3" s="34"/>
      <c r="I3" s="34">
        <v>60950</v>
      </c>
      <c r="J3" s="34">
        <f>30550</f>
        <v>30550</v>
      </c>
      <c r="K3" s="34">
        <f>SUM(I3-J3)</f>
        <v>30400</v>
      </c>
      <c r="L3" s="31"/>
      <c r="O3" s="42"/>
    </row>
    <row r="4" spans="1:15" x14ac:dyDescent="0.25">
      <c r="A4" s="33">
        <v>2</v>
      </c>
      <c r="B4" s="25" t="s">
        <v>145</v>
      </c>
      <c r="C4" s="25"/>
      <c r="D4" s="34">
        <v>35000</v>
      </c>
      <c r="E4" s="34">
        <v>1000</v>
      </c>
      <c r="F4" s="34">
        <v>15500</v>
      </c>
      <c r="G4" s="34">
        <v>9550</v>
      </c>
      <c r="H4" s="34"/>
      <c r="I4" s="34">
        <v>60950</v>
      </c>
      <c r="J4" s="34">
        <f>40000+20950</f>
        <v>60950</v>
      </c>
      <c r="K4" s="34">
        <f t="shared" ref="K4:K16" si="0">SUM(I4-J4)</f>
        <v>0</v>
      </c>
      <c r="L4" s="31" t="s">
        <v>212</v>
      </c>
      <c r="O4" s="43"/>
    </row>
    <row r="5" spans="1:15" x14ac:dyDescent="0.25">
      <c r="A5" s="33">
        <v>3</v>
      </c>
      <c r="B5" s="25" t="s">
        <v>146</v>
      </c>
      <c r="C5" s="25"/>
      <c r="D5" s="34">
        <v>35000</v>
      </c>
      <c r="E5" s="34">
        <v>1000</v>
      </c>
      <c r="F5" s="34">
        <v>15500</v>
      </c>
      <c r="G5" s="34">
        <v>9550</v>
      </c>
      <c r="H5" s="34">
        <v>15000</v>
      </c>
      <c r="I5" s="34">
        <v>75950</v>
      </c>
      <c r="J5" s="34">
        <v>75950</v>
      </c>
      <c r="K5" s="34">
        <f t="shared" si="0"/>
        <v>0</v>
      </c>
      <c r="L5" s="31">
        <v>43339</v>
      </c>
    </row>
    <row r="6" spans="1:15" x14ac:dyDescent="0.25">
      <c r="A6" s="33">
        <v>4</v>
      </c>
      <c r="B6" s="25" t="s">
        <v>147</v>
      </c>
      <c r="C6" s="25"/>
      <c r="D6" s="34">
        <v>35000</v>
      </c>
      <c r="E6" s="34">
        <v>1000</v>
      </c>
      <c r="F6" s="34">
        <v>15500</v>
      </c>
      <c r="G6" s="34">
        <v>9550</v>
      </c>
      <c r="H6" s="34"/>
      <c r="I6" s="34">
        <v>60950</v>
      </c>
      <c r="J6" s="34">
        <f>20000+20950</f>
        <v>40950</v>
      </c>
      <c r="K6" s="34">
        <f t="shared" si="0"/>
        <v>20000</v>
      </c>
      <c r="L6" s="31" t="s">
        <v>208</v>
      </c>
    </row>
    <row r="7" spans="1:15" x14ac:dyDescent="0.25">
      <c r="A7" s="33">
        <v>5</v>
      </c>
      <c r="B7" s="25" t="s">
        <v>148</v>
      </c>
      <c r="C7" s="25"/>
      <c r="D7" s="34">
        <v>35000</v>
      </c>
      <c r="E7" s="34">
        <v>1000</v>
      </c>
      <c r="F7" s="34">
        <v>15500</v>
      </c>
      <c r="G7" s="34">
        <v>9550</v>
      </c>
      <c r="H7" s="34"/>
      <c r="I7" s="34">
        <v>60950</v>
      </c>
      <c r="J7" s="34">
        <v>60950</v>
      </c>
      <c r="K7" s="34">
        <f>SUM(I7-J7)</f>
        <v>0</v>
      </c>
      <c r="L7" s="31">
        <v>43343</v>
      </c>
    </row>
    <row r="8" spans="1:15" x14ac:dyDescent="0.25">
      <c r="A8" s="33">
        <v>6</v>
      </c>
      <c r="B8" s="25" t="s">
        <v>235</v>
      </c>
      <c r="C8" s="25"/>
      <c r="D8" s="34">
        <v>35000</v>
      </c>
      <c r="E8" s="34">
        <v>1000</v>
      </c>
      <c r="F8" s="34">
        <v>15500</v>
      </c>
      <c r="G8" s="34">
        <v>9550</v>
      </c>
      <c r="H8" s="34"/>
      <c r="I8" s="34">
        <v>60950</v>
      </c>
      <c r="J8" s="34">
        <v>60950</v>
      </c>
      <c r="K8" s="34"/>
      <c r="L8" s="31"/>
    </row>
    <row r="9" spans="1:15" x14ac:dyDescent="0.25">
      <c r="A9" s="33">
        <v>7</v>
      </c>
      <c r="B9" s="25" t="s">
        <v>149</v>
      </c>
      <c r="C9" s="25"/>
      <c r="D9" s="34">
        <v>35000</v>
      </c>
      <c r="E9" s="34">
        <v>1000</v>
      </c>
      <c r="F9" s="34">
        <v>15500</v>
      </c>
      <c r="G9" s="34">
        <v>9550</v>
      </c>
      <c r="H9" s="34"/>
      <c r="I9" s="34">
        <v>60950</v>
      </c>
      <c r="J9" s="34">
        <f>45000+15950</f>
        <v>60950</v>
      </c>
      <c r="K9" s="34">
        <f t="shared" si="0"/>
        <v>0</v>
      </c>
      <c r="L9" s="31" t="s">
        <v>226</v>
      </c>
    </row>
    <row r="10" spans="1:15" x14ac:dyDescent="0.25">
      <c r="A10" s="33">
        <v>8</v>
      </c>
      <c r="B10" s="25" t="s">
        <v>150</v>
      </c>
      <c r="C10" s="25"/>
      <c r="D10" s="34">
        <v>35000</v>
      </c>
      <c r="E10" s="34">
        <v>1000</v>
      </c>
      <c r="F10" s="34">
        <v>15500</v>
      </c>
      <c r="G10" s="34">
        <v>9550</v>
      </c>
      <c r="H10" s="34"/>
      <c r="I10" s="34">
        <v>60950</v>
      </c>
      <c r="J10" s="34">
        <f>45000+15950</f>
        <v>60950</v>
      </c>
      <c r="K10" s="34">
        <f t="shared" si="0"/>
        <v>0</v>
      </c>
      <c r="L10" s="31" t="s">
        <v>226</v>
      </c>
    </row>
    <row r="11" spans="1:15" x14ac:dyDescent="0.25">
      <c r="A11" s="33">
        <v>9</v>
      </c>
      <c r="B11" s="25" t="s">
        <v>151</v>
      </c>
      <c r="C11" s="25"/>
      <c r="D11" s="34">
        <v>35000</v>
      </c>
      <c r="E11" s="34">
        <v>1000</v>
      </c>
      <c r="F11" s="34">
        <v>15500</v>
      </c>
      <c r="G11" s="34">
        <v>9550</v>
      </c>
      <c r="H11" s="34"/>
      <c r="I11" s="34">
        <v>60950</v>
      </c>
      <c r="J11" s="34">
        <v>59950</v>
      </c>
      <c r="K11" s="34">
        <f t="shared" si="0"/>
        <v>1000</v>
      </c>
      <c r="L11" s="31">
        <v>43355</v>
      </c>
    </row>
    <row r="12" spans="1:15" x14ac:dyDescent="0.25">
      <c r="A12" s="33">
        <v>10</v>
      </c>
      <c r="B12" s="25" t="s">
        <v>152</v>
      </c>
      <c r="C12" s="25"/>
      <c r="D12" s="34">
        <v>35000</v>
      </c>
      <c r="E12" s="34">
        <v>1000</v>
      </c>
      <c r="F12" s="34">
        <v>15500</v>
      </c>
      <c r="G12" s="34">
        <v>9550</v>
      </c>
      <c r="H12" s="34"/>
      <c r="I12" s="34">
        <v>60950</v>
      </c>
      <c r="J12" s="34">
        <f>20000</f>
        <v>20000</v>
      </c>
      <c r="K12" s="34">
        <f t="shared" si="0"/>
        <v>40950</v>
      </c>
      <c r="L12" s="31">
        <v>43360</v>
      </c>
    </row>
    <row r="13" spans="1:15" x14ac:dyDescent="0.25">
      <c r="A13" s="33">
        <v>11</v>
      </c>
      <c r="B13" s="25" t="s">
        <v>153</v>
      </c>
      <c r="C13" s="25"/>
      <c r="D13" s="34">
        <v>35000</v>
      </c>
      <c r="E13" s="34">
        <v>1000</v>
      </c>
      <c r="F13" s="34">
        <v>15500</v>
      </c>
      <c r="G13" s="34">
        <v>9550</v>
      </c>
      <c r="H13" s="34"/>
      <c r="I13" s="34">
        <v>60950</v>
      </c>
      <c r="J13" s="34">
        <f>20000+40000+950</f>
        <v>60950</v>
      </c>
      <c r="K13" s="34">
        <f t="shared" si="0"/>
        <v>0</v>
      </c>
      <c r="L13" s="31">
        <v>43404</v>
      </c>
    </row>
    <row r="14" spans="1:15" x14ac:dyDescent="0.25">
      <c r="A14" s="33"/>
      <c r="B14" s="25" t="s">
        <v>193</v>
      </c>
      <c r="C14" s="25"/>
      <c r="D14" s="34">
        <v>35000</v>
      </c>
      <c r="E14" s="34">
        <v>1000</v>
      </c>
      <c r="F14" s="34">
        <v>15500</v>
      </c>
      <c r="G14" s="34">
        <v>9550</v>
      </c>
      <c r="H14" s="34"/>
      <c r="I14" s="34">
        <v>60950</v>
      </c>
      <c r="J14" s="34">
        <v>60950</v>
      </c>
      <c r="K14" s="34">
        <f t="shared" si="0"/>
        <v>0</v>
      </c>
      <c r="L14" s="31">
        <v>43367</v>
      </c>
    </row>
    <row r="15" spans="1:15" x14ac:dyDescent="0.25">
      <c r="A15" s="36"/>
      <c r="B15" s="25" t="s">
        <v>154</v>
      </c>
      <c r="C15" s="25"/>
      <c r="D15" s="34">
        <v>35000</v>
      </c>
      <c r="E15" s="34">
        <v>1000</v>
      </c>
      <c r="F15" s="34">
        <v>15500</v>
      </c>
      <c r="G15" s="34">
        <v>9550</v>
      </c>
      <c r="H15" s="34"/>
      <c r="I15" s="34">
        <v>60950</v>
      </c>
      <c r="J15" s="34">
        <v>60950</v>
      </c>
      <c r="K15" s="34">
        <f t="shared" si="0"/>
        <v>0</v>
      </c>
      <c r="L15" s="31">
        <v>43361</v>
      </c>
    </row>
    <row r="16" spans="1:15" x14ac:dyDescent="0.25">
      <c r="A16" s="45"/>
      <c r="B16" s="25" t="s">
        <v>211</v>
      </c>
      <c r="C16" s="25"/>
      <c r="D16" s="34">
        <v>35000</v>
      </c>
      <c r="E16" s="34">
        <v>1000</v>
      </c>
      <c r="F16" s="34">
        <v>15500</v>
      </c>
      <c r="G16" s="34">
        <v>9550</v>
      </c>
      <c r="H16" s="34"/>
      <c r="I16" s="34">
        <v>60950</v>
      </c>
      <c r="J16" s="34">
        <f>20950+20000</f>
        <v>40950</v>
      </c>
      <c r="K16" s="34">
        <f t="shared" si="0"/>
        <v>20000</v>
      </c>
      <c r="L16" s="70">
        <v>43382</v>
      </c>
      <c r="M16" s="42"/>
    </row>
    <row r="17" spans="1:12" x14ac:dyDescent="0.25">
      <c r="A17" s="45"/>
      <c r="B17" s="25"/>
      <c r="C17" s="25"/>
      <c r="D17" s="34"/>
      <c r="E17" s="34"/>
      <c r="F17" s="34"/>
      <c r="G17" s="34"/>
      <c r="H17" s="34"/>
      <c r="I17" s="34"/>
      <c r="J17" s="34"/>
      <c r="K17" s="34"/>
      <c r="L17" s="70"/>
    </row>
    <row r="18" spans="1:12" x14ac:dyDescent="0.25">
      <c r="A18" s="36"/>
      <c r="B18" s="25"/>
      <c r="C18" s="25"/>
      <c r="D18" s="34"/>
      <c r="E18" s="34"/>
      <c r="F18" s="34"/>
      <c r="G18" s="34"/>
      <c r="H18" s="34"/>
      <c r="I18" s="34"/>
      <c r="J18" s="34"/>
      <c r="K18" s="34"/>
      <c r="L18" s="70"/>
    </row>
    <row r="19" spans="1:12" x14ac:dyDescent="0.25">
      <c r="B19" s="25"/>
      <c r="C19" s="25"/>
      <c r="D19" s="34"/>
      <c r="E19" s="34"/>
      <c r="F19" s="34"/>
      <c r="G19" s="34"/>
      <c r="H19" s="34"/>
      <c r="I19" s="34"/>
      <c r="J19" s="34"/>
      <c r="K19" s="34"/>
      <c r="L19" s="70"/>
    </row>
    <row r="20" spans="1:12" x14ac:dyDescent="0.25">
      <c r="B20" s="44" t="s">
        <v>69</v>
      </c>
      <c r="C20" s="44"/>
      <c r="D20" s="34">
        <f t="shared" ref="D20:J20" si="1">SUM(D3:D15)</f>
        <v>455000</v>
      </c>
      <c r="E20" s="34">
        <f t="shared" si="1"/>
        <v>13000</v>
      </c>
      <c r="F20" s="34">
        <f t="shared" si="1"/>
        <v>201500</v>
      </c>
      <c r="G20" s="34">
        <f t="shared" si="1"/>
        <v>124150</v>
      </c>
      <c r="H20" s="34">
        <f t="shared" si="1"/>
        <v>15000</v>
      </c>
      <c r="I20" s="34">
        <f t="shared" si="1"/>
        <v>807350</v>
      </c>
      <c r="J20" s="34">
        <f t="shared" si="1"/>
        <v>715000</v>
      </c>
      <c r="K20" s="34">
        <f>SUM(I20-J20)</f>
        <v>92350</v>
      </c>
    </row>
    <row r="21" spans="1:12" x14ac:dyDescent="0.25">
      <c r="L21" s="25"/>
    </row>
    <row r="22" spans="1:12" x14ac:dyDescent="0.25">
      <c r="B22" s="36"/>
      <c r="C22" s="36"/>
    </row>
    <row r="23" spans="1:12" x14ac:dyDescent="0.25">
      <c r="B23" s="36"/>
      <c r="C23" s="36"/>
    </row>
  </sheetData>
  <mergeCells count="1">
    <mergeCell ref="D1:J1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topLeftCell="A3" zoomScale="90" zoomScaleNormal="90" workbookViewId="0">
      <selection activeCell="L14" sqref="L14"/>
    </sheetView>
  </sheetViews>
  <sheetFormatPr defaultColWidth="8.85546875" defaultRowHeight="15.75" x14ac:dyDescent="0.25"/>
  <cols>
    <col min="1" max="1" width="5.42578125" style="32" bestFit="1" customWidth="1"/>
    <col min="2" max="2" width="28.7109375" style="32" bestFit="1" customWidth="1"/>
    <col min="3" max="3" width="14.28515625" style="32" bestFit="1" customWidth="1"/>
    <col min="4" max="4" width="12" style="32" customWidth="1"/>
    <col min="5" max="5" width="9.7109375" style="32" customWidth="1"/>
    <col min="6" max="6" width="12" style="32" customWidth="1"/>
    <col min="7" max="7" width="11" style="32" bestFit="1" customWidth="1"/>
    <col min="8" max="8" width="12.42578125" style="32" customWidth="1"/>
    <col min="9" max="9" width="12.85546875" style="32" customWidth="1"/>
    <col min="10" max="10" width="13.42578125" style="32" customWidth="1"/>
    <col min="11" max="11" width="12.140625" style="32" customWidth="1"/>
    <col min="12" max="12" width="34.140625" style="32" customWidth="1"/>
    <col min="13" max="16384" width="8.85546875" style="32"/>
  </cols>
  <sheetData>
    <row r="1" spans="1:12" x14ac:dyDescent="0.25">
      <c r="A1" s="26" t="s">
        <v>100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2" x14ac:dyDescent="0.25">
      <c r="A2" s="25"/>
      <c r="B2" s="25"/>
      <c r="C2" s="25"/>
      <c r="D2" s="72" t="s">
        <v>10</v>
      </c>
      <c r="E2" s="72"/>
      <c r="F2" s="72"/>
      <c r="G2" s="72"/>
      <c r="H2" s="72"/>
      <c r="I2" s="72"/>
      <c r="J2" s="25"/>
      <c r="K2" s="25"/>
    </row>
    <row r="3" spans="1:12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5</v>
      </c>
      <c r="I3" s="26" t="s">
        <v>8</v>
      </c>
      <c r="J3" s="26" t="s">
        <v>9</v>
      </c>
      <c r="K3" s="27" t="s">
        <v>30</v>
      </c>
      <c r="L3" s="26" t="s">
        <v>140</v>
      </c>
    </row>
    <row r="4" spans="1:12" x14ac:dyDescent="0.25">
      <c r="A4" s="33">
        <v>1</v>
      </c>
      <c r="B4" s="25" t="s">
        <v>121</v>
      </c>
      <c r="C4" s="25"/>
      <c r="D4" s="34">
        <v>35000</v>
      </c>
      <c r="E4" s="34">
        <v>1000</v>
      </c>
      <c r="F4" s="34"/>
      <c r="G4" s="34">
        <v>9550</v>
      </c>
      <c r="H4" s="34"/>
      <c r="I4" s="34">
        <f t="shared" ref="I4:I18" si="0">SUM(C4:H4)</f>
        <v>45550</v>
      </c>
      <c r="J4" s="34">
        <v>30000</v>
      </c>
      <c r="K4" s="34">
        <f>SUM(I4-J4)</f>
        <v>15550</v>
      </c>
      <c r="L4" s="31"/>
    </row>
    <row r="5" spans="1:12" x14ac:dyDescent="0.25">
      <c r="A5" s="33">
        <v>2</v>
      </c>
      <c r="B5" s="25" t="s">
        <v>122</v>
      </c>
      <c r="C5" s="25"/>
      <c r="D5" s="34">
        <v>35000</v>
      </c>
      <c r="E5" s="34">
        <v>1000</v>
      </c>
      <c r="F5" s="34"/>
      <c r="G5" s="34">
        <v>9550</v>
      </c>
      <c r="H5" s="34"/>
      <c r="I5" s="34">
        <f t="shared" si="0"/>
        <v>45550</v>
      </c>
      <c r="J5" s="34">
        <v>45550</v>
      </c>
      <c r="K5" s="34">
        <f t="shared" ref="K5:K11" si="1">SUM(I5-J5)</f>
        <v>0</v>
      </c>
      <c r="L5" s="31">
        <v>43377</v>
      </c>
    </row>
    <row r="6" spans="1:12" x14ac:dyDescent="0.25">
      <c r="A6" s="33">
        <v>3</v>
      </c>
      <c r="B6" s="25" t="s">
        <v>123</v>
      </c>
      <c r="C6" s="25">
        <v>5000</v>
      </c>
      <c r="D6" s="34">
        <v>35000</v>
      </c>
      <c r="E6" s="34">
        <v>1000</v>
      </c>
      <c r="F6" s="34"/>
      <c r="G6" s="34">
        <v>9550</v>
      </c>
      <c r="H6" s="34">
        <v>15000</v>
      </c>
      <c r="I6" s="34">
        <f t="shared" si="0"/>
        <v>65550</v>
      </c>
      <c r="J6" s="34">
        <f>60550+5000</f>
        <v>65550</v>
      </c>
      <c r="K6" s="34">
        <f t="shared" si="1"/>
        <v>0</v>
      </c>
      <c r="L6" s="31"/>
    </row>
    <row r="7" spans="1:12" ht="15.6" customHeight="1" x14ac:dyDescent="0.25">
      <c r="A7" s="33">
        <v>4</v>
      </c>
      <c r="B7" s="25" t="s">
        <v>126</v>
      </c>
      <c r="C7" s="25"/>
      <c r="D7" s="34">
        <v>35000</v>
      </c>
      <c r="E7" s="34">
        <v>1000</v>
      </c>
      <c r="F7" s="34"/>
      <c r="G7" s="34">
        <v>9550</v>
      </c>
      <c r="H7" s="34"/>
      <c r="I7" s="34">
        <f t="shared" si="0"/>
        <v>45550</v>
      </c>
      <c r="J7" s="34">
        <v>9550</v>
      </c>
      <c r="K7" s="34">
        <f t="shared" si="1"/>
        <v>36000</v>
      </c>
      <c r="L7" s="31" t="s">
        <v>214</v>
      </c>
    </row>
    <row r="8" spans="1:12" x14ac:dyDescent="0.25">
      <c r="A8" s="33">
        <v>5</v>
      </c>
      <c r="B8" s="25" t="s">
        <v>127</v>
      </c>
      <c r="C8" s="25"/>
      <c r="D8" s="34">
        <v>35000</v>
      </c>
      <c r="E8" s="34">
        <v>1000</v>
      </c>
      <c r="F8" s="34"/>
      <c r="G8" s="34">
        <v>9550</v>
      </c>
      <c r="H8" s="34"/>
      <c r="I8" s="34">
        <f t="shared" si="0"/>
        <v>45550</v>
      </c>
      <c r="J8" s="34">
        <f>9550+36000</f>
        <v>45550</v>
      </c>
      <c r="K8" s="34">
        <f t="shared" si="1"/>
        <v>0</v>
      </c>
      <c r="L8" s="31">
        <v>43419</v>
      </c>
    </row>
    <row r="9" spans="1:12" x14ac:dyDescent="0.25">
      <c r="A9" s="33">
        <v>6</v>
      </c>
      <c r="B9" s="25" t="s">
        <v>128</v>
      </c>
      <c r="C9" s="25"/>
      <c r="D9" s="34">
        <v>35000</v>
      </c>
      <c r="E9" s="34">
        <v>1000</v>
      </c>
      <c r="F9" s="34"/>
      <c r="G9" s="34">
        <v>9550</v>
      </c>
      <c r="H9" s="34">
        <v>10000</v>
      </c>
      <c r="I9" s="34">
        <f t="shared" si="0"/>
        <v>55550</v>
      </c>
      <c r="J9" s="34">
        <f>45550+10000</f>
        <v>55550</v>
      </c>
      <c r="K9" s="34">
        <f t="shared" si="1"/>
        <v>0</v>
      </c>
      <c r="L9" s="31">
        <v>43347</v>
      </c>
    </row>
    <row r="10" spans="1:12" ht="15.6" customHeight="1" x14ac:dyDescent="0.25">
      <c r="A10" s="33">
        <v>7</v>
      </c>
      <c r="B10" s="25" t="s">
        <v>129</v>
      </c>
      <c r="C10" s="25"/>
      <c r="D10" s="34">
        <v>35000</v>
      </c>
      <c r="E10" s="34">
        <v>1000</v>
      </c>
      <c r="F10" s="34"/>
      <c r="G10" s="34">
        <v>9550</v>
      </c>
      <c r="H10" s="34">
        <v>7500</v>
      </c>
      <c r="I10" s="34">
        <f t="shared" si="0"/>
        <v>53050</v>
      </c>
      <c r="J10" s="34">
        <v>53050</v>
      </c>
      <c r="K10" s="34">
        <f t="shared" si="1"/>
        <v>0</v>
      </c>
      <c r="L10" s="31">
        <v>43348</v>
      </c>
    </row>
    <row r="11" spans="1:12" x14ac:dyDescent="0.25">
      <c r="A11" s="33">
        <v>8</v>
      </c>
      <c r="B11" s="25" t="s">
        <v>131</v>
      </c>
      <c r="C11" s="25"/>
      <c r="D11" s="34">
        <v>35000</v>
      </c>
      <c r="E11" s="34">
        <v>1000</v>
      </c>
      <c r="F11" s="34"/>
      <c r="G11" s="34">
        <v>9550</v>
      </c>
      <c r="H11" s="34"/>
      <c r="I11" s="34">
        <f t="shared" si="0"/>
        <v>45550</v>
      </c>
      <c r="J11" s="34">
        <v>45000</v>
      </c>
      <c r="K11" s="34">
        <f t="shared" si="1"/>
        <v>550</v>
      </c>
      <c r="L11" s="31">
        <v>43376</v>
      </c>
    </row>
    <row r="12" spans="1:12" x14ac:dyDescent="0.25">
      <c r="A12" s="33">
        <v>9</v>
      </c>
      <c r="B12" s="25" t="s">
        <v>132</v>
      </c>
      <c r="C12" s="25"/>
      <c r="D12" s="34">
        <v>35000</v>
      </c>
      <c r="E12" s="34">
        <v>1000</v>
      </c>
      <c r="F12" s="34"/>
      <c r="G12" s="34">
        <v>9550</v>
      </c>
      <c r="H12" s="34"/>
      <c r="I12" s="34">
        <f t="shared" si="0"/>
        <v>45550</v>
      </c>
      <c r="J12" s="34">
        <f>9550+36000</f>
        <v>45550</v>
      </c>
      <c r="K12" s="34">
        <f>SUM(I12-J12)</f>
        <v>0</v>
      </c>
      <c r="L12" s="31">
        <v>43321</v>
      </c>
    </row>
    <row r="13" spans="1:12" x14ac:dyDescent="0.25">
      <c r="A13" s="33">
        <v>10</v>
      </c>
      <c r="B13" s="25" t="s">
        <v>136</v>
      </c>
      <c r="C13" s="25"/>
      <c r="D13" s="34">
        <v>35000</v>
      </c>
      <c r="E13" s="34">
        <v>1000</v>
      </c>
      <c r="F13" s="40"/>
      <c r="G13" s="34">
        <v>9550</v>
      </c>
      <c r="H13" s="40"/>
      <c r="I13" s="34">
        <v>36550</v>
      </c>
      <c r="J13" s="34">
        <f>30000+6550</f>
        <v>36550</v>
      </c>
      <c r="K13" s="34">
        <f t="shared" ref="K13:K19" si="2">SUM(I13-J13)</f>
        <v>0</v>
      </c>
      <c r="L13" s="31" t="s">
        <v>203</v>
      </c>
    </row>
    <row r="14" spans="1:12" x14ac:dyDescent="0.25">
      <c r="A14" s="33">
        <v>11</v>
      </c>
      <c r="B14" s="25" t="s">
        <v>142</v>
      </c>
      <c r="C14" s="25"/>
      <c r="D14" s="34">
        <v>35000</v>
      </c>
      <c r="E14" s="34">
        <v>1000</v>
      </c>
      <c r="F14" s="40"/>
      <c r="G14" s="34">
        <v>9550</v>
      </c>
      <c r="H14" s="40"/>
      <c r="I14" s="34">
        <f t="shared" si="0"/>
        <v>45550</v>
      </c>
      <c r="J14" s="34">
        <v>29860</v>
      </c>
      <c r="K14" s="34">
        <f t="shared" si="2"/>
        <v>15690</v>
      </c>
      <c r="L14" s="65">
        <v>43425</v>
      </c>
    </row>
    <row r="15" spans="1:12" ht="15.6" customHeight="1" x14ac:dyDescent="0.25">
      <c r="A15" s="33">
        <v>12</v>
      </c>
      <c r="B15" s="25" t="s">
        <v>155</v>
      </c>
      <c r="C15" s="25"/>
      <c r="D15" s="34">
        <v>36000</v>
      </c>
      <c r="E15" s="34">
        <v>1000</v>
      </c>
      <c r="F15" s="30">
        <v>15500</v>
      </c>
      <c r="G15" s="34">
        <v>9550</v>
      </c>
      <c r="H15" s="40"/>
      <c r="I15" s="34">
        <f>SUM(C15:H15)</f>
        <v>62050</v>
      </c>
      <c r="J15" s="34">
        <f>SUM(D15:G15)</f>
        <v>62050</v>
      </c>
      <c r="K15" s="34">
        <f t="shared" si="2"/>
        <v>0</v>
      </c>
      <c r="L15" s="25" t="s">
        <v>234</v>
      </c>
    </row>
    <row r="16" spans="1:12" x14ac:dyDescent="0.25">
      <c r="A16" s="33">
        <v>13</v>
      </c>
      <c r="B16" s="25" t="s">
        <v>156</v>
      </c>
      <c r="C16" s="25"/>
      <c r="D16" s="34">
        <v>35000</v>
      </c>
      <c r="E16" s="34">
        <v>1000</v>
      </c>
      <c r="F16" s="30">
        <v>15500</v>
      </c>
      <c r="G16" s="34">
        <v>9550</v>
      </c>
      <c r="H16" s="40"/>
      <c r="I16" s="34">
        <f t="shared" si="0"/>
        <v>61050</v>
      </c>
      <c r="J16" s="34">
        <v>61050</v>
      </c>
      <c r="K16" s="34">
        <f t="shared" si="2"/>
        <v>0</v>
      </c>
      <c r="L16" s="31"/>
    </row>
    <row r="17" spans="1:12" x14ac:dyDescent="0.25">
      <c r="A17" s="33">
        <v>14</v>
      </c>
      <c r="B17" s="25" t="s">
        <v>157</v>
      </c>
      <c r="C17" s="25"/>
      <c r="D17" s="34">
        <v>35000</v>
      </c>
      <c r="E17" s="34">
        <v>1000</v>
      </c>
      <c r="F17" s="40"/>
      <c r="G17" s="34">
        <v>9550</v>
      </c>
      <c r="H17" s="40"/>
      <c r="I17" s="34">
        <v>62050</v>
      </c>
      <c r="J17" s="34">
        <f>25000+20000+17050</f>
        <v>62050</v>
      </c>
      <c r="K17" s="34">
        <f t="shared" si="2"/>
        <v>0</v>
      </c>
      <c r="L17" s="31">
        <v>43350</v>
      </c>
    </row>
    <row r="18" spans="1:12" x14ac:dyDescent="0.25">
      <c r="A18" s="33">
        <v>15</v>
      </c>
      <c r="B18" s="25" t="s">
        <v>159</v>
      </c>
      <c r="C18" s="25"/>
      <c r="D18" s="34">
        <v>35000</v>
      </c>
      <c r="E18" s="34">
        <v>1000</v>
      </c>
      <c r="F18" s="25">
        <v>15500</v>
      </c>
      <c r="G18" s="34">
        <v>9550</v>
      </c>
      <c r="H18" s="25"/>
      <c r="I18" s="34">
        <f t="shared" si="0"/>
        <v>61050</v>
      </c>
      <c r="J18" s="34">
        <f>35000+20000+6050</f>
        <v>61050</v>
      </c>
      <c r="K18" s="34">
        <f t="shared" si="2"/>
        <v>0</v>
      </c>
      <c r="L18" s="31" t="s">
        <v>233</v>
      </c>
    </row>
    <row r="19" spans="1:12" x14ac:dyDescent="0.25">
      <c r="A19" s="33">
        <v>16</v>
      </c>
      <c r="B19" s="25" t="s">
        <v>158</v>
      </c>
      <c r="C19" s="25"/>
      <c r="D19" s="34">
        <v>35000</v>
      </c>
      <c r="E19" s="34">
        <v>1000</v>
      </c>
      <c r="F19" s="25"/>
      <c r="G19" s="34">
        <v>9550</v>
      </c>
      <c r="H19" s="25"/>
      <c r="I19" s="34">
        <v>61050</v>
      </c>
      <c r="J19" s="34">
        <f>15000+20000</f>
        <v>35000</v>
      </c>
      <c r="K19" s="34">
        <f t="shared" si="2"/>
        <v>26050</v>
      </c>
      <c r="L19" s="31" t="s">
        <v>195</v>
      </c>
    </row>
    <row r="20" spans="1:12" x14ac:dyDescent="0.25">
      <c r="A20" s="33">
        <v>17</v>
      </c>
      <c r="B20" s="25" t="s">
        <v>69</v>
      </c>
      <c r="C20" s="25"/>
      <c r="D20" s="34">
        <f t="shared" ref="D20:J20" si="3">SUM(D4:D19)</f>
        <v>561000</v>
      </c>
      <c r="E20" s="34">
        <f t="shared" si="3"/>
        <v>16000</v>
      </c>
      <c r="F20" s="34">
        <f t="shared" si="3"/>
        <v>46500</v>
      </c>
      <c r="G20" s="34">
        <f t="shared" si="3"/>
        <v>152800</v>
      </c>
      <c r="H20" s="34">
        <f t="shared" si="3"/>
        <v>32500</v>
      </c>
      <c r="I20" s="34">
        <f t="shared" si="3"/>
        <v>836800</v>
      </c>
      <c r="J20" s="34">
        <f t="shared" si="3"/>
        <v>742960</v>
      </c>
      <c r="K20" s="34">
        <f>SUM(K4:K19)</f>
        <v>93840</v>
      </c>
      <c r="L20" s="31"/>
    </row>
    <row r="21" spans="1:12" x14ac:dyDescent="0.25">
      <c r="A21" s="33">
        <v>18</v>
      </c>
      <c r="L21" s="34"/>
    </row>
    <row r="22" spans="1:12" x14ac:dyDescent="0.25">
      <c r="A22" s="41">
        <v>20</v>
      </c>
    </row>
    <row r="26" spans="1:12" x14ac:dyDescent="0.25">
      <c r="I26" s="34"/>
    </row>
  </sheetData>
  <mergeCells count="1">
    <mergeCell ref="D2:I2"/>
  </mergeCells>
  <pageMargins left="0.7" right="0.7" top="0.75" bottom="0.75" header="0.3" footer="0.3"/>
  <pageSetup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"/>
  <sheetViews>
    <sheetView zoomScale="91" zoomScaleNormal="91" workbookViewId="0">
      <selection activeCell="I9" sqref="I9"/>
    </sheetView>
  </sheetViews>
  <sheetFormatPr defaultColWidth="8.85546875" defaultRowHeight="15.75" x14ac:dyDescent="0.25"/>
  <cols>
    <col min="1" max="1" width="5.5703125" style="32" bestFit="1" customWidth="1"/>
    <col min="2" max="2" width="30.85546875" style="32" customWidth="1"/>
    <col min="3" max="3" width="11.5703125" style="32" bestFit="1" customWidth="1"/>
    <col min="4" max="4" width="9" style="32" customWidth="1"/>
    <col min="5" max="5" width="11.7109375" style="32" customWidth="1"/>
    <col min="6" max="6" width="10.140625" style="32" customWidth="1"/>
    <col min="7" max="7" width="10.42578125" style="32" bestFit="1" customWidth="1"/>
    <col min="8" max="8" width="12.7109375" style="32" customWidth="1"/>
    <col min="9" max="9" width="12.85546875" style="32" customWidth="1"/>
    <col min="10" max="10" width="15.140625" style="32" customWidth="1"/>
    <col min="11" max="11" width="40.140625" style="32" customWidth="1"/>
    <col min="12" max="12" width="11.85546875" style="32" bestFit="1" customWidth="1"/>
    <col min="13" max="13" width="12" style="32" customWidth="1"/>
    <col min="14" max="14" width="4.85546875" style="32" customWidth="1"/>
    <col min="15" max="15" width="14.85546875" style="32" customWidth="1"/>
    <col min="16" max="16384" width="8.85546875" style="32"/>
  </cols>
  <sheetData>
    <row r="1" spans="1:15" x14ac:dyDescent="0.25">
      <c r="A1" s="26" t="s">
        <v>22</v>
      </c>
      <c r="B1" s="25"/>
      <c r="C1" s="25"/>
      <c r="D1" s="25"/>
      <c r="E1" s="25"/>
      <c r="F1" s="25"/>
      <c r="G1" s="25"/>
      <c r="H1" s="25"/>
      <c r="I1" s="25"/>
      <c r="J1" s="25"/>
    </row>
    <row r="2" spans="1:15" x14ac:dyDescent="0.25">
      <c r="A2" s="25"/>
      <c r="B2" s="25"/>
      <c r="C2" s="39" t="s">
        <v>10</v>
      </c>
      <c r="D2" s="39"/>
      <c r="E2" s="39"/>
      <c r="F2" s="39"/>
      <c r="G2" s="39"/>
      <c r="H2" s="39"/>
      <c r="I2" s="25"/>
      <c r="J2" s="25"/>
      <c r="K2" s="25"/>
      <c r="L2" s="25"/>
      <c r="M2" s="25"/>
    </row>
    <row r="3" spans="1:15" x14ac:dyDescent="0.25">
      <c r="A3" s="26" t="s">
        <v>6</v>
      </c>
      <c r="B3" s="26" t="s">
        <v>0</v>
      </c>
      <c r="C3" s="26" t="s">
        <v>1</v>
      </c>
      <c r="D3" s="26" t="s">
        <v>2</v>
      </c>
      <c r="E3" s="26" t="s">
        <v>55</v>
      </c>
      <c r="F3" s="26" t="s">
        <v>3</v>
      </c>
      <c r="G3" s="26" t="s">
        <v>5</v>
      </c>
      <c r="H3" s="26" t="s">
        <v>8</v>
      </c>
      <c r="I3" s="26" t="s">
        <v>9</v>
      </c>
      <c r="J3" s="27" t="s">
        <v>30</v>
      </c>
      <c r="K3" s="26" t="s">
        <v>140</v>
      </c>
      <c r="L3" s="25"/>
      <c r="M3" s="25"/>
    </row>
    <row r="4" spans="1:15" x14ac:dyDescent="0.25">
      <c r="A4" s="28">
        <v>1</v>
      </c>
      <c r="B4" s="25" t="s">
        <v>102</v>
      </c>
      <c r="C4" s="34">
        <v>35000</v>
      </c>
      <c r="D4" s="34">
        <v>1000</v>
      </c>
      <c r="E4" s="34"/>
      <c r="F4" s="34">
        <v>12450</v>
      </c>
      <c r="G4" s="34"/>
      <c r="H4" s="34">
        <f>C4+D4+E4+F4+G4</f>
        <v>48450</v>
      </c>
      <c r="I4" s="34">
        <v>47450</v>
      </c>
      <c r="J4" s="34">
        <f>H4-I4</f>
        <v>1000</v>
      </c>
      <c r="K4" s="31">
        <v>43332</v>
      </c>
      <c r="L4" s="25"/>
      <c r="M4" s="25"/>
    </row>
    <row r="5" spans="1:15" x14ac:dyDescent="0.25">
      <c r="A5" s="28">
        <v>2</v>
      </c>
      <c r="B5" s="25" t="s">
        <v>139</v>
      </c>
      <c r="C5" s="34">
        <v>35000</v>
      </c>
      <c r="D5" s="34">
        <v>1000</v>
      </c>
      <c r="E5" s="34"/>
      <c r="F5" s="34">
        <v>12450</v>
      </c>
      <c r="G5" s="34"/>
      <c r="H5" s="34">
        <f t="shared" ref="H5" si="0">C5+D5+E5+F5+G5</f>
        <v>48450</v>
      </c>
      <c r="I5" s="34">
        <f>30000+18450</f>
        <v>48450</v>
      </c>
      <c r="J5" s="34">
        <f t="shared" ref="J5:J21" si="1">H5-I5</f>
        <v>0</v>
      </c>
      <c r="K5" s="31">
        <v>43354</v>
      </c>
      <c r="L5" s="25"/>
      <c r="M5" s="25"/>
    </row>
    <row r="6" spans="1:15" x14ac:dyDescent="0.25">
      <c r="A6" s="28">
        <v>3</v>
      </c>
      <c r="B6" s="25" t="s">
        <v>103</v>
      </c>
      <c r="C6" s="34">
        <v>35000</v>
      </c>
      <c r="D6" s="34">
        <v>1000</v>
      </c>
      <c r="E6" s="34"/>
      <c r="F6" s="34">
        <v>12450</v>
      </c>
      <c r="G6" s="34"/>
      <c r="H6" s="34">
        <f t="shared" ref="H6" si="2">SUM(C6:G6)</f>
        <v>48450</v>
      </c>
      <c r="I6" s="34">
        <v>12450</v>
      </c>
      <c r="J6" s="34">
        <f t="shared" si="1"/>
        <v>36000</v>
      </c>
      <c r="K6" s="31" t="s">
        <v>210</v>
      </c>
      <c r="L6" s="25"/>
      <c r="M6" s="25"/>
    </row>
    <row r="7" spans="1:15" x14ac:dyDescent="0.25">
      <c r="A7" s="28">
        <v>4</v>
      </c>
      <c r="B7" s="25" t="s">
        <v>108</v>
      </c>
      <c r="C7" s="34">
        <v>35000</v>
      </c>
      <c r="D7" s="34">
        <v>1000</v>
      </c>
      <c r="E7" s="34"/>
      <c r="F7" s="34">
        <v>12450</v>
      </c>
      <c r="G7" s="34"/>
      <c r="H7" s="34">
        <f t="shared" ref="H7" si="3">C7+D7+E7+F7+G7</f>
        <v>48450</v>
      </c>
      <c r="I7" s="34">
        <f>12450+22000+14000</f>
        <v>48450</v>
      </c>
      <c r="J7" s="34">
        <f>H7-I7</f>
        <v>0</v>
      </c>
      <c r="K7" s="31">
        <v>43356</v>
      </c>
      <c r="L7" s="25"/>
      <c r="M7" s="25"/>
    </row>
    <row r="8" spans="1:15" x14ac:dyDescent="0.25">
      <c r="A8" s="28">
        <v>5</v>
      </c>
      <c r="B8" s="25" t="s">
        <v>107</v>
      </c>
      <c r="C8" s="34">
        <v>35000</v>
      </c>
      <c r="D8" s="34">
        <v>1000</v>
      </c>
      <c r="E8" s="34"/>
      <c r="F8" s="34">
        <v>12450</v>
      </c>
      <c r="G8" s="34"/>
      <c r="H8" s="34">
        <f t="shared" ref="H8" si="4">SUM(C8:G8)</f>
        <v>48450</v>
      </c>
      <c r="I8" s="34">
        <f>20000+19400+9050</f>
        <v>48450</v>
      </c>
      <c r="J8" s="34">
        <f>H8-I8</f>
        <v>0</v>
      </c>
      <c r="K8" s="33">
        <v>43375</v>
      </c>
      <c r="L8" s="25"/>
      <c r="M8" s="25"/>
    </row>
    <row r="9" spans="1:15" x14ac:dyDescent="0.25">
      <c r="A9" s="28">
        <v>6</v>
      </c>
      <c r="B9" s="25" t="s">
        <v>78</v>
      </c>
      <c r="C9" s="34">
        <v>35000</v>
      </c>
      <c r="D9" s="34">
        <v>1000</v>
      </c>
      <c r="E9" s="34"/>
      <c r="F9" s="34">
        <v>12450</v>
      </c>
      <c r="G9" s="34"/>
      <c r="H9" s="34">
        <f t="shared" ref="H9" si="5">C9+D9+E9+F9+G9</f>
        <v>48450</v>
      </c>
      <c r="I9" s="34">
        <f>25000+23450</f>
        <v>48450</v>
      </c>
      <c r="J9" s="34">
        <f t="shared" si="1"/>
        <v>0</v>
      </c>
      <c r="K9" s="31" t="s">
        <v>230</v>
      </c>
      <c r="L9" s="31">
        <v>43404</v>
      </c>
    </row>
    <row r="10" spans="1:15" x14ac:dyDescent="0.25">
      <c r="A10" s="28">
        <v>7</v>
      </c>
      <c r="B10" s="25" t="s">
        <v>77</v>
      </c>
      <c r="C10" s="34">
        <v>35000</v>
      </c>
      <c r="D10" s="34">
        <v>1000</v>
      </c>
      <c r="E10" s="34"/>
      <c r="F10" s="34">
        <v>12450</v>
      </c>
      <c r="G10" s="34"/>
      <c r="H10" s="34">
        <f t="shared" ref="H10" si="6">SUM(C10:G10)</f>
        <v>48450</v>
      </c>
      <c r="I10" s="34">
        <f>25000+23450</f>
        <v>48450</v>
      </c>
      <c r="J10" s="34">
        <f t="shared" si="1"/>
        <v>0</v>
      </c>
      <c r="K10" s="31" t="s">
        <v>213</v>
      </c>
      <c r="L10" s="25"/>
      <c r="M10" s="25"/>
      <c r="O10" s="65"/>
    </row>
    <row r="11" spans="1:15" x14ac:dyDescent="0.25">
      <c r="A11" s="28">
        <v>8</v>
      </c>
      <c r="B11" s="25" t="s">
        <v>94</v>
      </c>
      <c r="C11" s="34">
        <v>35000</v>
      </c>
      <c r="D11" s="34">
        <v>1000</v>
      </c>
      <c r="E11" s="34">
        <v>4500</v>
      </c>
      <c r="F11" s="34">
        <v>12450</v>
      </c>
      <c r="G11" s="34"/>
      <c r="H11" s="34">
        <f t="shared" ref="H11" si="7">C11+D11+E11+F11+G11</f>
        <v>52950</v>
      </c>
      <c r="I11" s="34">
        <v>57950</v>
      </c>
      <c r="J11" s="34">
        <f t="shared" si="1"/>
        <v>-5000</v>
      </c>
      <c r="K11" s="31" t="s">
        <v>213</v>
      </c>
      <c r="L11" s="25"/>
      <c r="M11" s="25"/>
    </row>
    <row r="12" spans="1:15" x14ac:dyDescent="0.25">
      <c r="A12" s="28">
        <v>9</v>
      </c>
      <c r="B12" s="25" t="s">
        <v>97</v>
      </c>
      <c r="C12" s="34">
        <v>35000</v>
      </c>
      <c r="D12" s="34">
        <v>1000</v>
      </c>
      <c r="E12" s="34"/>
      <c r="F12" s="34">
        <v>12450</v>
      </c>
      <c r="G12" s="34"/>
      <c r="H12" s="34">
        <f t="shared" ref="H12" si="8">SUM(C12:G12)</f>
        <v>48450</v>
      </c>
      <c r="I12" s="34">
        <v>48450</v>
      </c>
      <c r="J12" s="34">
        <f t="shared" si="1"/>
        <v>0</v>
      </c>
      <c r="K12" s="31">
        <v>43353</v>
      </c>
      <c r="L12" s="25"/>
      <c r="M12" s="25"/>
    </row>
    <row r="13" spans="1:15" x14ac:dyDescent="0.25">
      <c r="A13" s="28">
        <v>10</v>
      </c>
      <c r="B13" s="25" t="s">
        <v>96</v>
      </c>
      <c r="C13" s="34">
        <v>35000</v>
      </c>
      <c r="D13" s="34">
        <v>1000</v>
      </c>
      <c r="E13" s="34"/>
      <c r="F13" s="34">
        <v>12450</v>
      </c>
      <c r="G13" s="34"/>
      <c r="H13" s="34">
        <f t="shared" ref="H13" si="9">C13+D13+E13+F13+G13</f>
        <v>48450</v>
      </c>
      <c r="I13" s="34">
        <f>20000+28450</f>
        <v>48450</v>
      </c>
      <c r="J13" s="34">
        <f t="shared" si="1"/>
        <v>0</v>
      </c>
      <c r="K13" s="31">
        <v>43227</v>
      </c>
      <c r="L13" s="25"/>
      <c r="M13" s="25"/>
    </row>
    <row r="14" spans="1:15" x14ac:dyDescent="0.25">
      <c r="A14" s="28">
        <v>11</v>
      </c>
      <c r="B14" s="25" t="s">
        <v>109</v>
      </c>
      <c r="C14" s="34">
        <v>35000</v>
      </c>
      <c r="D14" s="34">
        <v>1000</v>
      </c>
      <c r="E14" s="34"/>
      <c r="F14" s="34">
        <v>12450</v>
      </c>
      <c r="G14" s="34"/>
      <c r="H14" s="34">
        <f t="shared" ref="H14" si="10">SUM(C14:G14)</f>
        <v>48450</v>
      </c>
      <c r="I14" s="34"/>
      <c r="J14" s="34">
        <f t="shared" si="1"/>
        <v>48450</v>
      </c>
      <c r="K14" s="31" t="s">
        <v>215</v>
      </c>
      <c r="L14" s="25"/>
      <c r="M14" s="25"/>
    </row>
    <row r="15" spans="1:15" x14ac:dyDescent="0.25">
      <c r="A15" s="28">
        <v>12</v>
      </c>
      <c r="B15" s="25" t="s">
        <v>110</v>
      </c>
      <c r="C15" s="34">
        <v>35000</v>
      </c>
      <c r="D15" s="34">
        <v>1000</v>
      </c>
      <c r="E15" s="34"/>
      <c r="F15" s="34">
        <v>12450</v>
      </c>
      <c r="G15" s="34"/>
      <c r="H15" s="34">
        <f t="shared" ref="H15" si="11">C15+D15+E15+F15+G15</f>
        <v>48450</v>
      </c>
      <c r="I15" s="34"/>
      <c r="J15" s="34">
        <f t="shared" si="1"/>
        <v>48450</v>
      </c>
      <c r="K15" s="25"/>
      <c r="L15" s="25"/>
      <c r="M15" s="25"/>
    </row>
    <row r="16" spans="1:15" x14ac:dyDescent="0.25">
      <c r="A16" s="28">
        <v>13</v>
      </c>
      <c r="B16" s="25" t="s">
        <v>116</v>
      </c>
      <c r="C16" s="34">
        <v>35000</v>
      </c>
      <c r="D16" s="34">
        <v>1000</v>
      </c>
      <c r="E16" s="34"/>
      <c r="F16" s="34">
        <v>12450</v>
      </c>
      <c r="G16" s="34"/>
      <c r="H16" s="34">
        <f t="shared" ref="H16" si="12">C16+D16+E16+F16+G16</f>
        <v>48450</v>
      </c>
      <c r="I16" s="71">
        <f>12450+26000+10000</f>
        <v>48450</v>
      </c>
      <c r="J16" s="34">
        <f>H16-I16</f>
        <v>0</v>
      </c>
      <c r="K16" s="25"/>
      <c r="L16" s="25"/>
      <c r="M16" s="25"/>
    </row>
    <row r="17" spans="1:13" x14ac:dyDescent="0.25">
      <c r="A17" s="28">
        <v>14</v>
      </c>
      <c r="B17" s="25" t="s">
        <v>124</v>
      </c>
      <c r="C17" s="34">
        <v>35000</v>
      </c>
      <c r="D17" s="34">
        <v>1000</v>
      </c>
      <c r="E17" s="34">
        <v>4500</v>
      </c>
      <c r="F17" s="34">
        <v>12450</v>
      </c>
      <c r="G17" s="34"/>
      <c r="H17" s="34">
        <f t="shared" ref="H17" si="13">SUM(C17:G17)</f>
        <v>52950</v>
      </c>
      <c r="I17" s="34">
        <v>52950</v>
      </c>
      <c r="J17" s="34">
        <f t="shared" si="1"/>
        <v>0</v>
      </c>
      <c r="K17" s="31">
        <v>43389</v>
      </c>
      <c r="L17" s="25"/>
      <c r="M17" s="25"/>
    </row>
    <row r="18" spans="1:13" x14ac:dyDescent="0.25">
      <c r="A18" s="28">
        <v>15</v>
      </c>
      <c r="B18" s="25" t="s">
        <v>130</v>
      </c>
      <c r="C18" s="34">
        <v>35000</v>
      </c>
      <c r="D18" s="34">
        <v>1000</v>
      </c>
      <c r="E18" s="34"/>
      <c r="F18" s="34">
        <v>12450</v>
      </c>
      <c r="G18" s="34">
        <v>7500</v>
      </c>
      <c r="H18" s="34">
        <f t="shared" ref="H18" si="14">C18+D18+E18+F18+G18</f>
        <v>55950</v>
      </c>
      <c r="I18" s="34">
        <v>55950</v>
      </c>
      <c r="J18" s="34">
        <f t="shared" si="1"/>
        <v>0</v>
      </c>
      <c r="K18" s="31" t="s">
        <v>207</v>
      </c>
      <c r="L18" s="25"/>
      <c r="M18" s="25"/>
    </row>
    <row r="19" spans="1:13" x14ac:dyDescent="0.25">
      <c r="A19" s="28">
        <v>16</v>
      </c>
      <c r="B19" s="25" t="s">
        <v>114</v>
      </c>
      <c r="C19" s="34">
        <v>35000</v>
      </c>
      <c r="D19" s="34">
        <v>1000</v>
      </c>
      <c r="E19" s="34"/>
      <c r="F19" s="34">
        <v>12450</v>
      </c>
      <c r="G19" s="34"/>
      <c r="H19" s="34">
        <f t="shared" ref="H19" si="15">SUM(C19:G19)</f>
        <v>48450</v>
      </c>
      <c r="I19" s="34">
        <f>30000+18450</f>
        <v>48450</v>
      </c>
      <c r="J19" s="34">
        <f t="shared" si="1"/>
        <v>0</v>
      </c>
      <c r="K19" s="31">
        <v>43361</v>
      </c>
      <c r="L19" s="25"/>
      <c r="M19" s="25"/>
    </row>
    <row r="20" spans="1:13" x14ac:dyDescent="0.25">
      <c r="A20" s="28">
        <v>17</v>
      </c>
      <c r="B20" s="25" t="s">
        <v>160</v>
      </c>
      <c r="C20" s="34">
        <v>35000</v>
      </c>
      <c r="D20" s="34">
        <v>1000</v>
      </c>
      <c r="E20" s="34">
        <v>15500</v>
      </c>
      <c r="F20" s="34">
        <v>12450</v>
      </c>
      <c r="G20" s="34"/>
      <c r="H20" s="34">
        <v>64950</v>
      </c>
      <c r="I20" s="64">
        <f>60950+4000</f>
        <v>64950</v>
      </c>
      <c r="J20" s="34">
        <f t="shared" si="1"/>
        <v>0</v>
      </c>
      <c r="K20" s="31">
        <v>43376</v>
      </c>
      <c r="L20" s="25"/>
      <c r="M20" s="25"/>
    </row>
    <row r="21" spans="1:13" x14ac:dyDescent="0.25">
      <c r="A21" s="28">
        <v>18</v>
      </c>
      <c r="B21" s="25" t="s">
        <v>161</v>
      </c>
      <c r="C21" s="34">
        <v>35000</v>
      </c>
      <c r="D21" s="34">
        <v>1000</v>
      </c>
      <c r="E21" s="34"/>
      <c r="F21" s="34">
        <v>12450</v>
      </c>
      <c r="G21" s="34"/>
      <c r="H21" s="34">
        <f t="shared" ref="H21" si="16">SUM(C21:G21)</f>
        <v>48450</v>
      </c>
      <c r="I21" s="34">
        <v>48450</v>
      </c>
      <c r="J21" s="34">
        <f t="shared" si="1"/>
        <v>0</v>
      </c>
      <c r="K21" s="31">
        <v>43356</v>
      </c>
      <c r="L21" s="31">
        <v>43370</v>
      </c>
      <c r="M21" s="25"/>
    </row>
    <row r="22" spans="1:13" x14ac:dyDescent="0.25">
      <c r="A22" s="28">
        <v>19</v>
      </c>
      <c r="B22" s="25"/>
      <c r="C22" s="34">
        <f t="shared" ref="C22:J22" si="17">SUM(C4:C21)</f>
        <v>630000</v>
      </c>
      <c r="D22" s="34">
        <f t="shared" si="17"/>
        <v>18000</v>
      </c>
      <c r="E22" s="34">
        <f t="shared" si="17"/>
        <v>24500</v>
      </c>
      <c r="F22" s="34">
        <f t="shared" si="17"/>
        <v>224100</v>
      </c>
      <c r="G22" s="34">
        <f t="shared" si="17"/>
        <v>7500</v>
      </c>
      <c r="H22" s="34">
        <f t="shared" si="17"/>
        <v>905100</v>
      </c>
      <c r="I22" s="34">
        <f t="shared" si="17"/>
        <v>776200</v>
      </c>
      <c r="J22" s="34">
        <f t="shared" si="17"/>
        <v>128900</v>
      </c>
      <c r="K22" s="31">
        <v>43355</v>
      </c>
      <c r="L22" s="25" t="s">
        <v>219</v>
      </c>
      <c r="M22" s="25"/>
    </row>
    <row r="23" spans="1:13" x14ac:dyDescent="0.25">
      <c r="A23" s="28">
        <v>20</v>
      </c>
      <c r="K23" s="31">
        <v>43375</v>
      </c>
      <c r="L23" s="25"/>
      <c r="M23" s="25"/>
    </row>
    <row r="24" spans="1:13" x14ac:dyDescent="0.25">
      <c r="A24" s="25"/>
      <c r="K24" s="34"/>
      <c r="L24" s="25"/>
      <c r="M24" s="25"/>
    </row>
  </sheetData>
  <pageMargins left="0.7" right="0.7" top="0.75" bottom="0.75" header="0.3" footer="0.3"/>
  <pageSetup orientation="landscape" horizontalDpi="4294967295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3"/>
  <sheetViews>
    <sheetView topLeftCell="B1" zoomScale="80" zoomScaleNormal="80" workbookViewId="0">
      <selection activeCell="M10" sqref="M10"/>
    </sheetView>
  </sheetViews>
  <sheetFormatPr defaultColWidth="8.85546875" defaultRowHeight="15.75" x14ac:dyDescent="0.25"/>
  <cols>
    <col min="1" max="1" width="5.7109375" style="32" bestFit="1" customWidth="1"/>
    <col min="2" max="2" width="32.140625" style="32" customWidth="1"/>
    <col min="3" max="3" width="14.42578125" style="32" bestFit="1" customWidth="1"/>
    <col min="4" max="4" width="14.28515625" style="32" bestFit="1" customWidth="1"/>
    <col min="5" max="5" width="11.140625" style="32" bestFit="1" customWidth="1"/>
    <col min="6" max="6" width="12.42578125" style="32" bestFit="1" customWidth="1"/>
    <col min="7" max="7" width="14" style="32" bestFit="1" customWidth="1"/>
    <col min="8" max="8" width="11.140625" style="32" bestFit="1" customWidth="1"/>
    <col min="9" max="9" width="13.28515625" style="32" bestFit="1" customWidth="1"/>
    <col min="10" max="10" width="14.7109375" style="32" customWidth="1"/>
    <col min="11" max="11" width="12.42578125" style="32" bestFit="1" customWidth="1"/>
    <col min="12" max="12" width="15" style="32" bestFit="1" customWidth="1"/>
    <col min="13" max="13" width="19.140625" style="32" customWidth="1"/>
    <col min="14" max="16384" width="8.85546875" style="32"/>
  </cols>
  <sheetData>
    <row r="1" spans="1:17" x14ac:dyDescent="0.25">
      <c r="A1" s="26" t="s">
        <v>101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4"/>
      <c r="N1" s="36"/>
      <c r="O1" s="36"/>
      <c r="P1" s="36"/>
      <c r="Q1" s="36"/>
    </row>
    <row r="2" spans="1:17" x14ac:dyDescent="0.25">
      <c r="A2" s="24"/>
      <c r="B2" s="25"/>
      <c r="C2" s="25"/>
      <c r="D2" s="25"/>
      <c r="E2" s="72" t="s">
        <v>10</v>
      </c>
      <c r="F2" s="72"/>
      <c r="G2" s="72"/>
      <c r="H2" s="72"/>
      <c r="I2" s="72"/>
      <c r="J2" s="72"/>
      <c r="K2" s="25"/>
      <c r="L2" s="25"/>
      <c r="M2" s="24"/>
      <c r="N2" s="37"/>
      <c r="O2" s="37"/>
      <c r="P2" s="36"/>
      <c r="Q2" s="36"/>
    </row>
    <row r="3" spans="1:17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140</v>
      </c>
      <c r="N3" s="37"/>
      <c r="O3" s="38"/>
      <c r="P3" s="36"/>
      <c r="Q3" s="36"/>
    </row>
    <row r="4" spans="1:17" x14ac:dyDescent="0.25">
      <c r="A4" s="28">
        <v>1</v>
      </c>
      <c r="B4" s="25" t="s">
        <v>89</v>
      </c>
      <c r="C4" s="34"/>
      <c r="D4" s="34">
        <v>36500</v>
      </c>
      <c r="E4" s="34">
        <v>1000</v>
      </c>
      <c r="F4" s="34">
        <v>9000</v>
      </c>
      <c r="G4" s="34">
        <v>19450</v>
      </c>
      <c r="H4" s="34">
        <v>3500</v>
      </c>
      <c r="I4" s="34"/>
      <c r="J4" s="34">
        <f>SUM(C4:I4)</f>
        <v>69450</v>
      </c>
      <c r="K4" s="34">
        <v>40000</v>
      </c>
      <c r="L4" s="34">
        <f>J4-K4</f>
        <v>29450</v>
      </c>
      <c r="M4" s="29">
        <v>43390</v>
      </c>
      <c r="N4" s="38"/>
      <c r="O4" s="36"/>
      <c r="P4" s="36"/>
      <c r="Q4" s="36"/>
    </row>
    <row r="5" spans="1:17" x14ac:dyDescent="0.25">
      <c r="A5" s="28">
        <v>2</v>
      </c>
      <c r="B5" s="25" t="s">
        <v>84</v>
      </c>
      <c r="C5" s="25"/>
      <c r="D5" s="34">
        <v>36500</v>
      </c>
      <c r="E5" s="34">
        <v>1000</v>
      </c>
      <c r="F5" s="34">
        <v>12000</v>
      </c>
      <c r="G5" s="34">
        <v>19450</v>
      </c>
      <c r="H5" s="34">
        <v>3500</v>
      </c>
      <c r="I5" s="34"/>
      <c r="J5" s="34">
        <f t="shared" ref="J5:J12" si="0">SUM(C5:I5)</f>
        <v>72450</v>
      </c>
      <c r="K5" s="34">
        <f>69450+3000</f>
        <v>72450</v>
      </c>
      <c r="L5" s="34">
        <f t="shared" ref="L5:L12" si="1">J5-K5</f>
        <v>0</v>
      </c>
      <c r="M5" s="29"/>
      <c r="N5" s="38"/>
      <c r="O5" s="36"/>
      <c r="P5" s="36"/>
      <c r="Q5" s="36"/>
    </row>
    <row r="6" spans="1:17" x14ac:dyDescent="0.25">
      <c r="A6" s="28">
        <v>3</v>
      </c>
      <c r="B6" s="25" t="s">
        <v>83</v>
      </c>
      <c r="C6" s="25"/>
      <c r="D6" s="34">
        <v>36500</v>
      </c>
      <c r="E6" s="34">
        <v>1000</v>
      </c>
      <c r="F6" s="34">
        <v>9000</v>
      </c>
      <c r="G6" s="34">
        <v>19450</v>
      </c>
      <c r="H6" s="34">
        <v>3500</v>
      </c>
      <c r="I6" s="34">
        <v>15000</v>
      </c>
      <c r="J6" s="34">
        <f t="shared" si="0"/>
        <v>84450</v>
      </c>
      <c r="K6" s="34">
        <f>69450+15000</f>
        <v>84450</v>
      </c>
      <c r="L6" s="34">
        <f t="shared" si="1"/>
        <v>0</v>
      </c>
      <c r="M6" s="30"/>
      <c r="N6" s="38"/>
      <c r="O6" s="38"/>
      <c r="P6" s="36"/>
      <c r="Q6" s="36"/>
    </row>
    <row r="7" spans="1:17" ht="15.6" customHeight="1" x14ac:dyDescent="0.25">
      <c r="A7" s="28">
        <v>4</v>
      </c>
      <c r="B7" s="25" t="s">
        <v>76</v>
      </c>
      <c r="C7" s="25"/>
      <c r="D7" s="34">
        <v>36500</v>
      </c>
      <c r="E7" s="34">
        <v>1000</v>
      </c>
      <c r="F7" s="34">
        <v>9000</v>
      </c>
      <c r="G7" s="34">
        <v>19450</v>
      </c>
      <c r="H7" s="34">
        <v>3500</v>
      </c>
      <c r="I7" s="34"/>
      <c r="J7" s="34">
        <f t="shared" si="0"/>
        <v>69450</v>
      </c>
      <c r="K7" s="34">
        <f>25000+25000+19450</f>
        <v>69450</v>
      </c>
      <c r="L7" s="34">
        <f t="shared" si="1"/>
        <v>0</v>
      </c>
      <c r="M7" s="29">
        <v>43348</v>
      </c>
      <c r="N7" s="36"/>
      <c r="O7" s="38"/>
      <c r="P7" s="36"/>
      <c r="Q7" s="36"/>
    </row>
    <row r="8" spans="1:17" x14ac:dyDescent="0.25">
      <c r="A8" s="28">
        <v>5</v>
      </c>
      <c r="B8" s="25" t="s">
        <v>75</v>
      </c>
      <c r="C8" s="25"/>
      <c r="D8" s="34">
        <v>36500</v>
      </c>
      <c r="E8" s="34">
        <v>1000</v>
      </c>
      <c r="F8" s="34">
        <v>9000</v>
      </c>
      <c r="G8" s="34">
        <v>19450</v>
      </c>
      <c r="H8" s="34">
        <v>3500</v>
      </c>
      <c r="I8" s="34"/>
      <c r="J8" s="34">
        <f t="shared" si="0"/>
        <v>69450</v>
      </c>
      <c r="K8" s="34">
        <f>50000+19450</f>
        <v>69450</v>
      </c>
      <c r="L8" s="34">
        <f t="shared" si="1"/>
        <v>0</v>
      </c>
      <c r="M8" s="29">
        <v>43388</v>
      </c>
      <c r="N8" s="38"/>
      <c r="O8" s="38"/>
      <c r="P8" s="36"/>
      <c r="Q8" s="36"/>
    </row>
    <row r="9" spans="1:17" x14ac:dyDescent="0.25">
      <c r="A9" s="28">
        <v>6</v>
      </c>
      <c r="B9" s="25" t="s">
        <v>104</v>
      </c>
      <c r="C9" s="25"/>
      <c r="D9" s="34">
        <v>36500</v>
      </c>
      <c r="E9" s="34">
        <v>1000</v>
      </c>
      <c r="F9" s="34">
        <v>9000</v>
      </c>
      <c r="G9" s="34">
        <v>19450</v>
      </c>
      <c r="H9" s="34">
        <v>3500</v>
      </c>
      <c r="I9" s="34"/>
      <c r="J9" s="34">
        <f t="shared" si="0"/>
        <v>69450</v>
      </c>
      <c r="K9" s="34">
        <f>20000+44000+5450</f>
        <v>69450</v>
      </c>
      <c r="L9" s="34">
        <f t="shared" si="1"/>
        <v>0</v>
      </c>
      <c r="M9" s="29" t="s">
        <v>229</v>
      </c>
      <c r="N9" s="36"/>
      <c r="O9" s="36"/>
      <c r="P9" s="36"/>
      <c r="Q9" s="36"/>
    </row>
    <row r="10" spans="1:17" x14ac:dyDescent="0.25">
      <c r="A10" s="28">
        <v>7</v>
      </c>
      <c r="B10" s="25" t="s">
        <v>143</v>
      </c>
      <c r="C10" s="25"/>
      <c r="D10" s="34">
        <v>36500</v>
      </c>
      <c r="E10" s="34">
        <v>1000</v>
      </c>
      <c r="F10" s="34">
        <v>9000</v>
      </c>
      <c r="G10" s="34">
        <v>19450</v>
      </c>
      <c r="H10" s="34">
        <v>3500</v>
      </c>
      <c r="I10" s="34"/>
      <c r="J10" s="34">
        <f t="shared" si="0"/>
        <v>69450</v>
      </c>
      <c r="K10" s="34"/>
      <c r="L10" s="34">
        <f t="shared" si="1"/>
        <v>69450</v>
      </c>
      <c r="M10" s="29"/>
      <c r="N10" s="36"/>
      <c r="O10" s="36"/>
      <c r="P10" s="36"/>
      <c r="Q10" s="36"/>
    </row>
    <row r="11" spans="1:17" x14ac:dyDescent="0.25">
      <c r="A11" s="28">
        <v>8</v>
      </c>
      <c r="B11" s="25" t="s">
        <v>118</v>
      </c>
      <c r="C11" s="25">
        <v>5000</v>
      </c>
      <c r="D11" s="34">
        <v>36500</v>
      </c>
      <c r="E11" s="34">
        <v>1000</v>
      </c>
      <c r="F11" s="34">
        <v>9000</v>
      </c>
      <c r="G11" s="34">
        <v>19450</v>
      </c>
      <c r="H11" s="34">
        <v>3500</v>
      </c>
      <c r="I11" s="34">
        <v>15000</v>
      </c>
      <c r="J11" s="34">
        <f t="shared" si="0"/>
        <v>89450</v>
      </c>
      <c r="K11" s="34">
        <f>74450+5000</f>
        <v>79450</v>
      </c>
      <c r="L11" s="34">
        <f t="shared" si="1"/>
        <v>10000</v>
      </c>
      <c r="M11" s="29"/>
      <c r="N11" s="38"/>
      <c r="O11" s="36"/>
      <c r="P11" s="36"/>
      <c r="Q11" s="36"/>
    </row>
    <row r="12" spans="1:17" ht="15.6" customHeight="1" x14ac:dyDescent="0.25">
      <c r="A12" s="28">
        <v>9</v>
      </c>
      <c r="B12" s="25" t="s">
        <v>162</v>
      </c>
      <c r="C12" s="25"/>
      <c r="D12" s="34">
        <v>36500</v>
      </c>
      <c r="E12" s="34">
        <v>1000</v>
      </c>
      <c r="F12" s="34">
        <v>9000</v>
      </c>
      <c r="G12" s="34">
        <v>19450</v>
      </c>
      <c r="H12" s="34">
        <v>3500</v>
      </c>
      <c r="I12" s="34"/>
      <c r="J12" s="34">
        <f t="shared" si="0"/>
        <v>69450</v>
      </c>
      <c r="K12" s="34">
        <f>40000+29050</f>
        <v>69050</v>
      </c>
      <c r="L12" s="34">
        <f t="shared" si="1"/>
        <v>400</v>
      </c>
      <c r="M12" s="29">
        <v>43355</v>
      </c>
      <c r="N12" s="38"/>
      <c r="O12" s="36"/>
      <c r="P12" s="36"/>
      <c r="Q12" s="36"/>
    </row>
    <row r="13" spans="1:17" x14ac:dyDescent="0.25">
      <c r="A13" s="24">
        <v>10</v>
      </c>
      <c r="B13" s="25"/>
      <c r="C13" s="25"/>
      <c r="D13" s="34">
        <f t="shared" ref="D13:L13" si="2">SUM(D4:D12)</f>
        <v>328500</v>
      </c>
      <c r="E13" s="34">
        <f t="shared" si="2"/>
        <v>9000</v>
      </c>
      <c r="F13" s="34">
        <f t="shared" si="2"/>
        <v>84000</v>
      </c>
      <c r="G13" s="34">
        <f t="shared" si="2"/>
        <v>175050</v>
      </c>
      <c r="H13" s="34">
        <f t="shared" si="2"/>
        <v>31500</v>
      </c>
      <c r="I13" s="34">
        <f t="shared" si="2"/>
        <v>30000</v>
      </c>
      <c r="J13" s="34">
        <f t="shared" si="2"/>
        <v>663050</v>
      </c>
      <c r="K13" s="34">
        <f t="shared" si="2"/>
        <v>553750</v>
      </c>
      <c r="L13" s="34">
        <f t="shared" si="2"/>
        <v>109300</v>
      </c>
      <c r="M13" s="25"/>
      <c r="N13" s="36"/>
      <c r="O13" s="36"/>
      <c r="P13" s="36"/>
      <c r="Q13" s="36"/>
    </row>
    <row r="14" spans="1:17" x14ac:dyDescent="0.25">
      <c r="A14" s="24">
        <v>11</v>
      </c>
      <c r="M14" s="25"/>
      <c r="N14" s="36"/>
      <c r="O14" s="36"/>
      <c r="P14" s="36"/>
      <c r="Q14" s="36"/>
    </row>
    <row r="15" spans="1:17" ht="15.6" customHeight="1" x14ac:dyDescent="0.25">
      <c r="A15" s="24">
        <v>12</v>
      </c>
      <c r="M15" s="31">
        <v>43355</v>
      </c>
      <c r="N15" s="36"/>
      <c r="O15" s="36"/>
      <c r="P15" s="36"/>
      <c r="Q15" s="36"/>
    </row>
    <row r="16" spans="1:17" x14ac:dyDescent="0.25">
      <c r="A16" s="28"/>
      <c r="M16" s="29"/>
      <c r="N16" s="36"/>
      <c r="O16" s="36"/>
      <c r="P16" s="36"/>
      <c r="Q16" s="36"/>
    </row>
    <row r="17" spans="1:17" x14ac:dyDescent="0.25">
      <c r="A17" s="35"/>
      <c r="N17" s="36"/>
      <c r="O17" s="36"/>
      <c r="P17" s="36"/>
      <c r="Q17" s="36"/>
    </row>
    <row r="18" spans="1:17" x14ac:dyDescent="0.25">
      <c r="A18" s="35"/>
      <c r="N18" s="36"/>
      <c r="O18" s="36"/>
      <c r="P18" s="36"/>
      <c r="Q18" s="36"/>
    </row>
    <row r="19" spans="1:17" x14ac:dyDescent="0.25">
      <c r="A19" s="35"/>
      <c r="N19" s="36"/>
      <c r="O19" s="36"/>
      <c r="P19" s="36"/>
      <c r="Q19" s="36"/>
    </row>
    <row r="20" spans="1:17" x14ac:dyDescent="0.25">
      <c r="N20" s="36"/>
      <c r="O20" s="36"/>
      <c r="P20" s="36"/>
      <c r="Q20" s="36"/>
    </row>
    <row r="21" spans="1:17" x14ac:dyDescent="0.25">
      <c r="H21" s="65"/>
      <c r="J21" s="65">
        <v>43378</v>
      </c>
      <c r="N21" s="36"/>
      <c r="O21" s="36"/>
      <c r="P21" s="36"/>
      <c r="Q21" s="36"/>
    </row>
    <row r="22" spans="1:17" x14ac:dyDescent="0.25">
      <c r="D22" s="65"/>
      <c r="N22" s="36"/>
      <c r="O22" s="36"/>
      <c r="P22" s="36"/>
      <c r="Q22" s="36"/>
    </row>
    <row r="23" spans="1:17" x14ac:dyDescent="0.25">
      <c r="N23" s="36"/>
      <c r="O23" s="36"/>
      <c r="P23" s="36"/>
      <c r="Q23" s="36"/>
    </row>
  </sheetData>
  <mergeCells count="1">
    <mergeCell ref="E2:J2"/>
  </mergeCells>
  <pageMargins left="0.7" right="0.7" top="0.75" bottom="0.75" header="0.3" footer="0.3"/>
  <pageSetup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2"/>
  <sheetViews>
    <sheetView topLeftCell="A2" zoomScale="90" zoomScaleNormal="90" workbookViewId="0">
      <selection activeCell="L5" sqref="L5"/>
    </sheetView>
  </sheetViews>
  <sheetFormatPr defaultColWidth="8.85546875" defaultRowHeight="15.75" x14ac:dyDescent="0.25"/>
  <cols>
    <col min="1" max="1" width="3.42578125" style="32" customWidth="1"/>
    <col min="2" max="2" width="29.42578125" style="32" customWidth="1"/>
    <col min="3" max="3" width="13.28515625" style="32" customWidth="1"/>
    <col min="4" max="4" width="13.7109375" style="32" bestFit="1" customWidth="1"/>
    <col min="5" max="5" width="15" style="32" customWidth="1"/>
    <col min="6" max="6" width="9.5703125" style="32" customWidth="1"/>
    <col min="7" max="7" width="11.140625" style="32" customWidth="1"/>
    <col min="8" max="8" width="12.7109375" style="32" customWidth="1"/>
    <col min="9" max="9" width="9.85546875" style="32" customWidth="1"/>
    <col min="10" max="10" width="12.42578125" style="32" customWidth="1"/>
    <col min="11" max="11" width="12.7109375" style="32" customWidth="1"/>
    <col min="12" max="12" width="11.140625" style="32" bestFit="1" customWidth="1"/>
    <col min="13" max="13" width="22.140625" style="32" customWidth="1"/>
    <col min="14" max="14" width="13.140625" style="32" customWidth="1"/>
    <col min="15" max="16384" width="8.85546875" style="32"/>
  </cols>
  <sheetData>
    <row r="1" spans="1:14" x14ac:dyDescent="0.25">
      <c r="A1" s="26" t="s">
        <v>32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4" x14ac:dyDescent="0.25">
      <c r="A2" s="25"/>
      <c r="B2" s="25"/>
      <c r="C2" s="25"/>
      <c r="D2" s="25"/>
      <c r="E2" s="72" t="s">
        <v>10</v>
      </c>
      <c r="F2" s="72"/>
      <c r="G2" s="72"/>
      <c r="H2" s="72"/>
      <c r="I2" s="72"/>
      <c r="J2" s="72"/>
      <c r="K2" s="72"/>
      <c r="L2" s="25"/>
      <c r="M2" s="25"/>
    </row>
    <row r="3" spans="1:14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140</v>
      </c>
    </row>
    <row r="4" spans="1:14" x14ac:dyDescent="0.25">
      <c r="A4" s="33">
        <v>1</v>
      </c>
      <c r="B4" s="25" t="s">
        <v>70</v>
      </c>
      <c r="C4" s="25"/>
      <c r="D4" s="34">
        <v>36500</v>
      </c>
      <c r="E4" s="34">
        <v>1000</v>
      </c>
      <c r="F4" s="34"/>
      <c r="G4" s="34">
        <v>20250</v>
      </c>
      <c r="H4" s="34">
        <v>3500</v>
      </c>
      <c r="I4" s="34"/>
      <c r="J4" s="34">
        <f>SUM(C4:I4)</f>
        <v>61250</v>
      </c>
      <c r="K4" s="34">
        <f>20250+40000+1000</f>
        <v>61250</v>
      </c>
      <c r="L4" s="34">
        <f>J4-K4</f>
        <v>0</v>
      </c>
      <c r="M4" s="29">
        <v>43347</v>
      </c>
      <c r="N4" s="65">
        <v>43388</v>
      </c>
    </row>
    <row r="5" spans="1:14" ht="15.6" customHeight="1" x14ac:dyDescent="0.25">
      <c r="A5" s="33">
        <v>2</v>
      </c>
      <c r="B5" s="25" t="s">
        <v>58</v>
      </c>
      <c r="C5" s="25"/>
      <c r="D5" s="34">
        <v>36500</v>
      </c>
      <c r="E5" s="34">
        <v>1000</v>
      </c>
      <c r="F5" s="34"/>
      <c r="G5" s="34">
        <v>20250</v>
      </c>
      <c r="H5" s="34">
        <v>3500</v>
      </c>
      <c r="I5" s="34"/>
      <c r="J5" s="34">
        <f t="shared" ref="J5:J12" si="0">SUM(C5:I5)</f>
        <v>61250</v>
      </c>
      <c r="K5" s="34">
        <f>17560+40000</f>
        <v>57560</v>
      </c>
      <c r="L5" s="34">
        <f t="shared" ref="L5:L12" si="1">J5-K5</f>
        <v>3690</v>
      </c>
      <c r="M5" s="29">
        <v>43356</v>
      </c>
      <c r="N5" s="65">
        <v>43388</v>
      </c>
    </row>
    <row r="6" spans="1:14" x14ac:dyDescent="0.25">
      <c r="A6" s="33">
        <v>3</v>
      </c>
      <c r="B6" s="25" t="s">
        <v>56</v>
      </c>
      <c r="C6" s="25"/>
      <c r="D6" s="34">
        <v>36500</v>
      </c>
      <c r="E6" s="34">
        <v>1000</v>
      </c>
      <c r="F6" s="34"/>
      <c r="G6" s="34">
        <v>20250</v>
      </c>
      <c r="H6" s="34">
        <v>3500</v>
      </c>
      <c r="I6" s="34"/>
      <c r="J6" s="34">
        <f t="shared" si="0"/>
        <v>61250</v>
      </c>
      <c r="K6" s="34">
        <f>26800+30000</f>
        <v>56800</v>
      </c>
      <c r="L6" s="34">
        <f t="shared" si="1"/>
        <v>4450</v>
      </c>
      <c r="M6" s="29"/>
    </row>
    <row r="7" spans="1:14" x14ac:dyDescent="0.25">
      <c r="A7" s="33">
        <v>4</v>
      </c>
      <c r="B7" s="25" t="s">
        <v>59</v>
      </c>
      <c r="C7" s="25"/>
      <c r="D7" s="34">
        <v>36500</v>
      </c>
      <c r="E7" s="34">
        <v>1000</v>
      </c>
      <c r="F7" s="34"/>
      <c r="G7" s="34">
        <v>20250</v>
      </c>
      <c r="H7" s="34">
        <v>3500</v>
      </c>
      <c r="I7" s="34"/>
      <c r="J7" s="34">
        <f t="shared" si="0"/>
        <v>61250</v>
      </c>
      <c r="K7" s="34">
        <f>30000+31250</f>
        <v>61250</v>
      </c>
      <c r="L7" s="34">
        <f t="shared" si="1"/>
        <v>0</v>
      </c>
      <c r="M7" s="29">
        <v>43377</v>
      </c>
    </row>
    <row r="8" spans="1:14" x14ac:dyDescent="0.25">
      <c r="A8" s="33">
        <v>5</v>
      </c>
      <c r="B8" s="25" t="s">
        <v>60</v>
      </c>
      <c r="C8" s="25"/>
      <c r="D8" s="34">
        <v>36500</v>
      </c>
      <c r="E8" s="34">
        <v>1000</v>
      </c>
      <c r="F8" s="34"/>
      <c r="G8" s="34">
        <v>20250</v>
      </c>
      <c r="H8" s="34">
        <v>3500</v>
      </c>
      <c r="I8" s="34"/>
      <c r="J8" s="34">
        <f t="shared" si="0"/>
        <v>61250</v>
      </c>
      <c r="K8" s="34">
        <v>61250</v>
      </c>
      <c r="L8" s="34">
        <f t="shared" si="1"/>
        <v>0</v>
      </c>
      <c r="M8" s="29" t="s">
        <v>191</v>
      </c>
    </row>
    <row r="9" spans="1:14" x14ac:dyDescent="0.25">
      <c r="A9" s="33">
        <v>6</v>
      </c>
      <c r="B9" s="25" t="s">
        <v>90</v>
      </c>
      <c r="C9" s="25"/>
      <c r="D9" s="34">
        <v>36500</v>
      </c>
      <c r="E9" s="34">
        <v>1000</v>
      </c>
      <c r="F9" s="34"/>
      <c r="G9" s="34">
        <v>20250</v>
      </c>
      <c r="H9" s="34">
        <v>3500</v>
      </c>
      <c r="I9" s="34"/>
      <c r="J9" s="34">
        <f t="shared" si="0"/>
        <v>61250</v>
      </c>
      <c r="K9" s="34">
        <f>20000+20000</f>
        <v>40000</v>
      </c>
      <c r="L9" s="34">
        <f t="shared" si="1"/>
        <v>21250</v>
      </c>
      <c r="M9" s="29">
        <v>43403</v>
      </c>
      <c r="N9" s="65">
        <v>43438</v>
      </c>
    </row>
    <row r="10" spans="1:14" x14ac:dyDescent="0.25">
      <c r="A10" s="33">
        <v>7</v>
      </c>
      <c r="B10" s="25" t="s">
        <v>95</v>
      </c>
      <c r="C10" s="25"/>
      <c r="D10" s="34">
        <v>36500</v>
      </c>
      <c r="E10" s="34">
        <v>1000</v>
      </c>
      <c r="F10" s="34"/>
      <c r="G10" s="34">
        <v>20250</v>
      </c>
      <c r="H10" s="34">
        <v>3500</v>
      </c>
      <c r="I10" s="34"/>
      <c r="J10" s="34">
        <f t="shared" si="0"/>
        <v>61250</v>
      </c>
      <c r="K10" s="34">
        <v>61250</v>
      </c>
      <c r="L10" s="34">
        <f t="shared" si="1"/>
        <v>0</v>
      </c>
      <c r="M10" s="29"/>
    </row>
    <row r="11" spans="1:14" ht="15.6" customHeight="1" x14ac:dyDescent="0.25">
      <c r="A11" s="33">
        <v>8</v>
      </c>
      <c r="B11" s="25" t="s">
        <v>125</v>
      </c>
      <c r="C11" s="25"/>
      <c r="D11" s="34">
        <v>36500</v>
      </c>
      <c r="E11" s="34">
        <v>1000</v>
      </c>
      <c r="F11" s="34">
        <v>4500</v>
      </c>
      <c r="G11" s="34">
        <v>20250</v>
      </c>
      <c r="H11" s="34">
        <v>3500</v>
      </c>
      <c r="I11" s="34"/>
      <c r="J11" s="34">
        <f t="shared" si="0"/>
        <v>65750</v>
      </c>
      <c r="K11" s="34">
        <f>60250+4500</f>
        <v>64750</v>
      </c>
      <c r="L11" s="34">
        <f t="shared" si="1"/>
        <v>1000</v>
      </c>
      <c r="M11" s="29">
        <v>43360</v>
      </c>
    </row>
    <row r="12" spans="1:14" x14ac:dyDescent="0.25">
      <c r="A12" s="33">
        <v>9</v>
      </c>
      <c r="B12" s="25" t="s">
        <v>134</v>
      </c>
      <c r="C12" s="25"/>
      <c r="D12" s="34">
        <v>36500</v>
      </c>
      <c r="E12" s="34">
        <v>1000</v>
      </c>
      <c r="F12" s="34"/>
      <c r="G12" s="34">
        <v>20250</v>
      </c>
      <c r="H12" s="34">
        <v>3500</v>
      </c>
      <c r="I12" s="34"/>
      <c r="J12" s="34">
        <f t="shared" si="0"/>
        <v>61250</v>
      </c>
      <c r="K12" s="34">
        <v>57450</v>
      </c>
      <c r="L12" s="34">
        <f t="shared" si="1"/>
        <v>3800</v>
      </c>
      <c r="M12" s="29"/>
    </row>
    <row r="13" spans="1:14" ht="15.6" customHeight="1" x14ac:dyDescent="0.25">
      <c r="A13" s="33">
        <v>10</v>
      </c>
      <c r="B13" s="25"/>
      <c r="C13" s="25"/>
      <c r="D13" s="34">
        <f t="shared" ref="D13:L13" si="2">SUM(D4:D12)</f>
        <v>328500</v>
      </c>
      <c r="E13" s="34">
        <f t="shared" si="2"/>
        <v>9000</v>
      </c>
      <c r="F13" s="34">
        <f t="shared" si="2"/>
        <v>4500</v>
      </c>
      <c r="G13" s="34">
        <f t="shared" si="2"/>
        <v>182250</v>
      </c>
      <c r="H13" s="34">
        <f t="shared" si="2"/>
        <v>31500</v>
      </c>
      <c r="I13" s="34">
        <f t="shared" si="2"/>
        <v>0</v>
      </c>
      <c r="J13" s="34">
        <f t="shared" si="2"/>
        <v>555750</v>
      </c>
      <c r="K13" s="34">
        <f t="shared" si="2"/>
        <v>521560</v>
      </c>
      <c r="L13" s="34">
        <f t="shared" si="2"/>
        <v>34190</v>
      </c>
      <c r="M13" s="25"/>
    </row>
    <row r="14" spans="1:14" x14ac:dyDescent="0.25">
      <c r="A14" s="33">
        <v>11</v>
      </c>
      <c r="M14" s="29"/>
    </row>
    <row r="15" spans="1:14" x14ac:dyDescent="0.25">
      <c r="A15" s="33">
        <v>14</v>
      </c>
    </row>
    <row r="16" spans="1:14" x14ac:dyDescent="0.25">
      <c r="A16" s="35"/>
    </row>
    <row r="17" spans="5:13" x14ac:dyDescent="0.25">
      <c r="E17" s="32" t="s">
        <v>98</v>
      </c>
    </row>
    <row r="22" spans="5:13" x14ac:dyDescent="0.25">
      <c r="M22" s="32" t="s">
        <v>98</v>
      </c>
    </row>
  </sheetData>
  <mergeCells count="1">
    <mergeCell ref="E2:K2"/>
  </mergeCells>
  <pageMargins left="0.7" right="0.7" top="0.75" bottom="0.75" header="0.3" footer="0.3"/>
  <pageSetup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2"/>
  <sheetViews>
    <sheetView zoomScale="80" zoomScaleNormal="80" workbookViewId="0">
      <selection activeCell="M7" sqref="M7"/>
    </sheetView>
  </sheetViews>
  <sheetFormatPr defaultColWidth="8.85546875" defaultRowHeight="15.75" x14ac:dyDescent="0.25"/>
  <cols>
    <col min="1" max="1" width="5.5703125" style="32" bestFit="1" customWidth="1"/>
    <col min="2" max="2" width="34.7109375" style="32" customWidth="1"/>
    <col min="3" max="3" width="14.42578125" style="32" bestFit="1" customWidth="1"/>
    <col min="4" max="4" width="12.7109375" style="32" bestFit="1" customWidth="1"/>
    <col min="5" max="5" width="12.140625" style="32" customWidth="1"/>
    <col min="6" max="6" width="10.140625" style="32" customWidth="1"/>
    <col min="7" max="7" width="12.5703125" style="32" customWidth="1"/>
    <col min="8" max="8" width="10.42578125" style="32" customWidth="1"/>
    <col min="9" max="9" width="11.28515625" style="32" bestFit="1" customWidth="1"/>
    <col min="10" max="10" width="11.42578125" style="32" customWidth="1"/>
    <col min="11" max="11" width="12.7109375" style="32" bestFit="1" customWidth="1"/>
    <col min="12" max="12" width="13" style="32" bestFit="1" customWidth="1"/>
    <col min="13" max="13" width="25.28515625" style="32" customWidth="1"/>
    <col min="14" max="14" width="10.5703125" style="32" bestFit="1" customWidth="1"/>
    <col min="15" max="15" width="10.7109375" style="32" bestFit="1" customWidth="1"/>
    <col min="16" max="16384" width="8.85546875" style="32"/>
  </cols>
  <sheetData>
    <row r="1" spans="1:13" x14ac:dyDescent="0.25">
      <c r="A1" s="26" t="s">
        <v>33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x14ac:dyDescent="0.25">
      <c r="A2" s="25"/>
      <c r="B2" s="25"/>
      <c r="C2" s="25"/>
      <c r="D2" s="25"/>
      <c r="E2" s="72" t="s">
        <v>10</v>
      </c>
      <c r="F2" s="72"/>
      <c r="G2" s="72"/>
      <c r="H2" s="72"/>
      <c r="I2" s="72"/>
      <c r="J2" s="72"/>
      <c r="K2" s="72"/>
      <c r="L2" s="25"/>
      <c r="M2" s="25"/>
    </row>
    <row r="3" spans="1:13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141</v>
      </c>
    </row>
    <row r="4" spans="1:13" x14ac:dyDescent="0.25">
      <c r="A4" s="33">
        <v>1</v>
      </c>
      <c r="B4" s="1" t="s">
        <v>11</v>
      </c>
      <c r="C4" s="34"/>
      <c r="D4" s="34">
        <v>36500</v>
      </c>
      <c r="E4" s="34">
        <v>1000</v>
      </c>
      <c r="F4" s="34"/>
      <c r="G4" s="34">
        <v>19690</v>
      </c>
      <c r="H4" s="34">
        <v>3500</v>
      </c>
      <c r="I4" s="34"/>
      <c r="J4" s="34">
        <v>60950</v>
      </c>
      <c r="K4" s="34">
        <v>60950</v>
      </c>
      <c r="L4" s="34">
        <f>J4-K4</f>
        <v>0</v>
      </c>
      <c r="M4" s="29"/>
    </row>
    <row r="5" spans="1:13" x14ac:dyDescent="0.25">
      <c r="A5" s="33">
        <v>2</v>
      </c>
      <c r="B5" s="1" t="s">
        <v>12</v>
      </c>
      <c r="C5" s="34"/>
      <c r="D5" s="34">
        <v>36500</v>
      </c>
      <c r="E5" s="34">
        <v>1000</v>
      </c>
      <c r="F5" s="34"/>
      <c r="G5" s="34">
        <v>19690</v>
      </c>
      <c r="H5" s="34">
        <v>3500</v>
      </c>
      <c r="I5" s="34"/>
      <c r="J5" s="34">
        <v>60950</v>
      </c>
      <c r="K5" s="34">
        <f>50000+9950</f>
        <v>59950</v>
      </c>
      <c r="L5" s="34">
        <f t="shared" ref="L5:L14" si="0">J5-K5</f>
        <v>1000</v>
      </c>
      <c r="M5" s="29">
        <v>43388</v>
      </c>
    </row>
    <row r="6" spans="1:13" x14ac:dyDescent="0.25">
      <c r="A6" s="33">
        <v>3</v>
      </c>
      <c r="B6" s="1" t="s">
        <v>13</v>
      </c>
      <c r="C6" s="34"/>
      <c r="D6" s="34">
        <v>36500</v>
      </c>
      <c r="E6" s="34">
        <v>1000</v>
      </c>
      <c r="F6" s="34"/>
      <c r="G6" s="34">
        <v>19690</v>
      </c>
      <c r="H6" s="34">
        <v>3500</v>
      </c>
      <c r="I6" s="34"/>
      <c r="J6" s="34">
        <v>60950</v>
      </c>
      <c r="K6" s="34"/>
      <c r="L6" s="34">
        <f t="shared" si="0"/>
        <v>60950</v>
      </c>
      <c r="M6" s="29"/>
    </row>
    <row r="7" spans="1:13" x14ac:dyDescent="0.25">
      <c r="A7" s="33">
        <v>4</v>
      </c>
      <c r="B7" s="1" t="s">
        <v>14</v>
      </c>
      <c r="C7" s="34">
        <v>16750</v>
      </c>
      <c r="D7" s="34">
        <v>36500</v>
      </c>
      <c r="E7" s="34">
        <v>1000</v>
      </c>
      <c r="F7" s="34">
        <v>5000</v>
      </c>
      <c r="G7" s="34">
        <v>19690</v>
      </c>
      <c r="H7" s="34">
        <v>3500</v>
      </c>
      <c r="I7" s="34"/>
      <c r="J7" s="34">
        <v>60950</v>
      </c>
      <c r="K7" s="34">
        <f>15000+13550</f>
        <v>28550</v>
      </c>
      <c r="L7" s="34">
        <f t="shared" si="0"/>
        <v>32400</v>
      </c>
      <c r="M7" s="29"/>
    </row>
    <row r="8" spans="1:13" x14ac:dyDescent="0.25">
      <c r="A8" s="33">
        <v>5</v>
      </c>
      <c r="B8" s="1" t="s">
        <v>81</v>
      </c>
      <c r="C8" s="34"/>
      <c r="D8" s="34">
        <v>36500</v>
      </c>
      <c r="E8" s="34">
        <v>1000</v>
      </c>
      <c r="F8" s="34"/>
      <c r="G8" s="34">
        <v>19690</v>
      </c>
      <c r="H8" s="34">
        <v>3500</v>
      </c>
      <c r="I8" s="34"/>
      <c r="J8" s="34">
        <v>60950</v>
      </c>
      <c r="K8" s="34">
        <v>60950</v>
      </c>
      <c r="L8" s="34">
        <f t="shared" si="0"/>
        <v>0</v>
      </c>
      <c r="M8" s="29"/>
    </row>
    <row r="9" spans="1:13" ht="15.6" customHeight="1" x14ac:dyDescent="0.25">
      <c r="A9" s="33">
        <v>6</v>
      </c>
      <c r="B9" s="1" t="s">
        <v>82</v>
      </c>
      <c r="C9" s="34"/>
      <c r="D9" s="34">
        <v>36500</v>
      </c>
      <c r="E9" s="34">
        <v>1000</v>
      </c>
      <c r="F9" s="34"/>
      <c r="G9" s="34">
        <v>19690</v>
      </c>
      <c r="H9" s="34">
        <v>3500</v>
      </c>
      <c r="I9" s="34"/>
      <c r="J9" s="34">
        <v>60950</v>
      </c>
      <c r="K9" s="34">
        <f>30000+30950</f>
        <v>60950</v>
      </c>
      <c r="L9" s="34">
        <f t="shared" si="0"/>
        <v>0</v>
      </c>
      <c r="M9" s="29">
        <v>43362</v>
      </c>
    </row>
    <row r="10" spans="1:13" x14ac:dyDescent="0.25">
      <c r="A10" s="33">
        <v>7</v>
      </c>
      <c r="B10" s="1" t="s">
        <v>91</v>
      </c>
      <c r="C10" s="34"/>
      <c r="D10" s="34">
        <v>36500</v>
      </c>
      <c r="E10" s="34">
        <v>1000</v>
      </c>
      <c r="F10" s="34"/>
      <c r="G10" s="34">
        <v>19690</v>
      </c>
      <c r="H10" s="34">
        <v>3500</v>
      </c>
      <c r="I10" s="34"/>
      <c r="J10" s="34">
        <v>60950</v>
      </c>
      <c r="K10" s="34"/>
      <c r="L10" s="34">
        <f t="shared" si="0"/>
        <v>60950</v>
      </c>
      <c r="M10" s="29">
        <v>43395</v>
      </c>
    </row>
    <row r="11" spans="1:13" x14ac:dyDescent="0.25">
      <c r="A11" s="33">
        <v>8</v>
      </c>
      <c r="B11" s="1" t="s">
        <v>113</v>
      </c>
      <c r="C11" s="34"/>
      <c r="D11" s="34">
        <v>36500</v>
      </c>
      <c r="E11" s="34">
        <v>1000</v>
      </c>
      <c r="F11" s="34"/>
      <c r="G11" s="34">
        <v>19690</v>
      </c>
      <c r="H11" s="34">
        <v>3500</v>
      </c>
      <c r="I11" s="34"/>
      <c r="J11" s="34">
        <v>60950</v>
      </c>
      <c r="K11" s="34">
        <f>19690+44000</f>
        <v>63690</v>
      </c>
      <c r="L11" s="34">
        <f t="shared" si="0"/>
        <v>-2740</v>
      </c>
      <c r="M11" s="29"/>
    </row>
    <row r="12" spans="1:13" ht="15.6" customHeight="1" x14ac:dyDescent="0.25">
      <c r="A12" s="33">
        <v>9</v>
      </c>
      <c r="B12" s="1" t="s">
        <v>133</v>
      </c>
      <c r="C12" s="34"/>
      <c r="D12" s="34">
        <v>36500</v>
      </c>
      <c r="E12" s="34">
        <v>1000</v>
      </c>
      <c r="F12" s="34"/>
      <c r="G12" s="34">
        <v>19690</v>
      </c>
      <c r="H12" s="34">
        <v>3500</v>
      </c>
      <c r="I12" s="34">
        <v>15000</v>
      </c>
      <c r="J12" s="34">
        <f>60950+15000</f>
        <v>75950</v>
      </c>
      <c r="K12" s="34">
        <f>19690+41260+15000</f>
        <v>75950</v>
      </c>
      <c r="L12" s="34">
        <f t="shared" si="0"/>
        <v>0</v>
      </c>
      <c r="M12" s="29">
        <v>43419</v>
      </c>
    </row>
    <row r="13" spans="1:13" x14ac:dyDescent="0.25">
      <c r="A13" s="33">
        <v>10</v>
      </c>
      <c r="B13" s="1" t="s">
        <v>163</v>
      </c>
      <c r="C13" s="34"/>
      <c r="D13" s="34">
        <v>36500</v>
      </c>
      <c r="E13" s="34">
        <v>1000</v>
      </c>
      <c r="F13" s="34"/>
      <c r="G13" s="34">
        <v>19690</v>
      </c>
      <c r="H13" s="34">
        <v>3500</v>
      </c>
      <c r="I13" s="34"/>
      <c r="J13" s="34">
        <v>60950</v>
      </c>
      <c r="K13" s="34">
        <f>40000+20950</f>
        <v>60950</v>
      </c>
      <c r="L13" s="34">
        <f t="shared" si="0"/>
        <v>0</v>
      </c>
      <c r="M13" s="29">
        <v>43377</v>
      </c>
    </row>
    <row r="14" spans="1:13" x14ac:dyDescent="0.25">
      <c r="A14" s="33">
        <v>11</v>
      </c>
      <c r="B14" s="1" t="s">
        <v>164</v>
      </c>
      <c r="C14" s="48"/>
      <c r="D14" s="34">
        <v>36500</v>
      </c>
      <c r="E14" s="34">
        <v>1000</v>
      </c>
      <c r="F14" s="34">
        <v>16500</v>
      </c>
      <c r="G14" s="34">
        <v>19690</v>
      </c>
      <c r="H14" s="34">
        <v>3500</v>
      </c>
      <c r="I14" s="25"/>
      <c r="J14" s="34">
        <v>60950</v>
      </c>
      <c r="K14" s="34">
        <v>77190</v>
      </c>
      <c r="L14" s="34">
        <f t="shared" si="0"/>
        <v>-16240</v>
      </c>
      <c r="M14" s="29"/>
    </row>
    <row r="15" spans="1:13" ht="15.6" customHeight="1" x14ac:dyDescent="0.25">
      <c r="A15" s="46">
        <v>12</v>
      </c>
      <c r="D15" s="48">
        <f t="shared" ref="D15:L15" si="1">SUM(D4:D14)</f>
        <v>401500</v>
      </c>
      <c r="E15" s="48">
        <f t="shared" si="1"/>
        <v>11000</v>
      </c>
      <c r="F15" s="48">
        <f t="shared" si="1"/>
        <v>21500</v>
      </c>
      <c r="G15" s="48">
        <f t="shared" si="1"/>
        <v>216590</v>
      </c>
      <c r="H15" s="48">
        <f t="shared" si="1"/>
        <v>38500</v>
      </c>
      <c r="I15" s="48">
        <f t="shared" si="1"/>
        <v>15000</v>
      </c>
      <c r="J15" s="48">
        <f t="shared" si="1"/>
        <v>685450</v>
      </c>
      <c r="K15" s="48">
        <f t="shared" si="1"/>
        <v>549130</v>
      </c>
      <c r="L15" s="48">
        <f t="shared" si="1"/>
        <v>136320</v>
      </c>
      <c r="M15" s="31" t="s">
        <v>232</v>
      </c>
    </row>
    <row r="16" spans="1:13" x14ac:dyDescent="0.25">
      <c r="A16" s="47"/>
      <c r="M16" s="25"/>
    </row>
    <row r="17" spans="7:13" x14ac:dyDescent="0.25">
      <c r="M17" s="27"/>
    </row>
    <row r="22" spans="7:13" x14ac:dyDescent="0.25">
      <c r="G22" s="32" t="s">
        <v>92</v>
      </c>
    </row>
  </sheetData>
  <mergeCells count="1">
    <mergeCell ref="E2:K2"/>
  </mergeCells>
  <pageMargins left="0.7" right="0.7" top="0.75" bottom="0.75" header="0.3" footer="0.3"/>
  <pageSetup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2"/>
  <sheetViews>
    <sheetView zoomScale="79" zoomScaleNormal="79" workbookViewId="0">
      <selection activeCell="K29" sqref="K29"/>
    </sheetView>
  </sheetViews>
  <sheetFormatPr defaultColWidth="8.85546875" defaultRowHeight="15.75" x14ac:dyDescent="0.25"/>
  <cols>
    <col min="1" max="1" width="5.42578125" style="32" bestFit="1" customWidth="1"/>
    <col min="2" max="2" width="35.28515625" style="32" customWidth="1"/>
    <col min="3" max="3" width="14.5703125" style="32" bestFit="1" customWidth="1"/>
    <col min="4" max="4" width="12.7109375" style="32" customWidth="1"/>
    <col min="5" max="5" width="11.85546875" style="32" customWidth="1"/>
    <col min="6" max="6" width="11.7109375" style="32" customWidth="1"/>
    <col min="7" max="7" width="11.140625" style="32" bestFit="1" customWidth="1"/>
    <col min="8" max="8" width="10.28515625" style="32" customWidth="1"/>
    <col min="9" max="9" width="11.28515625" style="32" bestFit="1" customWidth="1"/>
    <col min="10" max="10" width="11.140625" style="32" customWidth="1"/>
    <col min="11" max="11" width="12.28515625" style="32" customWidth="1"/>
    <col min="12" max="12" width="14.42578125" style="32" customWidth="1"/>
    <col min="13" max="13" width="26.7109375" style="32" customWidth="1"/>
    <col min="14" max="14" width="10.5703125" style="32" bestFit="1" customWidth="1"/>
    <col min="15" max="15" width="10.7109375" style="32" bestFit="1" customWidth="1"/>
    <col min="16" max="16384" width="8.85546875" style="32"/>
  </cols>
  <sheetData>
    <row r="1" spans="1:13" x14ac:dyDescent="0.25">
      <c r="A1" s="26" t="s">
        <v>36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3" x14ac:dyDescent="0.25">
      <c r="A2" s="25"/>
      <c r="B2" s="25"/>
      <c r="C2" s="25"/>
      <c r="D2" s="72" t="s">
        <v>10</v>
      </c>
      <c r="E2" s="72"/>
      <c r="F2" s="72"/>
      <c r="G2" s="72"/>
      <c r="H2" s="72"/>
      <c r="I2" s="72"/>
      <c r="J2" s="72"/>
      <c r="K2" s="25"/>
      <c r="L2" s="25"/>
      <c r="M2" s="25"/>
    </row>
    <row r="3" spans="1:13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141</v>
      </c>
    </row>
    <row r="4" spans="1:13" ht="15.6" customHeight="1" x14ac:dyDescent="0.25">
      <c r="A4" s="33">
        <v>1</v>
      </c>
      <c r="B4" s="25" t="s">
        <v>15</v>
      </c>
      <c r="C4" s="34"/>
      <c r="D4" s="34">
        <v>36500</v>
      </c>
      <c r="E4" s="34">
        <v>1000</v>
      </c>
      <c r="F4" s="34"/>
      <c r="G4" s="34">
        <v>21810</v>
      </c>
      <c r="H4" s="34">
        <v>3500</v>
      </c>
      <c r="I4" s="34"/>
      <c r="J4" s="34">
        <f>SUM(C4:I4)</f>
        <v>62810</v>
      </c>
      <c r="K4" s="34">
        <f>30000+25000+7810</f>
        <v>62810</v>
      </c>
      <c r="L4" s="34">
        <f>J4-K4</f>
        <v>0</v>
      </c>
      <c r="M4" s="33">
        <v>43376</v>
      </c>
    </row>
    <row r="5" spans="1:13" x14ac:dyDescent="0.25">
      <c r="A5" s="33">
        <v>2</v>
      </c>
      <c r="B5" s="25" t="s">
        <v>16</v>
      </c>
      <c r="C5" s="34"/>
      <c r="D5" s="34">
        <v>36500</v>
      </c>
      <c r="E5" s="34">
        <v>1000</v>
      </c>
      <c r="F5" s="34"/>
      <c r="G5" s="34">
        <v>21810</v>
      </c>
      <c r="H5" s="34">
        <v>3500</v>
      </c>
      <c r="I5" s="34"/>
      <c r="J5" s="34">
        <f t="shared" ref="J5:J14" si="0">SUM(C5:I5)</f>
        <v>62810</v>
      </c>
      <c r="K5" s="34">
        <v>62810</v>
      </c>
      <c r="L5" s="34">
        <f t="shared" ref="L5:L15" si="1">J5-K5</f>
        <v>0</v>
      </c>
      <c r="M5" s="31">
        <v>43383</v>
      </c>
    </row>
    <row r="6" spans="1:13" x14ac:dyDescent="0.25">
      <c r="A6" s="33">
        <v>3</v>
      </c>
      <c r="B6" s="25" t="s">
        <v>17</v>
      </c>
      <c r="C6" s="34"/>
      <c r="D6" s="34">
        <v>36500</v>
      </c>
      <c r="E6" s="34">
        <v>1000</v>
      </c>
      <c r="F6" s="34"/>
      <c r="G6" s="34">
        <v>21810</v>
      </c>
      <c r="H6" s="34">
        <v>3500</v>
      </c>
      <c r="I6" s="34"/>
      <c r="J6" s="34">
        <f t="shared" si="0"/>
        <v>62810</v>
      </c>
      <c r="K6" s="34">
        <v>61810</v>
      </c>
      <c r="L6" s="34">
        <f t="shared" si="1"/>
        <v>1000</v>
      </c>
      <c r="M6" s="31">
        <v>43349</v>
      </c>
    </row>
    <row r="7" spans="1:13" x14ac:dyDescent="0.25">
      <c r="A7" s="33">
        <v>4</v>
      </c>
      <c r="B7" s="25" t="s">
        <v>18</v>
      </c>
      <c r="C7" s="34"/>
      <c r="D7" s="34">
        <v>36500</v>
      </c>
      <c r="E7" s="34">
        <v>1000</v>
      </c>
      <c r="F7" s="34">
        <v>5000</v>
      </c>
      <c r="G7" s="34">
        <v>21810</v>
      </c>
      <c r="H7" s="34">
        <v>3500</v>
      </c>
      <c r="I7" s="34"/>
      <c r="J7" s="34">
        <f t="shared" si="0"/>
        <v>67810</v>
      </c>
      <c r="K7" s="34">
        <f>5000+40000+22810</f>
        <v>67810</v>
      </c>
      <c r="L7" s="34">
        <f t="shared" si="1"/>
        <v>0</v>
      </c>
      <c r="M7" s="31" t="s">
        <v>224</v>
      </c>
    </row>
    <row r="8" spans="1:13" x14ac:dyDescent="0.25">
      <c r="A8" s="33">
        <v>5</v>
      </c>
      <c r="B8" s="25" t="s">
        <v>19</v>
      </c>
      <c r="C8" s="34"/>
      <c r="D8" s="34">
        <v>36500</v>
      </c>
      <c r="E8" s="34">
        <v>1000</v>
      </c>
      <c r="F8" s="34"/>
      <c r="G8" s="34">
        <v>21810</v>
      </c>
      <c r="H8" s="34">
        <v>3500</v>
      </c>
      <c r="I8" s="34"/>
      <c r="J8" s="34">
        <f t="shared" si="0"/>
        <v>62810</v>
      </c>
      <c r="K8" s="34">
        <f>24000+30000</f>
        <v>54000</v>
      </c>
      <c r="L8" s="34">
        <f t="shared" si="1"/>
        <v>8810</v>
      </c>
      <c r="M8" s="31">
        <v>43353</v>
      </c>
    </row>
    <row r="9" spans="1:13" ht="15.6" customHeight="1" x14ac:dyDescent="0.25">
      <c r="A9" s="33">
        <v>6</v>
      </c>
      <c r="B9" s="25" t="s">
        <v>20</v>
      </c>
      <c r="C9" s="34"/>
      <c r="D9" s="34">
        <v>36500</v>
      </c>
      <c r="E9" s="34">
        <v>1000</v>
      </c>
      <c r="F9" s="34">
        <v>8000</v>
      </c>
      <c r="G9" s="34">
        <v>21810</v>
      </c>
      <c r="H9" s="34">
        <v>3500</v>
      </c>
      <c r="I9" s="34"/>
      <c r="J9" s="34">
        <f t="shared" si="0"/>
        <v>70810</v>
      </c>
      <c r="K9" s="34">
        <f>67310+3500</f>
        <v>70810</v>
      </c>
      <c r="L9" s="34">
        <f t="shared" si="1"/>
        <v>0</v>
      </c>
      <c r="M9" s="31" t="s">
        <v>204</v>
      </c>
    </row>
    <row r="10" spans="1:13" x14ac:dyDescent="0.25">
      <c r="A10" s="33">
        <v>7</v>
      </c>
      <c r="B10" s="25" t="s">
        <v>112</v>
      </c>
      <c r="C10" s="34"/>
      <c r="D10" s="34">
        <v>36500</v>
      </c>
      <c r="E10" s="34">
        <v>1000</v>
      </c>
      <c r="F10" s="34"/>
      <c r="G10" s="34">
        <v>21810</v>
      </c>
      <c r="H10" s="34">
        <v>3500</v>
      </c>
      <c r="I10" s="34"/>
      <c r="J10" s="34">
        <f t="shared" si="0"/>
        <v>62810</v>
      </c>
      <c r="K10" s="34">
        <f>30000+25000+7810</f>
        <v>62810</v>
      </c>
      <c r="L10" s="34">
        <f t="shared" si="1"/>
        <v>0</v>
      </c>
      <c r="M10" s="31">
        <v>43341</v>
      </c>
    </row>
    <row r="11" spans="1:13" x14ac:dyDescent="0.25">
      <c r="A11" s="33">
        <v>8</v>
      </c>
      <c r="B11" s="25" t="s">
        <v>21</v>
      </c>
      <c r="C11" s="34"/>
      <c r="D11" s="34">
        <v>36500</v>
      </c>
      <c r="E11" s="34">
        <v>1000</v>
      </c>
      <c r="F11" s="34">
        <v>8000</v>
      </c>
      <c r="G11" s="34">
        <v>21810</v>
      </c>
      <c r="H11" s="34">
        <v>3500</v>
      </c>
      <c r="I11" s="34"/>
      <c r="J11" s="34">
        <f t="shared" si="0"/>
        <v>70810</v>
      </c>
      <c r="K11" s="34">
        <f>62810+8000</f>
        <v>70810</v>
      </c>
      <c r="L11" s="34">
        <f t="shared" si="1"/>
        <v>0</v>
      </c>
      <c r="M11" s="31">
        <v>43342</v>
      </c>
    </row>
    <row r="12" spans="1:13" ht="15.6" customHeight="1" x14ac:dyDescent="0.25">
      <c r="A12" s="33">
        <v>9</v>
      </c>
      <c r="B12" s="25" t="s">
        <v>61</v>
      </c>
      <c r="C12" s="34"/>
      <c r="D12" s="34">
        <v>36500</v>
      </c>
      <c r="E12" s="34">
        <v>1000</v>
      </c>
      <c r="F12" s="34"/>
      <c r="G12" s="34">
        <v>21810</v>
      </c>
      <c r="H12" s="34">
        <v>3500</v>
      </c>
      <c r="I12" s="34"/>
      <c r="J12" s="34">
        <f t="shared" si="0"/>
        <v>62810</v>
      </c>
      <c r="K12" s="34">
        <f>40000+10000+10000</f>
        <v>60000</v>
      </c>
      <c r="L12" s="34">
        <f t="shared" si="1"/>
        <v>2810</v>
      </c>
      <c r="M12" s="31" t="s">
        <v>228</v>
      </c>
    </row>
    <row r="13" spans="1:13" x14ac:dyDescent="0.25">
      <c r="A13" s="33">
        <v>10</v>
      </c>
      <c r="B13" s="25" t="s">
        <v>135</v>
      </c>
      <c r="C13" s="34"/>
      <c r="D13" s="34">
        <v>36500</v>
      </c>
      <c r="E13" s="34">
        <v>1000</v>
      </c>
      <c r="F13" s="34"/>
      <c r="G13" s="34">
        <v>21810</v>
      </c>
      <c r="H13" s="34">
        <v>3500</v>
      </c>
      <c r="I13" s="34"/>
      <c r="J13" s="34">
        <f t="shared" si="0"/>
        <v>62810</v>
      </c>
      <c r="K13" s="34">
        <v>62810</v>
      </c>
      <c r="L13" s="34">
        <f t="shared" si="1"/>
        <v>0</v>
      </c>
      <c r="M13" s="31">
        <v>43344</v>
      </c>
    </row>
    <row r="14" spans="1:13" x14ac:dyDescent="0.25">
      <c r="A14" s="33">
        <v>11</v>
      </c>
      <c r="B14" s="25" t="s">
        <v>137</v>
      </c>
      <c r="C14" s="34"/>
      <c r="D14" s="34">
        <v>36500</v>
      </c>
      <c r="E14" s="34">
        <v>1000</v>
      </c>
      <c r="F14" s="34"/>
      <c r="G14" s="34">
        <v>21810</v>
      </c>
      <c r="H14" s="34">
        <v>3500</v>
      </c>
      <c r="I14" s="34"/>
      <c r="J14" s="34">
        <f t="shared" si="0"/>
        <v>62810</v>
      </c>
      <c r="K14" s="34">
        <f>21810+41000</f>
        <v>62810</v>
      </c>
      <c r="L14" s="34">
        <f t="shared" si="1"/>
        <v>0</v>
      </c>
      <c r="M14" s="31" t="s">
        <v>221</v>
      </c>
    </row>
    <row r="15" spans="1:13" x14ac:dyDescent="0.25">
      <c r="A15" s="33">
        <v>12</v>
      </c>
      <c r="B15" s="25" t="s">
        <v>165</v>
      </c>
      <c r="C15" s="34"/>
      <c r="D15" s="34">
        <v>36500</v>
      </c>
      <c r="E15" s="34">
        <v>1000</v>
      </c>
      <c r="F15" s="34"/>
      <c r="G15" s="34">
        <v>21810</v>
      </c>
      <c r="H15" s="34">
        <v>3500</v>
      </c>
      <c r="I15" s="34"/>
      <c r="J15" s="34">
        <v>81310</v>
      </c>
      <c r="K15" s="34">
        <v>70000</v>
      </c>
      <c r="L15" s="34">
        <f t="shared" si="1"/>
        <v>11310</v>
      </c>
      <c r="M15" s="31"/>
    </row>
    <row r="16" spans="1:13" ht="15.6" customHeight="1" x14ac:dyDescent="0.25">
      <c r="A16" s="33">
        <v>13</v>
      </c>
      <c r="B16" s="41" t="s">
        <v>69</v>
      </c>
      <c r="C16" s="34">
        <f t="shared" ref="C16:L16" si="2">SUM(C4:C15)</f>
        <v>0</v>
      </c>
      <c r="D16" s="34">
        <f t="shared" si="2"/>
        <v>438000</v>
      </c>
      <c r="E16" s="34">
        <f t="shared" si="2"/>
        <v>12000</v>
      </c>
      <c r="F16" s="34">
        <f t="shared" si="2"/>
        <v>21000</v>
      </c>
      <c r="G16" s="34">
        <f t="shared" si="2"/>
        <v>261720</v>
      </c>
      <c r="H16" s="34">
        <f t="shared" si="2"/>
        <v>42000</v>
      </c>
      <c r="I16" s="34">
        <f t="shared" si="2"/>
        <v>0</v>
      </c>
      <c r="J16" s="34">
        <f t="shared" si="2"/>
        <v>793220</v>
      </c>
      <c r="K16" s="34">
        <f t="shared" si="2"/>
        <v>769290</v>
      </c>
      <c r="L16" s="34">
        <f t="shared" si="2"/>
        <v>23930</v>
      </c>
      <c r="M16" s="31">
        <v>43350</v>
      </c>
    </row>
    <row r="17" spans="1:13" x14ac:dyDescent="0.25">
      <c r="A17" s="25"/>
      <c r="M17" s="25"/>
    </row>
    <row r="22" spans="1:13" x14ac:dyDescent="0.25">
      <c r="G22" s="32" t="s">
        <v>99</v>
      </c>
    </row>
  </sheetData>
  <mergeCells count="1">
    <mergeCell ref="D2:J2"/>
  </mergeCells>
  <pageMargins left="0.7" right="0.7" top="0.75" bottom="0.75" header="0.3" footer="0.3"/>
  <pageSetup orientation="landscape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Summary Page</vt:lpstr>
      <vt:lpstr>Expected income</vt:lpstr>
      <vt:lpstr>Preschool</vt:lpstr>
      <vt:lpstr>Nur.</vt:lpstr>
      <vt:lpstr>Transition</vt:lpstr>
      <vt:lpstr>Grade 1</vt:lpstr>
      <vt:lpstr>Grade 2</vt:lpstr>
      <vt:lpstr>Grade 3</vt:lpstr>
      <vt:lpstr>Grade 4</vt:lpstr>
      <vt:lpstr>Grade 5</vt:lpstr>
      <vt:lpstr>JSS 1</vt:lpstr>
      <vt:lpstr>JSS 2</vt:lpstr>
      <vt:lpstr>Chart1</vt:lpstr>
      <vt:lpstr>Chart2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Bassey Iso</dc:creator>
  <cp:lastModifiedBy>Springfield</cp:lastModifiedBy>
  <cp:lastPrinted>2006-12-31T23:16:03Z</cp:lastPrinted>
  <dcterms:created xsi:type="dcterms:W3CDTF">2014-10-16T20:20:28Z</dcterms:created>
  <dcterms:modified xsi:type="dcterms:W3CDTF">2006-12-31T23:38:04Z</dcterms:modified>
</cp:coreProperties>
</file>