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19440" windowHeight="7245" tabRatio="871" firstSheet="1" activeTab="2"/>
  </bookViews>
  <sheets>
    <sheet name="Summary Page" sheetId="10" state="hidden" r:id="rId1"/>
    <sheet name="Expected income" sheetId="11" r:id="rId2"/>
    <sheet name="Preschool" sheetId="8" r:id="rId3"/>
    <sheet name="Nur 1" sheetId="9" r:id="rId4"/>
    <sheet name="Chart1" sheetId="12" state="hidden" r:id="rId5"/>
    <sheet name="Nur 2" sheetId="1" r:id="rId6"/>
    <sheet name="Pry 1" sheetId="2" r:id="rId7"/>
    <sheet name="Pry 2" sheetId="3" r:id="rId8"/>
    <sheet name="Pry 3" sheetId="4" r:id="rId9"/>
    <sheet name="Pry 4" sheetId="5" r:id="rId10"/>
    <sheet name="Pry 5" sheetId="6" r:id="rId11"/>
    <sheet name="Chart2" sheetId="13" state="hidden" r:id="rId12"/>
    <sheet name="JSS 1" sheetId="7" r:id="rId13"/>
    <sheet name="JSS 2" sheetId="15" r:id="rId14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7" l="1"/>
  <c r="K7" i="1"/>
  <c r="M10" i="5" l="1"/>
  <c r="M4" i="5"/>
  <c r="L8" i="15" l="1"/>
  <c r="L10" i="15"/>
  <c r="K5" i="1"/>
  <c r="M8" i="5"/>
  <c r="M5" i="3" l="1"/>
  <c r="M11" i="2"/>
  <c r="K6" i="9"/>
  <c r="L15" i="15" l="1"/>
  <c r="K7" i="8" l="1"/>
  <c r="K6" i="8"/>
  <c r="L16" i="15" l="1"/>
  <c r="M4" i="6"/>
  <c r="K10" i="1"/>
  <c r="M5" i="4"/>
  <c r="M6" i="5"/>
  <c r="L4" i="7"/>
  <c r="M4" i="2"/>
  <c r="K11" i="8" l="1"/>
  <c r="K18" i="8"/>
  <c r="K20" i="1"/>
  <c r="K11" i="1"/>
  <c r="M10" i="2"/>
  <c r="K14" i="9"/>
  <c r="K21" i="1"/>
  <c r="M7" i="4"/>
  <c r="M6" i="2"/>
  <c r="K9" i="9"/>
  <c r="M9" i="5"/>
  <c r="M7" i="6"/>
  <c r="L18" i="15"/>
  <c r="K21" i="9"/>
  <c r="K17" i="8"/>
  <c r="K13" i="8"/>
  <c r="M12" i="5"/>
  <c r="L21" i="7"/>
  <c r="L11" i="15"/>
  <c r="L14" i="7"/>
  <c r="L4" i="15"/>
  <c r="K4" i="8"/>
  <c r="K15" i="8"/>
  <c r="M11" i="6"/>
  <c r="M8" i="3"/>
  <c r="L17" i="15"/>
  <c r="K5" i="9"/>
  <c r="M15" i="6"/>
  <c r="M5" i="6"/>
  <c r="K15" i="9"/>
  <c r="L10" i="7"/>
  <c r="K10" i="9"/>
  <c r="K17" i="1"/>
  <c r="K15" i="7" l="1"/>
  <c r="J16" i="8"/>
  <c r="L16" i="8" s="1"/>
  <c r="J17" i="8"/>
  <c r="L17" i="8" s="1"/>
  <c r="J18" i="8"/>
  <c r="L18" i="8" s="1"/>
  <c r="D19" i="8"/>
  <c r="E19" i="8"/>
  <c r="F19" i="8"/>
  <c r="G19" i="8"/>
  <c r="H19" i="8"/>
  <c r="I19" i="8"/>
  <c r="K19" i="8"/>
  <c r="C19" i="8"/>
  <c r="J22" i="1"/>
  <c r="C22" i="1"/>
  <c r="C13" i="2"/>
  <c r="L13" i="2"/>
  <c r="E13" i="3"/>
  <c r="C15" i="4"/>
  <c r="E15" i="4"/>
  <c r="J20" i="6"/>
  <c r="L20" i="6"/>
  <c r="C20" i="6"/>
  <c r="F20" i="6"/>
  <c r="C22" i="7"/>
  <c r="D22" i="7"/>
  <c r="C20" i="15"/>
  <c r="D20" i="15"/>
  <c r="E20" i="15"/>
  <c r="F20" i="15"/>
  <c r="G20" i="15"/>
  <c r="H20" i="15"/>
  <c r="I20" i="15"/>
  <c r="J20" i="15"/>
  <c r="K20" i="15"/>
  <c r="L20" i="15"/>
  <c r="E22" i="7"/>
  <c r="F22" i="7"/>
  <c r="M17" i="7"/>
  <c r="M19" i="7"/>
  <c r="M21" i="7"/>
  <c r="K21" i="7"/>
  <c r="H22" i="7"/>
  <c r="G22" i="7"/>
  <c r="I22" i="7"/>
  <c r="J22" i="7"/>
  <c r="L22" i="7"/>
  <c r="J20" i="1"/>
  <c r="L20" i="1" s="1"/>
  <c r="J19" i="1"/>
  <c r="L19" i="1" s="1"/>
  <c r="J18" i="1"/>
  <c r="L18" i="1" s="1"/>
  <c r="J17" i="1"/>
  <c r="L17" i="1" s="1"/>
  <c r="J16" i="1"/>
  <c r="L16" i="1" s="1"/>
  <c r="J15" i="1"/>
  <c r="L15" i="1" s="1"/>
  <c r="J14" i="1"/>
  <c r="L14" i="1" s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L6" i="1" s="1"/>
  <c r="J5" i="1"/>
  <c r="L5" i="1" s="1"/>
  <c r="J4" i="1"/>
  <c r="L4" i="1" s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L20" i="9" s="1"/>
  <c r="J21" i="9"/>
  <c r="C22" i="9"/>
  <c r="D22" i="9"/>
  <c r="E22" i="9"/>
  <c r="F22" i="9"/>
  <c r="G22" i="9"/>
  <c r="H22" i="9"/>
  <c r="I22" i="9"/>
  <c r="K22" i="9"/>
  <c r="L21" i="9"/>
  <c r="D9" i="11" l="1"/>
  <c r="J5" i="11"/>
  <c r="I5" i="11"/>
  <c r="H5" i="11"/>
  <c r="G5" i="11"/>
  <c r="F5" i="11"/>
  <c r="M5" i="11" s="1"/>
  <c r="L4" i="11"/>
  <c r="K4" i="11"/>
  <c r="J4" i="11"/>
  <c r="I4" i="11"/>
  <c r="H4" i="11"/>
  <c r="G4" i="11"/>
  <c r="F4" i="11"/>
  <c r="D4" i="11"/>
  <c r="C4" i="11"/>
  <c r="G20" i="6" l="1"/>
  <c r="F16" i="5"/>
  <c r="G16" i="5"/>
  <c r="F15" i="4"/>
  <c r="G15" i="4"/>
  <c r="F13" i="3"/>
  <c r="G13" i="3"/>
  <c r="L4" i="2"/>
  <c r="F13" i="2"/>
  <c r="G13" i="2"/>
  <c r="F22" i="1"/>
  <c r="E4" i="11" s="1"/>
  <c r="M4" i="11" s="1"/>
  <c r="L9" i="11" l="1"/>
  <c r="K9" i="11"/>
  <c r="J9" i="11"/>
  <c r="C16" i="5"/>
  <c r="I9" i="11" s="1"/>
  <c r="H9" i="11"/>
  <c r="C13" i="3"/>
  <c r="G9" i="11"/>
  <c r="E9" i="11"/>
  <c r="K5" i="15"/>
  <c r="K6" i="15"/>
  <c r="M6" i="15" s="1"/>
  <c r="K7" i="15"/>
  <c r="K8" i="15"/>
  <c r="K9" i="15"/>
  <c r="K10" i="15"/>
  <c r="K11" i="15"/>
  <c r="K12" i="15"/>
  <c r="M12" i="15" s="1"/>
  <c r="K13" i="15"/>
  <c r="M13" i="15" s="1"/>
  <c r="K14" i="15"/>
  <c r="M14" i="15" s="1"/>
  <c r="K15" i="15"/>
  <c r="K16" i="15"/>
  <c r="M16" i="15" s="1"/>
  <c r="K17" i="15"/>
  <c r="K18" i="15"/>
  <c r="M18" i="15" s="1"/>
  <c r="K19" i="15"/>
  <c r="M19" i="15" s="1"/>
  <c r="K4" i="15"/>
  <c r="M4" i="15" s="1"/>
  <c r="M5" i="15"/>
  <c r="M7" i="15"/>
  <c r="M8" i="15"/>
  <c r="M9" i="15"/>
  <c r="M10" i="15"/>
  <c r="M11" i="15"/>
  <c r="M15" i="15"/>
  <c r="M17" i="15"/>
  <c r="K4" i="7"/>
  <c r="K5" i="7"/>
  <c r="K6" i="7"/>
  <c r="K7" i="7"/>
  <c r="K8" i="7"/>
  <c r="K9" i="7"/>
  <c r="K10" i="7"/>
  <c r="K11" i="7"/>
  <c r="K12" i="7"/>
  <c r="K13" i="7"/>
  <c r="K14" i="7"/>
  <c r="K16" i="7"/>
  <c r="K17" i="7"/>
  <c r="K18" i="7"/>
  <c r="K19" i="7"/>
  <c r="K20" i="7"/>
  <c r="D13" i="2"/>
  <c r="E13" i="2"/>
  <c r="H13" i="2"/>
  <c r="I13" i="2"/>
  <c r="J13" i="2"/>
  <c r="K13" i="2"/>
  <c r="M13" i="2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5" i="6"/>
  <c r="L4" i="6"/>
  <c r="L5" i="5"/>
  <c r="L6" i="5"/>
  <c r="L7" i="5"/>
  <c r="L8" i="5"/>
  <c r="L9" i="5"/>
  <c r="L10" i="5"/>
  <c r="L11" i="5"/>
  <c r="L12" i="5"/>
  <c r="L13" i="5"/>
  <c r="L14" i="5"/>
  <c r="L15" i="5"/>
  <c r="L4" i="5"/>
  <c r="L5" i="4"/>
  <c r="L6" i="4"/>
  <c r="L7" i="4"/>
  <c r="L8" i="4"/>
  <c r="L9" i="4"/>
  <c r="L10" i="4"/>
  <c r="L11" i="4"/>
  <c r="L12" i="4"/>
  <c r="L13" i="4"/>
  <c r="L14" i="4"/>
  <c r="L4" i="4"/>
  <c r="L4" i="3"/>
  <c r="L12" i="3"/>
  <c r="L5" i="2"/>
  <c r="N5" i="2" s="1"/>
  <c r="L6" i="2"/>
  <c r="L7" i="2"/>
  <c r="N7" i="2" s="1"/>
  <c r="L8" i="2"/>
  <c r="N8" i="2" s="1"/>
  <c r="L9" i="2"/>
  <c r="N9" i="2" s="1"/>
  <c r="L10" i="2"/>
  <c r="L11" i="2"/>
  <c r="N11" i="2" s="1"/>
  <c r="L12" i="2"/>
  <c r="N12" i="2" s="1"/>
  <c r="N4" i="2"/>
  <c r="J21" i="1"/>
  <c r="J4" i="9"/>
  <c r="J3" i="8"/>
  <c r="J4" i="8"/>
  <c r="L4" i="8" s="1"/>
  <c r="J5" i="8"/>
  <c r="L5" i="8" s="1"/>
  <c r="J6" i="8"/>
  <c r="L6" i="8" s="1"/>
  <c r="J7" i="8"/>
  <c r="L7" i="8" s="1"/>
  <c r="J8" i="8"/>
  <c r="L8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15" i="8"/>
  <c r="L15" i="8" s="1"/>
  <c r="L5" i="3"/>
  <c r="L6" i="3"/>
  <c r="L7" i="3"/>
  <c r="L8" i="3"/>
  <c r="L9" i="3"/>
  <c r="L10" i="3"/>
  <c r="L11" i="3"/>
  <c r="N6" i="2"/>
  <c r="N10" i="2"/>
  <c r="M20" i="15" l="1"/>
  <c r="L3" i="8"/>
  <c r="L19" i="8" s="1"/>
  <c r="J19" i="8"/>
  <c r="N13" i="2"/>
  <c r="M18" i="7" l="1"/>
  <c r="M11" i="7"/>
  <c r="L17" i="9" l="1"/>
  <c r="M12" i="7" l="1"/>
  <c r="M20" i="7" l="1"/>
  <c r="N5" i="3" l="1"/>
  <c r="N6" i="3"/>
  <c r="N7" i="3"/>
  <c r="N8" i="3"/>
  <c r="N9" i="3"/>
  <c r="N10" i="3"/>
  <c r="N11" i="3"/>
  <c r="N12" i="3"/>
  <c r="N4" i="3"/>
  <c r="F9" i="11"/>
  <c r="C9" i="11"/>
  <c r="L4" i="9"/>
  <c r="L9" i="9"/>
  <c r="L12" i="9"/>
  <c r="L13" i="9"/>
  <c r="L14" i="9"/>
  <c r="L16" i="9"/>
  <c r="L18" i="9"/>
  <c r="L19" i="9"/>
  <c r="L6" i="11"/>
  <c r="L7" i="11"/>
  <c r="L8" i="11"/>
  <c r="L3" i="11"/>
  <c r="N13" i="3" l="1"/>
  <c r="M9" i="11"/>
  <c r="J22" i="9"/>
  <c r="L10" i="11"/>
  <c r="L11" i="11"/>
  <c r="L12" i="11" l="1"/>
  <c r="K6" i="11" l="1"/>
  <c r="K7" i="11"/>
  <c r="K8" i="11"/>
  <c r="K11" i="11"/>
  <c r="M5" i="7"/>
  <c r="M6" i="7"/>
  <c r="M7" i="7"/>
  <c r="M8" i="7"/>
  <c r="M9" i="7"/>
  <c r="M10" i="7"/>
  <c r="M13" i="7"/>
  <c r="M14" i="7"/>
  <c r="M16" i="7"/>
  <c r="E20" i="6"/>
  <c r="J6" i="11" s="1"/>
  <c r="H20" i="6"/>
  <c r="I20" i="6"/>
  <c r="J7" i="11"/>
  <c r="K20" i="6"/>
  <c r="J8" i="11" s="1"/>
  <c r="M20" i="6"/>
  <c r="D20" i="6"/>
  <c r="J3" i="11" s="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4" i="6"/>
  <c r="D16" i="5"/>
  <c r="I3" i="11" s="1"/>
  <c r="E16" i="5"/>
  <c r="I6" i="11" s="1"/>
  <c r="H16" i="5"/>
  <c r="I16" i="5"/>
  <c r="J16" i="5"/>
  <c r="I7" i="11" s="1"/>
  <c r="K16" i="5"/>
  <c r="I8" i="11" s="1"/>
  <c r="M16" i="5"/>
  <c r="I11" i="11" s="1"/>
  <c r="N5" i="5"/>
  <c r="N6" i="5"/>
  <c r="N7" i="5"/>
  <c r="N8" i="5"/>
  <c r="N9" i="5"/>
  <c r="N10" i="5"/>
  <c r="N11" i="5"/>
  <c r="N12" i="5"/>
  <c r="N13" i="5"/>
  <c r="N14" i="5"/>
  <c r="N15" i="5"/>
  <c r="N4" i="5"/>
  <c r="N5" i="4"/>
  <c r="N6" i="4"/>
  <c r="N7" i="4"/>
  <c r="N8" i="4"/>
  <c r="N9" i="4"/>
  <c r="N10" i="4"/>
  <c r="N11" i="4"/>
  <c r="N12" i="4"/>
  <c r="N13" i="4"/>
  <c r="M15" i="4"/>
  <c r="H11" i="11" s="1"/>
  <c r="H6" i="11"/>
  <c r="H15" i="4"/>
  <c r="I15" i="4"/>
  <c r="J15" i="4"/>
  <c r="H7" i="11" s="1"/>
  <c r="K15" i="4"/>
  <c r="H8" i="11" s="1"/>
  <c r="D15" i="4"/>
  <c r="H3" i="11" s="1"/>
  <c r="N4" i="4"/>
  <c r="G6" i="11"/>
  <c r="H13" i="3"/>
  <c r="I13" i="3"/>
  <c r="J13" i="3"/>
  <c r="G7" i="11" s="1"/>
  <c r="K13" i="3"/>
  <c r="G8" i="11" s="1"/>
  <c r="L13" i="3"/>
  <c r="F11" i="11"/>
  <c r="F7" i="11"/>
  <c r="F8" i="11"/>
  <c r="F3" i="11"/>
  <c r="E22" i="1"/>
  <c r="E6" i="11" s="1"/>
  <c r="G22" i="1"/>
  <c r="H22" i="1"/>
  <c r="I22" i="1"/>
  <c r="E8" i="11" s="1"/>
  <c r="D22" i="1"/>
  <c r="E3" i="11" s="1"/>
  <c r="K22" i="1"/>
  <c r="L21" i="1"/>
  <c r="L22" i="1" s="1"/>
  <c r="L11" i="9"/>
  <c r="L10" i="9"/>
  <c r="L8" i="9"/>
  <c r="L7" i="9"/>
  <c r="L6" i="9"/>
  <c r="L5" i="9"/>
  <c r="N20" i="6" l="1"/>
  <c r="M7" i="11"/>
  <c r="K3" i="11"/>
  <c r="J11" i="11"/>
  <c r="M4" i="7"/>
  <c r="L16" i="5"/>
  <c r="N16" i="5"/>
  <c r="D11" i="11"/>
  <c r="L15" i="9"/>
  <c r="L22" i="9" s="1"/>
  <c r="N14" i="4"/>
  <c r="N15" i="4" s="1"/>
  <c r="L15" i="4"/>
  <c r="E11" i="11" l="1"/>
  <c r="D13" i="3"/>
  <c r="G3" i="11" s="1"/>
  <c r="F6" i="11" l="1"/>
  <c r="D3" i="11" l="1"/>
  <c r="D6" i="11"/>
  <c r="D8" i="11"/>
  <c r="M13" i="3" l="1"/>
  <c r="G11" i="11" s="1"/>
  <c r="C11" i="11" l="1"/>
  <c r="M11" i="11" l="1"/>
  <c r="C3" i="11" l="1"/>
  <c r="M3" i="11" s="1"/>
  <c r="C6" i="11"/>
  <c r="M6" i="11" s="1"/>
  <c r="C8" i="11"/>
  <c r="M8" i="11" s="1"/>
  <c r="M10" i="11" l="1"/>
  <c r="M12" i="11" s="1"/>
  <c r="G10" i="11" l="1"/>
  <c r="G12" i="11" s="1"/>
  <c r="F10" i="11"/>
  <c r="F12" i="11" s="1"/>
  <c r="D10" i="11"/>
  <c r="D12" i="11" s="1"/>
  <c r="C10" i="11"/>
  <c r="C12" i="11" s="1"/>
  <c r="K10" i="11" l="1"/>
  <c r="K12" i="11" s="1"/>
  <c r="J10" i="11"/>
  <c r="J12" i="11" s="1"/>
  <c r="I10" i="11"/>
  <c r="I12" i="11" s="1"/>
  <c r="H10" i="11"/>
  <c r="H12" i="11" s="1"/>
  <c r="E10" i="11"/>
  <c r="E12" i="11" s="1"/>
  <c r="G12" i="10" l="1"/>
  <c r="H12" i="10"/>
  <c r="E9" i="10"/>
  <c r="F9" i="10"/>
  <c r="G9" i="10"/>
  <c r="H9" i="10"/>
  <c r="I9" i="10"/>
  <c r="J9" i="10"/>
  <c r="K9" i="10"/>
  <c r="F10" i="10"/>
  <c r="G10" i="10"/>
  <c r="H10" i="10"/>
  <c r="I10" i="10"/>
  <c r="K8" i="10"/>
  <c r="F8" i="10"/>
  <c r="I8" i="10"/>
  <c r="H7" i="10"/>
  <c r="J7" i="10"/>
  <c r="M5" i="10"/>
  <c r="N4" i="10"/>
  <c r="M10" i="10"/>
  <c r="E7" i="10"/>
  <c r="E4" i="10"/>
  <c r="J12" i="10"/>
  <c r="H4" i="10"/>
  <c r="H13" i="10" s="1"/>
  <c r="F4" i="10"/>
  <c r="J10" i="10"/>
  <c r="K10" i="10"/>
  <c r="K12" i="10"/>
  <c r="I4" i="10"/>
  <c r="G4" i="10"/>
  <c r="I12" i="10"/>
  <c r="F12" i="10"/>
  <c r="K7" i="10"/>
  <c r="I7" i="10"/>
  <c r="G7" i="10"/>
  <c r="F7" i="10"/>
  <c r="E43" i="10"/>
  <c r="E42" i="10"/>
  <c r="E41" i="10"/>
  <c r="E40" i="10"/>
  <c r="E39" i="10"/>
  <c r="E38" i="10"/>
  <c r="E37" i="10"/>
  <c r="E36" i="10"/>
  <c r="E35" i="10"/>
  <c r="K4" i="10"/>
  <c r="F43" i="10"/>
  <c r="F42" i="10"/>
  <c r="F41" i="10"/>
  <c r="F40" i="10"/>
  <c r="F39" i="10"/>
  <c r="F38" i="10"/>
  <c r="F37" i="10"/>
  <c r="F36" i="10"/>
  <c r="F35" i="10"/>
  <c r="D13" i="10"/>
  <c r="E12" i="10"/>
  <c r="E10" i="10"/>
  <c r="M12" i="10"/>
  <c r="H8" i="10"/>
  <c r="J8" i="10"/>
  <c r="G5" i="10"/>
  <c r="H5" i="10"/>
  <c r="I5" i="10"/>
  <c r="K5" i="10"/>
  <c r="E5" i="10"/>
  <c r="F6" i="10"/>
  <c r="G6" i="10"/>
  <c r="H6" i="10"/>
  <c r="I6" i="10"/>
  <c r="K6" i="10"/>
  <c r="E8" i="10"/>
  <c r="M4" i="10"/>
  <c r="L4" i="10"/>
  <c r="M8" i="10"/>
  <c r="M6" i="10"/>
  <c r="E6" i="10"/>
  <c r="G40" i="10" l="1"/>
  <c r="G39" i="10"/>
  <c r="G36" i="10"/>
  <c r="G35" i="10"/>
  <c r="I13" i="10"/>
  <c r="G38" i="10"/>
  <c r="G42" i="10"/>
  <c r="G41" i="10"/>
  <c r="G43" i="10"/>
  <c r="M7" i="10"/>
  <c r="G37" i="10"/>
  <c r="N12" i="10"/>
  <c r="E44" i="10"/>
  <c r="L5" i="10"/>
  <c r="F44" i="10"/>
  <c r="L8" i="10"/>
  <c r="N5" i="10"/>
  <c r="L7" i="10"/>
  <c r="N10" i="10"/>
  <c r="N6" i="10"/>
  <c r="L6" i="10"/>
  <c r="F5" i="10"/>
  <c r="G8" i="10"/>
  <c r="L10" i="10"/>
  <c r="L12" i="10"/>
  <c r="M9" i="10"/>
  <c r="G44" i="10" l="1"/>
  <c r="L9" i="10"/>
  <c r="N7" i="10"/>
  <c r="N8" i="10"/>
  <c r="N9" i="10"/>
  <c r="I11" i="10" l="1"/>
  <c r="H11" i="10"/>
  <c r="F11" i="10"/>
  <c r="F13" i="10" s="1"/>
  <c r="G11" i="10"/>
  <c r="G13" i="10" s="1"/>
  <c r="L11" i="10"/>
  <c r="L13" i="10" s="1"/>
  <c r="K11" i="10"/>
  <c r="K13" i="10" s="1"/>
  <c r="J11" i="10"/>
  <c r="J13" i="10" s="1"/>
  <c r="M11" i="10"/>
  <c r="M13" i="10" s="1"/>
  <c r="N11" i="10"/>
  <c r="N13" i="10" s="1"/>
  <c r="E11" i="10"/>
  <c r="E13" i="10" s="1"/>
  <c r="K22" i="7"/>
  <c r="M15" i="7"/>
  <c r="M22" i="7" s="1"/>
</calcChain>
</file>

<file path=xl/comments1.xml><?xml version="1.0" encoding="utf-8"?>
<comments xmlns="http://schemas.openxmlformats.org/spreadsheetml/2006/main">
  <authors>
    <author>tc={B967ECDB-CAC1-4164-8F14-72B4BCE2E5B2}</author>
  </authors>
  <commentList>
    <comment ref="B20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Primary 1 not Preschool and fees have been fully paid</t>
        </r>
      </text>
    </comment>
  </commentList>
</comments>
</file>

<file path=xl/comments2.xml><?xml version="1.0" encoding="utf-8"?>
<comments xmlns="http://schemas.openxmlformats.org/spreadsheetml/2006/main">
  <authors>
    <author>tc={C778FD49-CD5F-49F2-A536-C38921AE7A74}</author>
  </authors>
  <commentList>
    <comment ref="C10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School Bus debt</t>
        </r>
      </text>
    </comment>
  </commentList>
</comments>
</file>

<file path=xl/comments3.xml><?xml version="1.0" encoding="utf-8"?>
<comments xmlns="http://schemas.openxmlformats.org/spreadsheetml/2006/main">
  <authors>
    <author>tc={51643985-A72B-476A-AEEF-ECADF2B1EE3B}</author>
  </authors>
  <commentList>
    <comment ref="C1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Client made overpayment</t>
        </r>
      </text>
    </comment>
  </commentList>
</comments>
</file>

<file path=xl/comments4.xml><?xml version="1.0" encoding="utf-8"?>
<comments xmlns="http://schemas.openxmlformats.org/spreadsheetml/2006/main">
  <authors>
    <author>tc={E668592C-9BC9-4741-B78C-5DE84FDF4BB0}</author>
  </authors>
  <commentList>
    <comment ref="C6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originally included but later highlighted by Sandra</t>
        </r>
      </text>
    </comment>
  </commentList>
</comments>
</file>

<file path=xl/comments5.xml><?xml version="1.0" encoding="utf-8"?>
<comments xmlns="http://schemas.openxmlformats.org/spreadsheetml/2006/main">
  <authors>
    <author>tc={BF3DE270-84AD-4613-B8A4-0E09F7520A21}</author>
  </authors>
  <commentList>
    <comment ref="C9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paid by N10</t>
        </r>
      </text>
    </comment>
  </commentList>
</comments>
</file>

<file path=xl/sharedStrings.xml><?xml version="1.0" encoding="utf-8"?>
<sst xmlns="http://schemas.openxmlformats.org/spreadsheetml/2006/main" count="385" uniqueCount="211">
  <si>
    <t>Pupil Name</t>
  </si>
  <si>
    <t>School Fees</t>
  </si>
  <si>
    <t>PTA</t>
  </si>
  <si>
    <t>Books</t>
  </si>
  <si>
    <t>Uniforms</t>
  </si>
  <si>
    <t>School Bus</t>
  </si>
  <si>
    <t>S/No</t>
  </si>
  <si>
    <t>Previous Debt</t>
  </si>
  <si>
    <t>Total Due</t>
  </si>
  <si>
    <t>Total Paid</t>
  </si>
  <si>
    <t>PAYMENTS RECEIVED</t>
  </si>
  <si>
    <t>Abbey-Kalio O Lily</t>
  </si>
  <si>
    <t>Ibilolia Deborah Clarkson</t>
  </si>
  <si>
    <t>Princess Minadiri Kala-Ogolo</t>
  </si>
  <si>
    <t>Kalio ibitoroko Blessing</t>
  </si>
  <si>
    <t>Tom-Jaja Michael</t>
  </si>
  <si>
    <t>Princess Faith Olalibo</t>
  </si>
  <si>
    <t>Delight Aduba</t>
  </si>
  <si>
    <t>Queen Whyte</t>
  </si>
  <si>
    <t>Sam Bomate Ibinabo</t>
  </si>
  <si>
    <t>Aboki Rejoice</t>
  </si>
  <si>
    <t>Abdulkadir, Abdulhazeez A</t>
  </si>
  <si>
    <t>NURSERY 2</t>
  </si>
  <si>
    <t>Omiete Kalango</t>
  </si>
  <si>
    <t>David S. Inko-Tariah</t>
  </si>
  <si>
    <t>Abbey-Kalio O. Betty</t>
  </si>
  <si>
    <t>Aboki Evovone John</t>
  </si>
  <si>
    <t>Victor E. Ayerite</t>
  </si>
  <si>
    <t>Sopriye Ibifubara</t>
  </si>
  <si>
    <t>Kenneth Okafor</t>
  </si>
  <si>
    <t>Outstanding</t>
  </si>
  <si>
    <t>ICT</t>
  </si>
  <si>
    <t>PRIMARY 2</t>
  </si>
  <si>
    <t>PRIMARY 3</t>
  </si>
  <si>
    <t>Divine Okosi</t>
  </si>
  <si>
    <t>Goodwill Eneyo</t>
  </si>
  <si>
    <t>PRIMARY 4</t>
  </si>
  <si>
    <t>PRIMARY 5</t>
  </si>
  <si>
    <t>KG</t>
  </si>
  <si>
    <t>N1</t>
  </si>
  <si>
    <t>N2</t>
  </si>
  <si>
    <t>P1</t>
  </si>
  <si>
    <t>P2</t>
  </si>
  <si>
    <t>P3</t>
  </si>
  <si>
    <t>P4</t>
  </si>
  <si>
    <t>P5</t>
  </si>
  <si>
    <t>P6</t>
  </si>
  <si>
    <t>S/NO</t>
  </si>
  <si>
    <t>CLASS</t>
  </si>
  <si>
    <t>NO</t>
  </si>
  <si>
    <t>BOOK ANALYSIS</t>
  </si>
  <si>
    <t>FEE ANALYSIS</t>
  </si>
  <si>
    <t>INCOME</t>
  </si>
  <si>
    <t>PROFIT</t>
  </si>
  <si>
    <t>COST OF BOOKS &amp; CRAFTS</t>
  </si>
  <si>
    <t>Uniform</t>
  </si>
  <si>
    <t>Fortuna Ebezimoh</t>
  </si>
  <si>
    <t>Temeketin Imomoemi Alphaeus</t>
  </si>
  <si>
    <t>Solate Sam</t>
  </si>
  <si>
    <t>David Sunday-Christain</t>
  </si>
  <si>
    <t>Delight Ibiyetorokome Wakama</t>
  </si>
  <si>
    <t>Toochukwu Praise T. Ikechukwu</t>
  </si>
  <si>
    <t>Nursery 1</t>
  </si>
  <si>
    <t>Nursery 2</t>
  </si>
  <si>
    <t>Primary 1</t>
  </si>
  <si>
    <t>Primary 2</t>
  </si>
  <si>
    <t>Primary 3</t>
  </si>
  <si>
    <t>Primary 4</t>
  </si>
  <si>
    <t>Primary 5</t>
  </si>
  <si>
    <t>Total</t>
  </si>
  <si>
    <t>Karina Ibubeleye</t>
  </si>
  <si>
    <t>Total Expected Income</t>
  </si>
  <si>
    <t>Item</t>
  </si>
  <si>
    <t>Tuition</t>
  </si>
  <si>
    <t xml:space="preserve">Total </t>
  </si>
  <si>
    <t>Precious Ibifiri Daka</t>
  </si>
  <si>
    <t>Tamuno-orango Igbanibo Maxwell</t>
  </si>
  <si>
    <t>Tamunofiri Elijah Dadin-Alli</t>
  </si>
  <si>
    <t>Tamunokuro Elisha Dadin-Alli</t>
  </si>
  <si>
    <t>Florence Ben</t>
  </si>
  <si>
    <t>Caleb Boma Felix</t>
  </si>
  <si>
    <t>Grateful Benson</t>
  </si>
  <si>
    <t>Mercy Benson</t>
  </si>
  <si>
    <t>Otokinibia Lawrence-Perebo</t>
  </si>
  <si>
    <t>Harees Abdulkadir</t>
  </si>
  <si>
    <t>Christopher Gabriel</t>
  </si>
  <si>
    <t>Ibinabo Esther Boma joel</t>
  </si>
  <si>
    <t>Zion Mitchel</t>
  </si>
  <si>
    <t>Emmanuella U. Williams</t>
  </si>
  <si>
    <t>Prince Reginald Okosi</t>
  </si>
  <si>
    <t>Victory Tamunoseipriala Godwill</t>
  </si>
  <si>
    <t>Love Adi-James</t>
  </si>
  <si>
    <t>`</t>
  </si>
  <si>
    <t>Akusionwu Immaculata</t>
  </si>
  <si>
    <t>Maranatha Chisom Felix</t>
  </si>
  <si>
    <t>Akerele Johnson Ohifeme</t>
  </si>
  <si>
    <t>Temeketin Layefa</t>
  </si>
  <si>
    <t>Jumbo Jayden Ebisinte</t>
  </si>
  <si>
    <t xml:space="preserve"> </t>
  </si>
  <si>
    <t>r</t>
  </si>
  <si>
    <t>NURSERY 1</t>
  </si>
  <si>
    <t>PRIMARY 1</t>
  </si>
  <si>
    <t>Sophia Ibitoru Sam</t>
  </si>
  <si>
    <t>Kalio Harold Gabriel T.</t>
  </si>
  <si>
    <t>James Susan Iyaye</t>
  </si>
  <si>
    <t>James Hilder Iyowuna</t>
  </si>
  <si>
    <t>Songo_Dawari Estelle T</t>
  </si>
  <si>
    <t>Kere Nte Ibilolia Excel</t>
  </si>
  <si>
    <t>Collins Okosi</t>
  </si>
  <si>
    <t>Ibiene Kala-Ogolo</t>
  </si>
  <si>
    <t>Tamunoiyowuna John Inko - Tariah</t>
  </si>
  <si>
    <t>Victory Tom-Jaja</t>
  </si>
  <si>
    <t>John Daniel Nzuputachi</t>
  </si>
  <si>
    <t>Deborah Sunday</t>
  </si>
  <si>
    <t>Richesse-Esther Harry</t>
  </si>
  <si>
    <t>JSS 1</t>
  </si>
  <si>
    <t>Membere Favour Damiete</t>
  </si>
  <si>
    <t>George Oselem Belema</t>
  </si>
  <si>
    <t>Lucky Peremabo Harmony</t>
  </si>
  <si>
    <t>Ebizimoh Leonardo</t>
  </si>
  <si>
    <t>Ezekiel-Hart Edna</t>
  </si>
  <si>
    <t>Membere Joy Awo-Ngonengim</t>
  </si>
  <si>
    <t>Amaso Sophia Adokiye Ibubeleye</t>
  </si>
  <si>
    <t>Hart Tamunotonye</t>
  </si>
  <si>
    <t>Fiyananabor Kristin Ebiye</t>
  </si>
  <si>
    <t xml:space="preserve">Tubonimi-Tariah Tamunotonye </t>
  </si>
  <si>
    <t>Nengi Lawrence-Perebo</t>
  </si>
  <si>
    <t>Joel Kalio</t>
  </si>
  <si>
    <t>Fortune Kalio</t>
  </si>
  <si>
    <t>Amris Collins</t>
  </si>
  <si>
    <t>Nimim Gordon-Brown</t>
  </si>
  <si>
    <t>Boma Gordon-Brown</t>
  </si>
  <si>
    <t>Naomi Silas Uyenem</t>
  </si>
  <si>
    <t>Nteiro Silas Uyenem</t>
  </si>
  <si>
    <t>Nimi Telema Georgewill</t>
  </si>
  <si>
    <t>Tamunotonye Briggs</t>
  </si>
  <si>
    <t>Michael Briggs</t>
  </si>
  <si>
    <t>Georgewill Telema Emmanuel</t>
  </si>
  <si>
    <t>Date</t>
  </si>
  <si>
    <t>Amasiah Living-Stone</t>
  </si>
  <si>
    <t>Cardinal David LivingStone</t>
  </si>
  <si>
    <t>Ibanibo Maxwell Tamuno</t>
  </si>
  <si>
    <t>Miracle Oweizitei</t>
  </si>
  <si>
    <t>Neme George Samuel</t>
  </si>
  <si>
    <t>Abundant Idole</t>
  </si>
  <si>
    <t>Alabibo Ibiye Deinma</t>
  </si>
  <si>
    <t>Nwagu Michael Ebube</t>
  </si>
  <si>
    <t>Nwagu Matilda Chioma</t>
  </si>
  <si>
    <t xml:space="preserve"> Akere Karinatei Godstime</t>
  </si>
  <si>
    <t>Esther Abiye Josiah</t>
  </si>
  <si>
    <t>Tamunoimama David Dawari</t>
  </si>
  <si>
    <t>Amaso Suzzet</t>
  </si>
  <si>
    <t>Tamunobarafiri Collins Oruma</t>
  </si>
  <si>
    <t>Jacob Okakru</t>
  </si>
  <si>
    <t>Nengi Maxwell</t>
  </si>
  <si>
    <t>Godswill Victor</t>
  </si>
  <si>
    <t>Favour Tamunopriye Jidechi</t>
  </si>
  <si>
    <t>Caroline Fubara Odeyh Princess</t>
  </si>
  <si>
    <t>Desmond Nemi Benson-Iwo</t>
  </si>
  <si>
    <t>Tamunodamiekaibioforice Dokubo</t>
  </si>
  <si>
    <t>Precious Oluwa Kemi</t>
  </si>
  <si>
    <t>Jesse Lawson</t>
  </si>
  <si>
    <t>Victor I.K Omughelle</t>
  </si>
  <si>
    <t>Peniel Jackson</t>
  </si>
  <si>
    <t>Akere Marvellous</t>
  </si>
  <si>
    <t>Harry Clinton</t>
  </si>
  <si>
    <t>Uyene Ubene Silas Awagi</t>
  </si>
  <si>
    <t>JSS 2</t>
  </si>
  <si>
    <t>Isreal Tom-Jaja</t>
  </si>
  <si>
    <t>Aseme .L. Orunaboka</t>
  </si>
  <si>
    <t>Ayomide Williams</t>
  </si>
  <si>
    <t>Joy A. Ayerite</t>
  </si>
  <si>
    <t>Isaac Victory Inemeawaji</t>
  </si>
  <si>
    <t>Ariweriokuma Grace</t>
  </si>
  <si>
    <t>Egemony Emmanuel Izuchukwu</t>
  </si>
  <si>
    <t>Jackson Chekuro</t>
  </si>
  <si>
    <t>Iyalla Victory</t>
  </si>
  <si>
    <t>Faith Adada</t>
  </si>
  <si>
    <t>Bright Felix</t>
  </si>
  <si>
    <t>Ominini Alolote Sokari</t>
  </si>
  <si>
    <t>Rose James Ukofia</t>
  </si>
  <si>
    <t>Divine Aduba</t>
  </si>
  <si>
    <t>Oriton Panga Fenibo</t>
  </si>
  <si>
    <t>Total Received</t>
  </si>
  <si>
    <t>Tekenah Beucah Iolia Edward</t>
  </si>
  <si>
    <t>Ebiwanri Jasper Preye</t>
  </si>
  <si>
    <t>Isreal Ebibiete Ryan</t>
  </si>
  <si>
    <t>Evon Austeen</t>
  </si>
  <si>
    <t>Loveday Prudence</t>
  </si>
  <si>
    <t>Igbikiyemieari Trust Obelemabo-Oforiye</t>
  </si>
  <si>
    <t>Tamunoseimiebie ExcellentGod</t>
  </si>
  <si>
    <t>TOTAL</t>
  </si>
  <si>
    <t>Cultural Day</t>
  </si>
  <si>
    <t>Cultrual Day</t>
  </si>
  <si>
    <t>Book Supplement</t>
  </si>
  <si>
    <t>Praise Okosi</t>
  </si>
  <si>
    <t>Abiye Iyaye Precious</t>
  </si>
  <si>
    <t>Miracle Asonna</t>
  </si>
  <si>
    <t>Delightsom Rogbuwa</t>
  </si>
  <si>
    <t>Mavelous Rogbuwa</t>
  </si>
  <si>
    <t>Flourish George</t>
  </si>
  <si>
    <t>Victor Imabibo</t>
  </si>
  <si>
    <t>Benson Belema</t>
  </si>
  <si>
    <t>Kio-jack Olivia</t>
  </si>
  <si>
    <t>09/01/2019 07/01/2019</t>
  </si>
  <si>
    <t>04/01/2019 07/01/2019</t>
  </si>
  <si>
    <t xml:space="preserve"> 04/01/2019 14/01/2019</t>
  </si>
  <si>
    <t xml:space="preserve"> 14/12/2018 07/01/2019 </t>
  </si>
  <si>
    <t>16/01/2019 17/01/2019</t>
  </si>
  <si>
    <t>09/01/2019 15/01/2019</t>
  </si>
  <si>
    <t>06/12/2018 10/01/2019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</si>
</sst>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₦-46A]\ 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4" fontId="0" fillId="0" borderId="0" xfId="0" applyNumberFormat="1"/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3" xfId="0" applyFont="1" applyBorder="1"/>
    <xf numFmtId="0" fontId="1" fillId="0" borderId="7" xfId="0" applyFont="1" applyBorder="1"/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0" applyFont="1" applyProtection="1">
      <protection locked="0"/>
    </xf>
    <xf numFmtId="3" fontId="2" fillId="0" borderId="1" xfId="0" applyNumberFormat="1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14" fontId="2" fillId="0" borderId="0" xfId="0" applyNumberFormat="1" applyFont="1" applyProtection="1">
      <protection locked="0"/>
    </xf>
    <xf numFmtId="4" fontId="2" fillId="2" borderId="1" xfId="0" applyNumberFormat="1" applyFont="1" applyFill="1" applyBorder="1" applyProtection="1">
      <protection locked="0"/>
    </xf>
    <xf numFmtId="3" fontId="3" fillId="0" borderId="1" xfId="0" applyNumberFormat="1" applyFont="1" applyBorder="1" applyProtection="1">
      <protection locked="0"/>
    </xf>
    <xf numFmtId="164" fontId="3" fillId="0" borderId="1" xfId="0" applyNumberFormat="1" applyFont="1" applyBorder="1" applyProtection="1">
      <protection locked="0"/>
    </xf>
    <xf numFmtId="14" fontId="3" fillId="0" borderId="1" xfId="0" applyNumberFormat="1" applyFont="1" applyBorder="1" applyProtection="1">
      <protection locked="0"/>
    </xf>
    <xf numFmtId="0" fontId="3" fillId="0" borderId="0" xfId="0" applyFont="1" applyProtection="1">
      <protection locked="0"/>
    </xf>
    <xf numFmtId="164" fontId="2" fillId="0" borderId="1" xfId="0" applyNumberFormat="1" applyFont="1" applyBorder="1" applyProtection="1"/>
    <xf numFmtId="164" fontId="3" fillId="0" borderId="1" xfId="0" applyNumberFormat="1" applyFont="1" applyBorder="1" applyProtection="1"/>
    <xf numFmtId="0" fontId="1" fillId="0" borderId="4" xfId="0" applyFont="1" applyBorder="1" applyProtection="1"/>
    <xf numFmtId="0" fontId="1" fillId="0" borderId="5" xfId="0" applyFont="1" applyBorder="1" applyProtection="1"/>
    <xf numFmtId="0" fontId="1" fillId="0" borderId="5" xfId="0" applyFont="1" applyFill="1" applyBorder="1" applyProtection="1"/>
    <xf numFmtId="0" fontId="1" fillId="0" borderId="8" xfId="0" applyFont="1" applyFill="1" applyBorder="1" applyProtection="1"/>
    <xf numFmtId="0" fontId="1" fillId="0" borderId="15" xfId="0" applyFont="1" applyFill="1" applyBorder="1" applyProtection="1"/>
    <xf numFmtId="0" fontId="1" fillId="0" borderId="9" xfId="0" applyFont="1" applyFill="1" applyBorder="1" applyProtection="1"/>
    <xf numFmtId="3" fontId="1" fillId="0" borderId="10" xfId="0" applyNumberFormat="1" applyFont="1" applyBorder="1" applyProtection="1"/>
    <xf numFmtId="0" fontId="0" fillId="0" borderId="1" xfId="0" applyBorder="1" applyProtection="1"/>
    <xf numFmtId="0" fontId="0" fillId="0" borderId="6" xfId="0" applyFont="1" applyBorder="1" applyProtection="1"/>
    <xf numFmtId="3" fontId="0" fillId="0" borderId="1" xfId="0" applyNumberFormat="1" applyFont="1" applyBorder="1" applyProtection="1"/>
    <xf numFmtId="3" fontId="0" fillId="0" borderId="2" xfId="0" applyNumberFormat="1" applyFont="1" applyBorder="1" applyProtection="1"/>
    <xf numFmtId="3" fontId="0" fillId="0" borderId="16" xfId="0" applyNumberFormat="1" applyFont="1" applyBorder="1" applyProtection="1"/>
    <xf numFmtId="0" fontId="0" fillId="0" borderId="13" xfId="0" applyFont="1" applyBorder="1" applyProtection="1"/>
    <xf numFmtId="3" fontId="0" fillId="0" borderId="7" xfId="0" applyNumberFormat="1" applyFont="1" applyBorder="1" applyProtection="1"/>
    <xf numFmtId="3" fontId="0" fillId="0" borderId="12" xfId="0" applyNumberFormat="1" applyFont="1" applyBorder="1" applyProtection="1"/>
    <xf numFmtId="3" fontId="0" fillId="0" borderId="17" xfId="0" applyNumberFormat="1" applyFont="1" applyBorder="1" applyProtection="1"/>
    <xf numFmtId="0" fontId="1" fillId="0" borderId="13" xfId="0" applyFont="1" applyFill="1" applyBorder="1" applyProtection="1"/>
    <xf numFmtId="3" fontId="1" fillId="0" borderId="7" xfId="0" applyNumberFormat="1" applyFont="1" applyBorder="1" applyProtection="1"/>
    <xf numFmtId="3" fontId="1" fillId="0" borderId="12" xfId="0" applyNumberFormat="1" applyFont="1" applyBorder="1" applyProtection="1"/>
    <xf numFmtId="3" fontId="1" fillId="0" borderId="14" xfId="0" applyNumberFormat="1" applyFont="1" applyBorder="1" applyProtection="1"/>
    <xf numFmtId="0" fontId="0" fillId="0" borderId="1" xfId="0" applyFont="1" applyFill="1" applyBorder="1" applyProtection="1"/>
    <xf numFmtId="3" fontId="4" fillId="0" borderId="1" xfId="0" applyNumberFormat="1" applyFont="1" applyBorder="1" applyProtection="1"/>
    <xf numFmtId="0" fontId="2" fillId="3" borderId="1" xfId="0" applyFont="1" applyFill="1" applyBorder="1" applyProtection="1">
      <protection locked="0"/>
    </xf>
    <xf numFmtId="164" fontId="2" fillId="3" borderId="1" xfId="0" applyNumberFormat="1" applyFont="1" applyFill="1" applyBorder="1" applyProtection="1">
      <protection locked="0"/>
    </xf>
    <xf numFmtId="164" fontId="2" fillId="3" borderId="1" xfId="0" applyNumberFormat="1" applyFont="1" applyFill="1" applyBorder="1" applyProtection="1"/>
    <xf numFmtId="14" fontId="2" fillId="3" borderId="1" xfId="0" applyNumberFormat="1" applyFont="1" applyFill="1" applyBorder="1" applyProtection="1">
      <protection locked="0"/>
    </xf>
    <xf numFmtId="0" fontId="0" fillId="0" borderId="0" xfId="0" applyFont="1"/>
    <xf numFmtId="0" fontId="0" fillId="0" borderId="0" xfId="0" applyFont="1" applyBorder="1"/>
    <xf numFmtId="4" fontId="0" fillId="0" borderId="1" xfId="0" applyNumberFormat="1" applyFont="1" applyBorder="1" applyProtection="1"/>
    <xf numFmtId="0" fontId="0" fillId="0" borderId="1" xfId="0" applyFont="1" applyBorder="1" applyProtection="1"/>
    <xf numFmtId="4" fontId="2" fillId="0" borderId="0" xfId="0" applyNumberFormat="1" applyFont="1" applyProtection="1">
      <protection locked="0"/>
    </xf>
    <xf numFmtId="3" fontId="2" fillId="0" borderId="0" xfId="0" applyNumberFormat="1" applyFont="1" applyProtection="1">
      <protection locked="0"/>
    </xf>
    <xf numFmtId="0" fontId="3" fillId="0" borderId="1" xfId="0" applyFont="1" applyBorder="1" applyProtection="1"/>
    <xf numFmtId="4" fontId="3" fillId="0" borderId="1" xfId="0" applyNumberFormat="1" applyFont="1" applyBorder="1" applyProtection="1"/>
    <xf numFmtId="3" fontId="2" fillId="0" borderId="1" xfId="0" applyNumberFormat="1" applyFont="1" applyBorder="1" applyProtection="1"/>
    <xf numFmtId="0" fontId="2" fillId="0" borderId="1" xfId="0" applyFont="1" applyBorder="1" applyProtection="1"/>
    <xf numFmtId="0" fontId="3" fillId="0" borderId="1" xfId="0" applyFont="1" applyFill="1" applyBorder="1" applyProtection="1"/>
    <xf numFmtId="3" fontId="2" fillId="3" borderId="1" xfId="0" applyNumberFormat="1" applyFont="1" applyFill="1" applyBorder="1" applyProtection="1"/>
    <xf numFmtId="0" fontId="2" fillId="3" borderId="1" xfId="0" applyFont="1" applyFill="1" applyBorder="1" applyProtection="1"/>
    <xf numFmtId="0" fontId="2" fillId="2" borderId="1" xfId="0" applyFont="1" applyFill="1" applyBorder="1" applyProtection="1"/>
    <xf numFmtId="4" fontId="2" fillId="2" borderId="1" xfId="0" applyNumberFormat="1" applyFont="1" applyFill="1" applyBorder="1" applyProtection="1"/>
    <xf numFmtId="0" fontId="2" fillId="0" borderId="0" xfId="0" applyFont="1" applyProtection="1"/>
    <xf numFmtId="3" fontId="3" fillId="0" borderId="1" xfId="0" applyNumberFormat="1" applyFont="1" applyBorder="1" applyProtection="1"/>
    <xf numFmtId="0" fontId="3" fillId="0" borderId="1" xfId="0" applyFont="1" applyBorder="1" applyAlignment="1" applyProtection="1">
      <protection locked="0"/>
    </xf>
    <xf numFmtId="164" fontId="6" fillId="0" borderId="1" xfId="0" applyNumberFormat="1" applyFont="1" applyBorder="1" applyProtection="1">
      <protection locked="0"/>
    </xf>
    <xf numFmtId="164" fontId="0" fillId="0" borderId="1" xfId="0" applyNumberFormat="1" applyFont="1" applyBorder="1" applyProtection="1">
      <protection locked="0"/>
    </xf>
    <xf numFmtId="3" fontId="2" fillId="0" borderId="2" xfId="0" applyNumberFormat="1" applyFont="1" applyBorder="1" applyProtection="1"/>
    <xf numFmtId="3" fontId="2" fillId="3" borderId="2" xfId="0" applyNumberFormat="1" applyFont="1" applyFill="1" applyBorder="1" applyProtection="1"/>
    <xf numFmtId="0" fontId="2" fillId="0" borderId="2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3" fillId="0" borderId="0" xfId="0" applyFont="1" applyBorder="1" applyProtection="1">
      <protection locked="0"/>
    </xf>
    <xf numFmtId="4" fontId="2" fillId="0" borderId="0" xfId="0" applyNumberFormat="1" applyFont="1" applyBorder="1" applyProtection="1">
      <protection locked="0"/>
    </xf>
    <xf numFmtId="4" fontId="2" fillId="0" borderId="1" xfId="0" applyNumberFormat="1" applyFont="1" applyBorder="1" applyProtection="1">
      <protection locked="0"/>
    </xf>
    <xf numFmtId="0" fontId="2" fillId="0" borderId="11" xfId="0" applyFont="1" applyFill="1" applyBorder="1" applyProtection="1">
      <protection locked="0"/>
    </xf>
    <xf numFmtId="0" fontId="3" fillId="0" borderId="2" xfId="0" applyFont="1" applyBorder="1" applyProtection="1"/>
    <xf numFmtId="4" fontId="2" fillId="3" borderId="1" xfId="0" applyNumberFormat="1" applyFont="1" applyFill="1" applyBorder="1" applyProtection="1">
      <protection locked="0"/>
    </xf>
    <xf numFmtId="0" fontId="0" fillId="3" borderId="1" xfId="0" applyFill="1" applyBorder="1" applyProtection="1"/>
    <xf numFmtId="0" fontId="3" fillId="0" borderId="0" xfId="0" applyFont="1" applyFill="1" applyBorder="1" applyProtection="1">
      <protection locked="0"/>
    </xf>
    <xf numFmtId="14" fontId="2" fillId="0" borderId="0" xfId="0" applyNumberFormat="1" applyFont="1" applyBorder="1" applyProtection="1">
      <protection locked="0"/>
    </xf>
    <xf numFmtId="14" fontId="2" fillId="0" borderId="1" xfId="0" applyNumberFormat="1" applyFont="1" applyFill="1" applyBorder="1" applyProtection="1">
      <protection locked="0"/>
    </xf>
    <xf numFmtId="164" fontId="5" fillId="0" borderId="1" xfId="0" applyNumberFormat="1" applyFont="1" applyBorder="1" applyProtection="1">
      <protection locked="0"/>
    </xf>
    <xf numFmtId="0" fontId="0" fillId="0" borderId="0" xfId="0" applyProtection="1">
      <protection locked="0"/>
    </xf>
    <xf numFmtId="0" fontId="2" fillId="0" borderId="18" xfId="0" applyFont="1" applyBorder="1" applyProtection="1"/>
    <xf numFmtId="0" fontId="3" fillId="0" borderId="18" xfId="0" applyFont="1" applyBorder="1" applyProtection="1"/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Pupil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Page'!$C$4:$C$12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Page'!$D$4:$D$12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17</c:v>
                </c:pt>
                <c:pt idx="7">
                  <c:v>20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FC-4FF1-AA25-FB793BB1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78944"/>
        <c:axId val="74180480"/>
      </c:barChart>
      <c:catAx>
        <c:axId val="741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0480"/>
        <c:crosses val="autoZero"/>
        <c:auto val="1"/>
        <c:lblAlgn val="ctr"/>
        <c:lblOffset val="100"/>
        <c:noMultiLvlLbl val="0"/>
      </c:catAx>
      <c:valAx>
        <c:axId val="741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</a:t>
            </a:r>
            <a:r>
              <a:rPr lang="en-US" baseline="0"/>
              <a:t> Sales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Page'!$E$34</c:f>
              <c:strCache>
                <c:ptCount val="1"/>
                <c:pt idx="0">
                  <c:v>COST OF BOOKS &amp; CRAFTS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Page'!$E$35:$E$43</c:f>
              <c:numCache>
                <c:formatCode>#,##0.00</c:formatCode>
                <c:ptCount val="9"/>
                <c:pt idx="0">
                  <c:v>29000</c:v>
                </c:pt>
                <c:pt idx="1">
                  <c:v>50500</c:v>
                </c:pt>
                <c:pt idx="2">
                  <c:v>87000</c:v>
                </c:pt>
                <c:pt idx="3">
                  <c:v>132800</c:v>
                </c:pt>
                <c:pt idx="4">
                  <c:v>188010</c:v>
                </c:pt>
                <c:pt idx="5">
                  <c:v>235510</c:v>
                </c:pt>
                <c:pt idx="6">
                  <c:v>211650</c:v>
                </c:pt>
                <c:pt idx="7">
                  <c:v>227800</c:v>
                </c:pt>
                <c:pt idx="8">
                  <c:v>54175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7-42B3-AEFD-3270D364863E}"/>
            </c:ext>
          </c:extLst>
        </c:ser>
        <c:ser>
          <c:idx val="1"/>
          <c:order val="1"/>
          <c:tx>
            <c:strRef>
              <c:f>'Summary Page'!$F$34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Page'!$F$35:$F$43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7-42B3-AEFD-3270D364863E}"/>
            </c:ext>
          </c:extLst>
        </c:ser>
        <c:ser>
          <c:idx val="2"/>
          <c:order val="2"/>
          <c:tx>
            <c:strRef>
              <c:f>'Summary Page'!$G$34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Page'!$G$35:$G$43</c:f>
              <c:numCache>
                <c:formatCode>#,##0.00</c:formatCode>
                <c:ptCount val="9"/>
                <c:pt idx="0">
                  <c:v>0</c:v>
                </c:pt>
                <c:pt idx="1">
                  <c:v>-50500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-235510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87-42B3-AEFD-3270D3648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443456"/>
        <c:axId val="77444992"/>
      </c:barChart>
      <c:catAx>
        <c:axId val="774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992"/>
        <c:crosses val="autoZero"/>
        <c:auto val="1"/>
        <c:lblAlgn val="ctr"/>
        <c:lblOffset val="100"/>
        <c:noMultiLvlLbl val="0"/>
      </c:catAx>
      <c:valAx>
        <c:axId val="774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91B-4267-A830-81DCE0F56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91B-4267-A830-81DCE0F56E4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('Summary Page'!$L$3,'Summary Page'!$N$3)</c:f>
              <c:strCache>
                <c:ptCount val="2"/>
                <c:pt idx="0">
                  <c:v>Total Paid</c:v>
                </c:pt>
                <c:pt idx="1">
                  <c:v>Outstanding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'Summary Page'!$L$3:$N$3</c15:sqref>
                  </c15:fullRef>
                </c:ext>
              </c:extLst>
            </c:strRef>
          </c:cat>
          <c:val>
            <c:numRef>
              <c:f>('Summary Page'!$L$13,'Summary Page'!$N$13)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'Summary Page'!$L$13:$N$13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91B-4267-A830-81DCE0F56E4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Fee Payment</a:t>
            </a:r>
            <a:r>
              <a:rPr lang="en-GB" baseline="0"/>
              <a:t> Status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8"/>
          <c:order val="0"/>
          <c:tx>
            <c:strRef>
              <c:f>'Expected income'!$B$11</c:f>
              <c:strCache>
                <c:ptCount val="1"/>
                <c:pt idx="0">
                  <c:v>Total Received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'Expected income'!$C$2:$L$2</c:f>
              <c:strCache>
                <c:ptCount val="10"/>
                <c:pt idx="0">
                  <c:v>KG</c:v>
                </c:pt>
                <c:pt idx="1">
                  <c:v>Nursery 1</c:v>
                </c:pt>
                <c:pt idx="2">
                  <c:v>Nursery 2</c:v>
                </c:pt>
                <c:pt idx="3">
                  <c:v>Primary 1</c:v>
                </c:pt>
                <c:pt idx="4">
                  <c:v>Primary 2</c:v>
                </c:pt>
                <c:pt idx="5">
                  <c:v>Primary 3</c:v>
                </c:pt>
                <c:pt idx="6">
                  <c:v>Primary 4</c:v>
                </c:pt>
                <c:pt idx="7">
                  <c:v>Primary 5</c:v>
                </c:pt>
                <c:pt idx="8">
                  <c:v>JSS 1</c:v>
                </c:pt>
                <c:pt idx="9">
                  <c:v>JSS 2</c:v>
                </c:pt>
              </c:strCache>
            </c:strRef>
          </c:cat>
          <c:val>
            <c:numRef>
              <c:f>'Expected income'!$C$11:$L$11</c:f>
              <c:numCache>
                <c:formatCode>General</c:formatCode>
                <c:ptCount val="10"/>
                <c:pt idx="0">
                  <c:v>351000</c:v>
                </c:pt>
                <c:pt idx="1">
                  <c:v>236690</c:v>
                </c:pt>
                <c:pt idx="2">
                  <c:v>236690</c:v>
                </c:pt>
                <c:pt idx="3">
                  <c:v>173960</c:v>
                </c:pt>
                <c:pt idx="4">
                  <c:v>47690</c:v>
                </c:pt>
                <c:pt idx="5">
                  <c:v>37000</c:v>
                </c:pt>
                <c:pt idx="6">
                  <c:v>235410</c:v>
                </c:pt>
                <c:pt idx="7">
                  <c:v>247800</c:v>
                </c:pt>
                <c:pt idx="8">
                  <c:v>345100</c:v>
                </c:pt>
                <c:pt idx="9">
                  <c:v>297500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772-4332-BFC6-BBB58EA07EAD}"/>
            </c:ext>
          </c:extLst>
        </c:ser>
        <c:ser>
          <c:idx val="9"/>
          <c:order val="1"/>
          <c:tx>
            <c:strRef>
              <c:f>'Expected income'!$B$12</c:f>
              <c:strCache>
                <c:ptCount val="1"/>
                <c:pt idx="0">
                  <c:v>Outstanding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'Expected income'!$C$2:$L$2</c:f>
              <c:strCache>
                <c:ptCount val="10"/>
                <c:pt idx="0">
                  <c:v>KG</c:v>
                </c:pt>
                <c:pt idx="1">
                  <c:v>Nursery 1</c:v>
                </c:pt>
                <c:pt idx="2">
                  <c:v>Nursery 2</c:v>
                </c:pt>
                <c:pt idx="3">
                  <c:v>Primary 1</c:v>
                </c:pt>
                <c:pt idx="4">
                  <c:v>Primary 2</c:v>
                </c:pt>
                <c:pt idx="5">
                  <c:v>Primary 3</c:v>
                </c:pt>
                <c:pt idx="6">
                  <c:v>Primary 4</c:v>
                </c:pt>
                <c:pt idx="7">
                  <c:v>Primary 5</c:v>
                </c:pt>
                <c:pt idx="8">
                  <c:v>JSS 1</c:v>
                </c:pt>
                <c:pt idx="9">
                  <c:v>JSS 2</c:v>
                </c:pt>
              </c:strCache>
            </c:strRef>
          </c:cat>
          <c:val>
            <c:numRef>
              <c:f>'Expected income'!$C$12:$L$12</c:f>
              <c:numCache>
                <c:formatCode>#,##0</c:formatCode>
                <c:ptCount val="10"/>
                <c:pt idx="0">
                  <c:v>329950</c:v>
                </c:pt>
                <c:pt idx="1">
                  <c:v>529150</c:v>
                </c:pt>
                <c:pt idx="2">
                  <c:v>547260</c:v>
                </c:pt>
                <c:pt idx="3">
                  <c:v>355140</c:v>
                </c:pt>
                <c:pt idx="4">
                  <c:v>407500</c:v>
                </c:pt>
                <c:pt idx="5">
                  <c:v>483860</c:v>
                </c:pt>
                <c:pt idx="6">
                  <c:v>358920</c:v>
                </c:pt>
                <c:pt idx="7">
                  <c:v>545830</c:v>
                </c:pt>
                <c:pt idx="8">
                  <c:v>644960</c:v>
                </c:pt>
                <c:pt idx="9">
                  <c:v>415270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B772-4332-BFC6-BBB58EA0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438208"/>
        <c:axId val="83440000"/>
        <c:axId val="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'Expected income'!$B$3</c15:sqref>
                        </c15:formulaRef>
                      </c:ext>
                    </c:extLst>
                    <c:strCache>
                      <c:ptCount val="1"/>
                      <c:pt idx="0">
                        <c:v>Tuition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'Expected income'!$C$3:$L$3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560000</c:v>
                      </c:pt>
                      <c:pt idx="1">
                        <c:v>596000</c:v>
                      </c:pt>
                      <c:pt idx="2">
                        <c:v>595000</c:v>
                      </c:pt>
                      <c:pt idx="3">
                        <c:v>328500</c:v>
                      </c:pt>
                      <c:pt idx="4">
                        <c:v>328500</c:v>
                      </c:pt>
                      <c:pt idx="5" formatCode="#,##0.00">
                        <c:v>365000</c:v>
                      </c:pt>
                      <c:pt idx="6">
                        <c:v>438000</c:v>
                      </c:pt>
                      <c:pt idx="7">
                        <c:v>584000</c:v>
                      </c:pt>
                      <c:pt idx="8">
                        <c:v>693000</c:v>
                      </c:pt>
                      <c:pt idx="9">
                        <c:v>577500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772-4332-BFC6-BBB58EA07EA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income'!$B$4</c15:sqref>
                        </c15:formulaRef>
                      </c:ext>
                    </c:extLst>
                    <c:strCache>
                      <c:ptCount val="1"/>
                      <c:pt idx="0">
                        <c:v>Cultural Day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'Expected income'!$C$4:$L$4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48000</c:v>
                      </c:pt>
                      <c:pt idx="1">
                        <c:v>54000</c:v>
                      </c:pt>
                      <c:pt idx="2">
                        <c:v>54000</c:v>
                      </c:pt>
                      <c:pt idx="3">
                        <c:v>27000</c:v>
                      </c:pt>
                      <c:pt idx="4">
                        <c:v>27000</c:v>
                      </c:pt>
                      <c:pt idx="5" formatCode="#,##0.00">
                        <c:v>33000</c:v>
                      </c:pt>
                      <c:pt idx="6">
                        <c:v>36000</c:v>
                      </c:pt>
                      <c:pt idx="7">
                        <c:v>48000</c:v>
                      </c:pt>
                      <c:pt idx="8">
                        <c:v>54000</c:v>
                      </c:pt>
                      <c:pt idx="9">
                        <c:v>48000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772-4332-BFC6-BBB58EA07EA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income'!$B$5</c15:sqref>
                        </c15:formulaRef>
                      </c:ext>
                    </c:extLst>
                    <c:strCache>
                      <c:ptCount val="1"/>
                      <c:pt idx="0">
                        <c:v>Book Supplement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'Expected income'!$C$5:$L$5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28800</c:v>
                      </c:pt>
                      <c:pt idx="4">
                        <c:v>28800</c:v>
                      </c:pt>
                      <c:pt idx="5" formatCode="#,##0.00">
                        <c:v>35200</c:v>
                      </c:pt>
                      <c:pt idx="6">
                        <c:v>38400</c:v>
                      </c:pt>
                      <c:pt idx="7">
                        <c:v>51200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772-4332-BFC6-BBB58EA07EA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income'!$B$6</c15:sqref>
                        </c15:formulaRef>
                      </c:ext>
                    </c:extLst>
                    <c:strCache>
                      <c:ptCount val="1"/>
                      <c:pt idx="0">
                        <c:v>PTA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'Expected income'!$C$6:$L$6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16000</c:v>
                      </c:pt>
                      <c:pt idx="1">
                        <c:v>18000</c:v>
                      </c:pt>
                      <c:pt idx="2">
                        <c:v>18000</c:v>
                      </c:pt>
                      <c:pt idx="3">
                        <c:v>9000</c:v>
                      </c:pt>
                      <c:pt idx="4">
                        <c:v>9000</c:v>
                      </c:pt>
                      <c:pt idx="5">
                        <c:v>11000</c:v>
                      </c:pt>
                      <c:pt idx="6">
                        <c:v>12000</c:v>
                      </c:pt>
                      <c:pt idx="7">
                        <c:v>16000</c:v>
                      </c:pt>
                      <c:pt idx="8">
                        <c:v>18000</c:v>
                      </c:pt>
                      <c:pt idx="9">
                        <c:v>16000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772-4332-BFC6-BBB58EA07EA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income'!$B$7</c15:sqref>
                        </c15:formulaRef>
                      </c:ext>
                    </c:extLst>
                    <c:strCache>
                      <c:ptCount val="1"/>
                      <c:pt idx="0">
                        <c:v>ICT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'Expected income'!$C$7:$L$7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 formatCode="#,##0">
                        <c:v>0</c:v>
                      </c:pt>
                      <c:pt idx="3" formatCode="#,##0">
                        <c:v>31500</c:v>
                      </c:pt>
                      <c:pt idx="4" formatCode="#,##0">
                        <c:v>31500</c:v>
                      </c:pt>
                      <c:pt idx="5" formatCode="#,##0">
                        <c:v>38500</c:v>
                      </c:pt>
                      <c:pt idx="6" formatCode="#,##0">
                        <c:v>42000</c:v>
                      </c:pt>
                      <c:pt idx="7" formatCode="#,##0">
                        <c:v>56000</c:v>
                      </c:pt>
                      <c:pt idx="8" formatCode="#,##0">
                        <c:v>63000</c:v>
                      </c:pt>
                      <c:pt idx="9" formatCode="#,##0">
                        <c:v>56000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772-4332-BFC6-BBB58EA07EA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income'!$B$8</c15:sqref>
                        </c15:formulaRef>
                      </c:ext>
                    </c:extLst>
                    <c:strCache>
                      <c:ptCount val="1"/>
                      <c:pt idx="0">
                        <c:v>School Bus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'Expected income'!$C$8:$L$8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15000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15000</c:v>
                      </c:pt>
                      <c:pt idx="4">
                        <c:v>0</c:v>
                      </c:pt>
                      <c:pt idx="5">
                        <c:v>7500</c:v>
                      </c:pt>
                      <c:pt idx="6">
                        <c:v>15000</c:v>
                      </c:pt>
                      <c:pt idx="7">
                        <c:v>37500</c:v>
                      </c:pt>
                      <c:pt idx="8">
                        <c:v>15000</c:v>
                      </c:pt>
                      <c:pt idx="9">
                        <c:v>15000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772-4332-BFC6-BBB58EA07EA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income'!$B$9</c15:sqref>
                        </c15:formulaRef>
                      </c:ext>
                    </c:extLst>
                    <c:strCache>
                      <c:ptCount val="1"/>
                      <c:pt idx="0">
                        <c:v>Previous Debt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'Expected income'!$C$9:$L$9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41950</c:v>
                      </c:pt>
                      <c:pt idx="1">
                        <c:v>57840</c:v>
                      </c:pt>
                      <c:pt idx="2">
                        <c:v>86950</c:v>
                      </c:pt>
                      <c:pt idx="3">
                        <c:v>89300</c:v>
                      </c:pt>
                      <c:pt idx="4">
                        <c:v>30390</c:v>
                      </c:pt>
                      <c:pt idx="5">
                        <c:v>30660</c:v>
                      </c:pt>
                      <c:pt idx="6">
                        <c:v>12930</c:v>
                      </c:pt>
                      <c:pt idx="7">
                        <c:v>930</c:v>
                      </c:pt>
                      <c:pt idx="8">
                        <c:v>147060</c:v>
                      </c:pt>
                      <c:pt idx="9">
                        <c:v>270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B772-4332-BFC6-BBB58EA07EA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income'!$B$10</c15:sqref>
                        </c15:formulaRef>
                      </c:ext>
                    </c:extLst>
                    <c:strCache>
                      <c:ptCount val="1"/>
                      <c:pt idx="0">
                        <c:v>Total 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'Expected income'!$C$10:$L$10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680950</c:v>
                      </c:pt>
                      <c:pt idx="1">
                        <c:v>765840</c:v>
                      </c:pt>
                      <c:pt idx="2">
                        <c:v>783950</c:v>
                      </c:pt>
                      <c:pt idx="3">
                        <c:v>529100</c:v>
                      </c:pt>
                      <c:pt idx="4">
                        <c:v>455190</c:v>
                      </c:pt>
                      <c:pt idx="5">
                        <c:v>520860</c:v>
                      </c:pt>
                      <c:pt idx="6">
                        <c:v>594330</c:v>
                      </c:pt>
                      <c:pt idx="7">
                        <c:v>793630</c:v>
                      </c:pt>
                      <c:pt idx="8">
                        <c:v>990060</c:v>
                      </c:pt>
                      <c:pt idx="9">
                        <c:v>712770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772-4332-BFC6-BBB58EA07EAD}"/>
                  </c:ext>
                </c:extLst>
              </c15:ser>
            </c15:filteredBarSeries>
          </c:ext>
        </c:extLst>
      </c:bar3DChart>
      <c:catAx>
        <c:axId val="8343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0000"/>
        <c:crosses val="autoZero"/>
        <c:auto val="1"/>
        <c:lblAlgn val="ctr"/>
        <c:lblOffset val="100"/>
        <c:noMultiLvlLbl val="0"/>
      </c:catAx>
      <c:valAx>
        <c:axId val="834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'Nur 2'!$A$1:$A$3</c:f>
              <c:strCache>
                <c:ptCount val="1"/>
                <c:pt idx="0">
                  <c:v>NURSERY 2 S/No</c:v>
                </c:pt>
              </c:strCache>
            </c:strRef>
          </c:tx>
          <c:invertIfNegative val="0"/>
          <c:val>
            <c:numRef>
              <c:f>'Nur 2'!$A$4:$A$17</c:f>
              <c:numCache>
                <c:formatCode>#,##0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C5-4490-BBDB-055145F04DCA}"/>
            </c:ext>
          </c:extLst>
        </c:ser>
        <c:ser>
          <c:idx val="1"/>
          <c:order val="1"/>
          <c:tx>
            <c:strRef>
              <c:f>'Nur 2'!$B$1:$B$3</c:f>
              <c:strCache>
                <c:ptCount val="1"/>
                <c:pt idx="0">
                  <c:v>NURSERY 2 Pupil Name</c:v>
                </c:pt>
              </c:strCache>
            </c:strRef>
          </c:tx>
          <c:invertIfNegative val="0"/>
          <c:val>
            <c:numRef>
              <c:f>'Nur 2'!$B$4:$B$10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0C5-4490-BBDB-055145F04DCA}"/>
            </c:ext>
          </c:extLst>
        </c:ser>
        <c:ser>
          <c:idx val="2"/>
          <c:order val="2"/>
          <c:tx>
            <c:strRef>
              <c:f>Transition!#REF!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Transition!#REF!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0C5-4490-BBDB-055145F04DCA}"/>
            </c:ext>
          </c:extLst>
        </c:ser>
        <c:ser>
          <c:idx val="3"/>
          <c:order val="3"/>
          <c:tx>
            <c:strRef>
              <c:f>'Nur 2'!$D$1:$D$3</c:f>
              <c:strCache>
                <c:ptCount val="1"/>
                <c:pt idx="0">
                  <c:v>NURSERY 2 PAYMENTS RECEIVED School Fees</c:v>
                </c:pt>
              </c:strCache>
            </c:strRef>
          </c:tx>
          <c:invertIfNegative val="0"/>
          <c:val>
            <c:numRef>
              <c:f>'Nur 2'!$D$4:$D$12</c:f>
              <c:numCache>
                <c:formatCode>[$₦-46A]\ #,##0</c:formatCode>
                <c:ptCount val="9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0C5-4490-BBDB-055145F04DCA}"/>
            </c:ext>
          </c:extLst>
        </c:ser>
        <c:ser>
          <c:idx val="4"/>
          <c:order val="4"/>
          <c:tx>
            <c:strRef>
              <c:f>'Nur 2'!$E$1:$E$3</c:f>
              <c:strCache>
                <c:ptCount val="1"/>
                <c:pt idx="0">
                  <c:v>NURSERY 2 PAYMENTS RECEIVED PTA</c:v>
                </c:pt>
              </c:strCache>
            </c:strRef>
          </c:tx>
          <c:invertIfNegative val="0"/>
          <c:val>
            <c:numRef>
              <c:f>'Nur 2'!$E$4:$E$12</c:f>
              <c:numCache>
                <c:formatCode>[$₦-46A]\ #,##0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0C5-4490-BBDB-055145F04DCA}"/>
            </c:ext>
          </c:extLst>
        </c:ser>
        <c:ser>
          <c:idx val="5"/>
          <c:order val="5"/>
          <c:tx>
            <c:strRef>
              <c:f>'N1'!#REF!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0C5-4490-BBDB-055145F04DCA}"/>
            </c:ext>
          </c:extLst>
        </c:ser>
        <c:ser>
          <c:idx val="6"/>
          <c:order val="6"/>
          <c:tx>
            <c:strRef>
              <c:f>'Nur 2'!$H$1:$H$3</c:f>
              <c:strCache>
                <c:ptCount val="1"/>
                <c:pt idx="0">
                  <c:v>NURSERY 2 PAYMENTS RECEIVED Books</c:v>
                </c:pt>
              </c:strCache>
            </c:strRef>
          </c:tx>
          <c:invertIfNegative val="0"/>
          <c:val>
            <c:numRef>
              <c:f>'Nur 2'!$H$4:$H$12</c:f>
              <c:numCache>
                <c:formatCode>[$₦-46A]\ #,##0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0C5-4490-BBDB-055145F04DCA}"/>
            </c:ext>
          </c:extLst>
        </c:ser>
        <c:ser>
          <c:idx val="7"/>
          <c:order val="7"/>
          <c:tx>
            <c:strRef>
              <c:f>'Nur 2'!$I$1:$I$3</c:f>
              <c:strCache>
                <c:ptCount val="1"/>
                <c:pt idx="0">
                  <c:v>NURSERY 2 PAYMENTS RECEIVED School Bus</c:v>
                </c:pt>
              </c:strCache>
            </c:strRef>
          </c:tx>
          <c:invertIfNegative val="0"/>
          <c:val>
            <c:numRef>
              <c:f>'Nur 2'!$I$4:$I$12</c:f>
              <c:numCache>
                <c:formatCode>[$₦-46A]\ #,##0</c:formatCode>
                <c:ptCount val="9"/>
                <c:pt idx="6">
                  <c:v>7500</c:v>
                </c:pt>
                <c:pt idx="7">
                  <c:v>15000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0C5-4490-BBDB-055145F04DCA}"/>
            </c:ext>
          </c:extLst>
        </c:ser>
        <c:ser>
          <c:idx val="8"/>
          <c:order val="8"/>
          <c:tx>
            <c:strRef>
              <c:f>'Nur 2'!$J$1:$J$3</c:f>
              <c:strCache>
                <c:ptCount val="1"/>
                <c:pt idx="0">
                  <c:v>NURSERY 2 PAYMENTS RECEIVED Total Due</c:v>
                </c:pt>
              </c:strCache>
            </c:strRef>
          </c:tx>
          <c:invertIfNegative val="0"/>
          <c:val>
            <c:numRef>
              <c:f>'Nur 2'!$J$4:$J$12</c:f>
              <c:numCache>
                <c:formatCode>[$₦-46A]\ #,##0</c:formatCode>
                <c:ptCount val="9"/>
                <c:pt idx="0">
                  <c:v>39000</c:v>
                </c:pt>
                <c:pt idx="1">
                  <c:v>75000</c:v>
                </c:pt>
                <c:pt idx="2">
                  <c:v>39000</c:v>
                </c:pt>
                <c:pt idx="3">
                  <c:v>39000</c:v>
                </c:pt>
                <c:pt idx="4">
                  <c:v>39000</c:v>
                </c:pt>
                <c:pt idx="5">
                  <c:v>39000</c:v>
                </c:pt>
                <c:pt idx="6">
                  <c:v>49000</c:v>
                </c:pt>
                <c:pt idx="7">
                  <c:v>54000</c:v>
                </c:pt>
                <c:pt idx="8">
                  <c:v>39000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0C5-4490-BBDB-055145F04DCA}"/>
            </c:ext>
          </c:extLst>
        </c:ser>
        <c:ser>
          <c:idx val="9"/>
          <c:order val="9"/>
          <c:tx>
            <c:strRef>
              <c:f>'Nur 2'!$K$1:$K$3</c:f>
              <c:strCache>
                <c:ptCount val="1"/>
                <c:pt idx="0">
                  <c:v>NURSERY 2 PAYMENTS RECEIVED Total Paid</c:v>
                </c:pt>
              </c:strCache>
            </c:strRef>
          </c:tx>
          <c:invertIfNegative val="0"/>
          <c:val>
            <c:numRef>
              <c:f>'Nur 2'!$K$4:$K$12</c:f>
              <c:numCache>
                <c:formatCode>[$₦-46A]\ #,##0</c:formatCode>
                <c:ptCount val="9"/>
                <c:pt idx="1">
                  <c:v>59050</c:v>
                </c:pt>
                <c:pt idx="3">
                  <c:v>39000</c:v>
                </c:pt>
                <c:pt idx="6">
                  <c:v>46500</c:v>
                </c:pt>
                <c:pt idx="7">
                  <c:v>39000</c:v>
                </c:pt>
                <c:pt idx="8">
                  <c:v>39000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0C5-4490-BBDB-055145F04DCA}"/>
            </c:ext>
          </c:extLst>
        </c:ser>
        <c:ser>
          <c:idx val="10"/>
          <c:order val="10"/>
          <c:tx>
            <c:strRef>
              <c:f>'Nur 2'!$L$1:$L$3</c:f>
              <c:strCache>
                <c:ptCount val="1"/>
                <c:pt idx="0">
                  <c:v>NURSERY 2 PAYMENTS RECEIVED Outstanding</c:v>
                </c:pt>
              </c:strCache>
            </c:strRef>
          </c:tx>
          <c:invertIfNegative val="0"/>
          <c:val>
            <c:numRef>
              <c:f>'Nur 2'!$L$4:$L$12</c:f>
              <c:numCache>
                <c:formatCode>[$₦-46A]\ #,##0</c:formatCode>
                <c:ptCount val="9"/>
                <c:pt idx="0">
                  <c:v>39000</c:v>
                </c:pt>
                <c:pt idx="1">
                  <c:v>15950</c:v>
                </c:pt>
                <c:pt idx="2">
                  <c:v>39000</c:v>
                </c:pt>
                <c:pt idx="3">
                  <c:v>0</c:v>
                </c:pt>
                <c:pt idx="4">
                  <c:v>39000</c:v>
                </c:pt>
                <c:pt idx="5">
                  <c:v>39000</c:v>
                </c:pt>
                <c:pt idx="6">
                  <c:v>2500</c:v>
                </c:pt>
                <c:pt idx="7">
                  <c:v>15000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0C5-4490-BBDB-055145F04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810944"/>
        <c:axId val="82841984"/>
      </c:barChart>
      <c:catAx>
        <c:axId val="8381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82841984"/>
        <c:crosses val="autoZero"/>
        <c:auto val="1"/>
        <c:lblAlgn val="ctr"/>
        <c:lblOffset val="100"/>
        <c:noMultiLvlLbl val="0"/>
      </c:catAx>
      <c:valAx>
        <c:axId val="828419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381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17-42D9-A5F7-117C46B54842}"/>
            </c:ext>
          </c:extLst>
        </c:ser>
        <c:ser>
          <c:idx val="1"/>
          <c:order val="1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17-42D9-A5F7-117C46B54842}"/>
            </c:ext>
          </c:extLst>
        </c:ser>
        <c:ser>
          <c:idx val="2"/>
          <c:order val="2"/>
          <c:tx>
            <c:strRef>
              <c:f>'JSS 1'!$D$1:$D$2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1'!$D$3:$D$5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38500</c:v>
                </c:pt>
                <c:pt idx="2">
                  <c:v>38500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17-42D9-A5F7-117C46B54842}"/>
            </c:ext>
          </c:extLst>
        </c:ser>
        <c:ser>
          <c:idx val="3"/>
          <c:order val="3"/>
          <c:tx>
            <c:strRef>
              <c:f>'JSS 1'!$E$1:$E$2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1'!$E$3:$E$5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1000</c:v>
                </c:pt>
                <c:pt idx="2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F17-42D9-A5F7-117C46B54842}"/>
            </c:ext>
          </c:extLst>
        </c:ser>
        <c:ser>
          <c:idx val="4"/>
          <c:order val="4"/>
          <c:tx>
            <c:strRef>
              <c:f>'p6'!#REF!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F17-42D9-A5F7-117C46B54842}"/>
            </c:ext>
          </c:extLst>
        </c:ser>
        <c:ser>
          <c:idx val="5"/>
          <c:order val="5"/>
          <c:tx>
            <c:strRef>
              <c:f>'JSS 1'!$H$1:$H$2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1'!$H$3:$H$5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F17-42D9-A5F7-117C46B54842}"/>
            </c:ext>
          </c:extLst>
        </c:ser>
        <c:ser>
          <c:idx val="6"/>
          <c:order val="6"/>
          <c:tx>
            <c:strRef>
              <c:f>'JSS 1'!$J$1:$J$2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1'!$J$3:$J$5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F17-42D9-A5F7-117C46B54842}"/>
            </c:ext>
          </c:extLst>
        </c:ser>
        <c:ser>
          <c:idx val="7"/>
          <c:order val="7"/>
          <c:tx>
            <c:strRef>
              <c:f>'JSS 1'!$K$1:$K$2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1'!$K$3:$K$5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135740</c:v>
                </c:pt>
                <c:pt idx="2">
                  <c:v>46000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F17-42D9-A5F7-117C46B54842}"/>
            </c:ext>
          </c:extLst>
        </c:ser>
        <c:ser>
          <c:idx val="8"/>
          <c:order val="8"/>
          <c:tx>
            <c:strRef>
              <c:f>'JSS 1'!$L$1:$L$2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1'!$L$3:$L$5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133100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F17-42D9-A5F7-117C46B54842}"/>
            </c:ext>
          </c:extLst>
        </c:ser>
        <c:ser>
          <c:idx val="9"/>
          <c:order val="9"/>
          <c:tx>
            <c:strRef>
              <c:f>'JSS 1'!$M$1:$M$2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1'!$M$3:$M$5</c:f>
              <c:numCache>
                <c:formatCode>[$₦-46A]\ #,##0</c:formatCode>
                <c:ptCount val="3"/>
                <c:pt idx="0" formatCode="#,##0.00">
                  <c:v>0</c:v>
                </c:pt>
                <c:pt idx="1">
                  <c:v>2640</c:v>
                </c:pt>
                <c:pt idx="2">
                  <c:v>46000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F17-42D9-A5F7-117C46B54842}"/>
            </c:ext>
          </c:extLst>
        </c:ser>
        <c:ser>
          <c:idx val="10"/>
          <c:order val="1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F17-42D9-A5F7-117C46B54842}"/>
            </c:ext>
          </c:extLst>
        </c:ser>
        <c:ser>
          <c:idx val="11"/>
          <c:order val="11"/>
          <c:tx>
            <c:strRef>
              <c:f>'JSS 1'!$N$1:$N$1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F17-42D9-A5F7-117C46B54842}"/>
            </c:ext>
          </c:extLst>
        </c:ser>
        <c:ser>
          <c:idx val="12"/>
          <c:order val="12"/>
          <c:tx>
            <c:strRef>
              <c:f>'JSS 1'!$O$1:$O$1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F17-42D9-A5F7-117C46B54842}"/>
            </c:ext>
          </c:extLst>
        </c:ser>
        <c:ser>
          <c:idx val="13"/>
          <c:order val="13"/>
          <c:tx>
            <c:strRef>
              <c:f>'JSS 1'!$P$1:$P$1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9F17-42D9-A5F7-117C46B54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48480"/>
        <c:axId val="82950016"/>
      </c:barChart>
      <c:catAx>
        <c:axId val="8294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950016"/>
        <c:crosses val="autoZero"/>
        <c:auto val="1"/>
        <c:lblAlgn val="ctr"/>
        <c:lblOffset val="100"/>
        <c:noMultiLvlLbl val="0"/>
      </c:catAx>
      <c:valAx>
        <c:axId val="8295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94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14</xdr:row>
      <xdr:rowOff>33337</xdr:rowOff>
    </xdr:from>
    <xdr:to>
      <xdr:col>8</xdr:col>
      <xdr:colOff>476250</xdr:colOff>
      <xdr:row>28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47</xdr:row>
      <xdr:rowOff>14287</xdr:rowOff>
    </xdr:from>
    <xdr:to>
      <xdr:col>8</xdr:col>
      <xdr:colOff>304800</xdr:colOff>
      <xdr:row>61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14</xdr:row>
      <xdr:rowOff>23812</xdr:rowOff>
    </xdr:from>
    <xdr:to>
      <xdr:col>15</xdr:col>
      <xdr:colOff>304800</xdr:colOff>
      <xdr:row>28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13</xdr:row>
      <xdr:rowOff>33337</xdr:rowOff>
    </xdr:from>
    <xdr:to>
      <xdr:col>6</xdr:col>
      <xdr:colOff>561975</xdr:colOff>
      <xdr:row>27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8E276BE-F6A7-4F43-A2E2-E204E68E3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workbookViewId="0">
      <selection activeCell="I38" sqref="I38"/>
    </sheetView>
  </sheetViews>
  <sheetFormatPr defaultRowHeight="15" x14ac:dyDescent="0.25"/>
  <cols>
    <col min="1" max="2" width="5.7109375" bestFit="1" customWidth="1"/>
    <col min="3" max="3" width="6.28515625" bestFit="1" customWidth="1"/>
    <col min="4" max="4" width="4" bestFit="1" customWidth="1"/>
    <col min="5" max="5" width="24.42578125" bestFit="1" customWidth="1"/>
    <col min="6" max="6" width="14.42578125" bestFit="1" customWidth="1"/>
    <col min="7" max="7" width="11.7109375" bestFit="1" customWidth="1"/>
    <col min="8" max="8" width="13.5703125" bestFit="1" customWidth="1"/>
    <col min="9" max="9" width="11.42578125" bestFit="1" customWidth="1"/>
    <col min="10" max="10" width="10.140625" bestFit="1" customWidth="1"/>
    <col min="11" max="11" width="10.42578125" bestFit="1" customWidth="1"/>
    <col min="12" max="12" width="10.140625" bestFit="1" customWidth="1"/>
    <col min="13" max="13" width="11.7109375" bestFit="1" customWidth="1"/>
    <col min="14" max="14" width="11.85546875" bestFit="1" customWidth="1"/>
    <col min="15" max="15" width="10.140625" bestFit="1" customWidth="1"/>
    <col min="16" max="16" width="11.7109375" bestFit="1" customWidth="1"/>
    <col min="17" max="17" width="11.85546875" bestFit="1" customWidth="1"/>
    <col min="18" max="18" width="10.140625" bestFit="1" customWidth="1"/>
  </cols>
  <sheetData>
    <row r="1" spans="2:14" x14ac:dyDescent="0.25">
      <c r="B1" s="6" t="s">
        <v>51</v>
      </c>
    </row>
    <row r="3" spans="2:14" x14ac:dyDescent="0.25">
      <c r="B3" s="5" t="s">
        <v>47</v>
      </c>
      <c r="C3" s="5" t="s">
        <v>48</v>
      </c>
      <c r="D3" s="5" t="s">
        <v>49</v>
      </c>
      <c r="E3" s="5" t="s">
        <v>7</v>
      </c>
      <c r="F3" s="5" t="s">
        <v>1</v>
      </c>
      <c r="G3" s="5" t="s">
        <v>2</v>
      </c>
      <c r="H3" s="5" t="s">
        <v>3</v>
      </c>
      <c r="I3" s="5" t="s">
        <v>4</v>
      </c>
      <c r="J3" s="5" t="s">
        <v>31</v>
      </c>
      <c r="K3" s="5" t="s">
        <v>5</v>
      </c>
      <c r="L3" s="5" t="s">
        <v>9</v>
      </c>
      <c r="M3" s="5" t="s">
        <v>8</v>
      </c>
      <c r="N3" s="5" t="s">
        <v>30</v>
      </c>
    </row>
    <row r="4" spans="2:14" x14ac:dyDescent="0.25">
      <c r="B4" s="1">
        <v>1</v>
      </c>
      <c r="C4" s="1" t="s">
        <v>38</v>
      </c>
      <c r="D4" s="1">
        <v>10</v>
      </c>
      <c r="E4" s="2" t="e">
        <f>'Nur 2'!#REF!</f>
        <v>#REF!</v>
      </c>
      <c r="F4" s="2">
        <f>'Nur 2'!D10</f>
        <v>35000</v>
      </c>
      <c r="G4" s="2">
        <f>'Nur 2'!E10</f>
        <v>1000</v>
      </c>
      <c r="H4" s="2" t="e">
        <f>'Nur 2'!#REF!</f>
        <v>#REF!</v>
      </c>
      <c r="I4" s="2">
        <f>'Nur 2'!H10</f>
        <v>0</v>
      </c>
      <c r="J4" s="2"/>
      <c r="K4" s="2">
        <f>'Nur 2'!I10</f>
        <v>7500</v>
      </c>
      <c r="L4" s="2">
        <f>'Nur 2'!J10</f>
        <v>49000</v>
      </c>
      <c r="M4" s="2">
        <f>'Nur 2'!K10</f>
        <v>46500</v>
      </c>
      <c r="N4" s="2">
        <f>'Nur 2'!L10</f>
        <v>2500</v>
      </c>
    </row>
    <row r="5" spans="2:14" x14ac:dyDescent="0.25">
      <c r="B5" s="1">
        <v>2</v>
      </c>
      <c r="C5" s="1" t="s">
        <v>39</v>
      </c>
      <c r="D5" s="1">
        <v>10</v>
      </c>
      <c r="E5" s="3" t="e">
        <f>'Pry 1'!#REF!</f>
        <v>#REF!</v>
      </c>
      <c r="F5" s="3" t="e">
        <f>'Pry 1'!#REF!</f>
        <v>#REF!</v>
      </c>
      <c r="G5" s="3" t="e">
        <f>'Pry 1'!#REF!</f>
        <v>#REF!</v>
      </c>
      <c r="H5" s="3" t="e">
        <f>'Pry 1'!#REF!</f>
        <v>#REF!</v>
      </c>
      <c r="I5" s="3" t="e">
        <f>'Pry 1'!#REF!</f>
        <v>#REF!</v>
      </c>
      <c r="J5" s="3"/>
      <c r="K5" s="3" t="e">
        <f>'Pry 1'!#REF!</f>
        <v>#REF!</v>
      </c>
      <c r="L5" s="3" t="e">
        <f>'Pry 1'!#REF!</f>
        <v>#REF!</v>
      </c>
      <c r="M5" s="3" t="e">
        <f>'Pry 1'!#REF!</f>
        <v>#REF!</v>
      </c>
      <c r="N5" s="3" t="e">
        <f>'Pry 1'!#REF!</f>
        <v>#REF!</v>
      </c>
    </row>
    <row r="6" spans="2:14" x14ac:dyDescent="0.25">
      <c r="B6" s="1">
        <v>3</v>
      </c>
      <c r="C6" s="1" t="s">
        <v>40</v>
      </c>
      <c r="D6" s="1">
        <v>15</v>
      </c>
      <c r="E6" s="3" t="e">
        <f>'Pry 2'!#REF!</f>
        <v>#REF!</v>
      </c>
      <c r="F6" s="3" t="e">
        <f>'Pry 2'!#REF!</f>
        <v>#REF!</v>
      </c>
      <c r="G6" s="3" t="e">
        <f>'Pry 2'!#REF!</f>
        <v>#REF!</v>
      </c>
      <c r="H6" s="3" t="e">
        <f>'Pry 2'!#REF!</f>
        <v>#REF!</v>
      </c>
      <c r="I6" s="3" t="e">
        <f>'Pry 2'!#REF!</f>
        <v>#REF!</v>
      </c>
      <c r="J6" s="3"/>
      <c r="K6" s="3" t="e">
        <f>'Pry 2'!#REF!</f>
        <v>#REF!</v>
      </c>
      <c r="L6" s="3" t="e">
        <f>'Pry 2'!#REF!</f>
        <v>#REF!</v>
      </c>
      <c r="M6" s="3" t="e">
        <f>'Pry 2'!#REF!</f>
        <v>#REF!</v>
      </c>
      <c r="N6" s="3" t="e">
        <f>'Pry 2'!#REF!</f>
        <v>#REF!</v>
      </c>
    </row>
    <row r="7" spans="2:14" x14ac:dyDescent="0.25">
      <c r="B7" s="1">
        <v>4</v>
      </c>
      <c r="C7" s="1" t="s">
        <v>41</v>
      </c>
      <c r="D7" s="1">
        <v>16</v>
      </c>
      <c r="E7" s="3" t="e">
        <f>'Pry 3'!#REF!</f>
        <v>#REF!</v>
      </c>
      <c r="F7" s="3" t="e">
        <f>'Pry 3'!#REF!</f>
        <v>#REF!</v>
      </c>
      <c r="G7" s="3" t="e">
        <f>'Pry 3'!#REF!</f>
        <v>#REF!</v>
      </c>
      <c r="H7" s="3" t="e">
        <f>'Pry 3'!#REF!</f>
        <v>#REF!</v>
      </c>
      <c r="I7" s="3" t="e">
        <f>'Pry 3'!#REF!</f>
        <v>#REF!</v>
      </c>
      <c r="J7" s="3" t="e">
        <f>'Pry 3'!#REF!</f>
        <v>#REF!</v>
      </c>
      <c r="K7" s="3" t="e">
        <f>'Pry 3'!#REF!</f>
        <v>#REF!</v>
      </c>
      <c r="L7" s="3" t="e">
        <f>'Pry 3'!#REF!</f>
        <v>#REF!</v>
      </c>
      <c r="M7" s="3" t="e">
        <f>'Pry 3'!#REF!</f>
        <v>#REF!</v>
      </c>
      <c r="N7" s="3" t="e">
        <f>'Pry 3'!#REF!</f>
        <v>#REF!</v>
      </c>
    </row>
    <row r="8" spans="2:14" x14ac:dyDescent="0.25">
      <c r="B8" s="1">
        <v>5</v>
      </c>
      <c r="C8" s="1" t="s">
        <v>42</v>
      </c>
      <c r="D8" s="1">
        <v>18</v>
      </c>
      <c r="E8" s="3" t="e">
        <f>'Pry 4'!#REF!</f>
        <v>#REF!</v>
      </c>
      <c r="F8" s="3" t="e">
        <f>'Pry 4'!#REF!</f>
        <v>#REF!</v>
      </c>
      <c r="G8" s="3" t="e">
        <f>'Pry 4'!#REF!</f>
        <v>#REF!</v>
      </c>
      <c r="H8" s="3" t="e">
        <f>'Pry 4'!#REF!</f>
        <v>#REF!</v>
      </c>
      <c r="I8" s="3" t="e">
        <f>'Pry 4'!#REF!</f>
        <v>#REF!</v>
      </c>
      <c r="J8" s="3" t="e">
        <f>'Pry 4'!#REF!</f>
        <v>#REF!</v>
      </c>
      <c r="K8" s="3" t="e">
        <f>'Pry 4'!#REF!</f>
        <v>#REF!</v>
      </c>
      <c r="L8" s="3" t="e">
        <f>'Pry 4'!#REF!</f>
        <v>#REF!</v>
      </c>
      <c r="M8" s="3" t="e">
        <f>'Pry 4'!#REF!</f>
        <v>#REF!</v>
      </c>
      <c r="N8" s="3" t="e">
        <f>'Pry 4'!#REF!</f>
        <v>#REF!</v>
      </c>
    </row>
    <row r="9" spans="2:14" x14ac:dyDescent="0.25">
      <c r="B9" s="1">
        <v>6</v>
      </c>
      <c r="C9" s="1" t="s">
        <v>43</v>
      </c>
      <c r="D9" s="1">
        <v>22</v>
      </c>
      <c r="E9" s="3" t="e">
        <f>'Pry 5'!#REF!</f>
        <v>#REF!</v>
      </c>
      <c r="F9" s="3">
        <f>'Pry 5'!D15</f>
        <v>36500</v>
      </c>
      <c r="G9" s="3">
        <f>'Pry 5'!E15</f>
        <v>1000</v>
      </c>
      <c r="H9" s="3">
        <f>'Pry 5'!I15</f>
        <v>0</v>
      </c>
      <c r="I9" s="3" t="e">
        <f>'Pry 5'!#REF!</f>
        <v>#REF!</v>
      </c>
      <c r="J9" s="3">
        <f>'Pry 5'!J15</f>
        <v>3500</v>
      </c>
      <c r="K9" s="3">
        <f>'Pry 5'!K15</f>
        <v>15000</v>
      </c>
      <c r="L9" s="3">
        <f>'Pry 5'!L15</f>
        <v>62200</v>
      </c>
      <c r="M9" s="3">
        <f>'Pry 5'!M15</f>
        <v>62200</v>
      </c>
      <c r="N9" s="3">
        <f>'Pry 5'!N15</f>
        <v>0</v>
      </c>
    </row>
    <row r="10" spans="2:14" x14ac:dyDescent="0.25">
      <c r="B10" s="1">
        <v>7</v>
      </c>
      <c r="C10" s="1" t="s">
        <v>44</v>
      </c>
      <c r="D10" s="1">
        <v>17</v>
      </c>
      <c r="E10" s="3" t="e">
        <f>'JSS 1'!#REF!</f>
        <v>#REF!</v>
      </c>
      <c r="F10" s="3" t="e">
        <f>'JSS 1'!#REF!</f>
        <v>#REF!</v>
      </c>
      <c r="G10" s="3" t="e">
        <f>'JSS 1'!#REF!</f>
        <v>#REF!</v>
      </c>
      <c r="H10" s="3" t="e">
        <f>'JSS 1'!#REF!</f>
        <v>#REF!</v>
      </c>
      <c r="I10" s="3" t="e">
        <f>'JSS 1'!#REF!</f>
        <v>#REF!</v>
      </c>
      <c r="J10" s="3" t="e">
        <f>'JSS 1'!#REF!</f>
        <v>#REF!</v>
      </c>
      <c r="K10" s="3" t="e">
        <f>'JSS 1'!#REF!</f>
        <v>#REF!</v>
      </c>
      <c r="L10" s="3" t="e">
        <f>'JSS 1'!#REF!</f>
        <v>#REF!</v>
      </c>
      <c r="M10" s="3" t="e">
        <f>'JSS 1'!#REF!</f>
        <v>#REF!</v>
      </c>
      <c r="N10" s="3" t="e">
        <f>'JSS 1'!#REF!</f>
        <v>#REF!</v>
      </c>
    </row>
    <row r="11" spans="2:14" x14ac:dyDescent="0.25">
      <c r="B11" s="1">
        <v>8</v>
      </c>
      <c r="C11" s="1" t="s">
        <v>45</v>
      </c>
      <c r="D11" s="1">
        <v>20</v>
      </c>
      <c r="E11" s="3" t="e">
        <f>Preschool!#REF!</f>
        <v>#REF!</v>
      </c>
      <c r="F11" s="3" t="e">
        <f>Preschool!#REF!</f>
        <v>#REF!</v>
      </c>
      <c r="G11" s="3" t="e">
        <f>Preschool!#REF!</f>
        <v>#REF!</v>
      </c>
      <c r="H11" s="3" t="e">
        <f>Preschool!#REF!</f>
        <v>#REF!</v>
      </c>
      <c r="I11" s="3" t="e">
        <f>Preschool!#REF!</f>
        <v>#REF!</v>
      </c>
      <c r="J11" s="3" t="e">
        <f>Preschool!#REF!</f>
        <v>#REF!</v>
      </c>
      <c r="K11" s="3" t="e">
        <f>Preschool!#REF!</f>
        <v>#REF!</v>
      </c>
      <c r="L11" s="3" t="e">
        <f>Preschool!#REF!</f>
        <v>#REF!</v>
      </c>
      <c r="M11" s="3" t="e">
        <f>Preschool!#REF!</f>
        <v>#REF!</v>
      </c>
      <c r="N11" s="3" t="e">
        <f>Preschool!#REF!</f>
        <v>#REF!</v>
      </c>
    </row>
    <row r="12" spans="2:14" x14ac:dyDescent="0.25">
      <c r="B12" s="1">
        <v>9</v>
      </c>
      <c r="C12" s="1" t="s">
        <v>46</v>
      </c>
      <c r="D12" s="1">
        <v>5</v>
      </c>
      <c r="E12" s="3" t="e">
        <f>'Nur 1'!#REF!</f>
        <v>#REF!</v>
      </c>
      <c r="F12" s="3">
        <f>'Nur 1'!D6</f>
        <v>35000</v>
      </c>
      <c r="G12" s="3">
        <f>'Nur 1'!E6</f>
        <v>1000</v>
      </c>
      <c r="H12" s="3" t="e">
        <f>'Nur 1'!#REF!</f>
        <v>#REF!</v>
      </c>
      <c r="I12" s="3">
        <f>'Nur 1'!H6</f>
        <v>0</v>
      </c>
      <c r="J12" s="3" t="e">
        <f>'Nur 1'!#REF!</f>
        <v>#REF!</v>
      </c>
      <c r="K12" s="3">
        <f>'Nur 1'!I6</f>
        <v>15000</v>
      </c>
      <c r="L12" s="3">
        <f>'Nur 1'!J6</f>
        <v>54000</v>
      </c>
      <c r="M12" s="3">
        <f>'Nur 1'!K6</f>
        <v>44000</v>
      </c>
      <c r="N12" s="3">
        <f>'Nur 1'!L6</f>
        <v>10000</v>
      </c>
    </row>
    <row r="13" spans="2:14" x14ac:dyDescent="0.25">
      <c r="D13" s="8">
        <f>SUM(D4:D12)</f>
        <v>133</v>
      </c>
      <c r="E13" s="2" t="e">
        <f t="shared" ref="E13:M13" si="0">SUM(E4:E12)</f>
        <v>#REF!</v>
      </c>
      <c r="F13" s="2" t="e">
        <f t="shared" si="0"/>
        <v>#REF!</v>
      </c>
      <c r="G13" s="2" t="e">
        <f t="shared" si="0"/>
        <v>#REF!</v>
      </c>
      <c r="H13" s="2" t="e">
        <f t="shared" si="0"/>
        <v>#REF!</v>
      </c>
      <c r="I13" s="2" t="e">
        <f t="shared" si="0"/>
        <v>#REF!</v>
      </c>
      <c r="J13" s="2" t="e">
        <f t="shared" si="0"/>
        <v>#REF!</v>
      </c>
      <c r="K13" s="2" t="e">
        <f t="shared" si="0"/>
        <v>#REF!</v>
      </c>
      <c r="L13" s="2" t="e">
        <f t="shared" si="0"/>
        <v>#REF!</v>
      </c>
      <c r="M13" s="2" t="e">
        <f t="shared" si="0"/>
        <v>#REF!</v>
      </c>
      <c r="N13" s="2" t="e">
        <f>SUM(N4:N12)</f>
        <v>#REF!</v>
      </c>
    </row>
    <row r="32" spans="2:2" x14ac:dyDescent="0.25">
      <c r="B32" s="6" t="s">
        <v>50</v>
      </c>
    </row>
    <row r="34" spans="2:7" x14ac:dyDescent="0.25">
      <c r="B34" s="5" t="s">
        <v>47</v>
      </c>
      <c r="C34" s="5" t="s">
        <v>48</v>
      </c>
      <c r="D34" s="5" t="s">
        <v>49</v>
      </c>
      <c r="E34" s="7" t="s">
        <v>54</v>
      </c>
      <c r="F34" s="7" t="s">
        <v>52</v>
      </c>
      <c r="G34" s="7" t="s">
        <v>53</v>
      </c>
    </row>
    <row r="35" spans="2:7" x14ac:dyDescent="0.25">
      <c r="B35" s="1">
        <v>1</v>
      </c>
      <c r="C35" s="1" t="s">
        <v>38</v>
      </c>
      <c r="D35" s="1">
        <v>10</v>
      </c>
      <c r="E35" s="3">
        <f>D35*2900</f>
        <v>29000</v>
      </c>
      <c r="F35" s="3" t="e">
        <f>'Nur 2'!#REF!*D35</f>
        <v>#REF!</v>
      </c>
      <c r="G35" s="3" t="e">
        <f t="shared" ref="G35:G43" si="1">F35-E35</f>
        <v>#REF!</v>
      </c>
    </row>
    <row r="36" spans="2:7" x14ac:dyDescent="0.25">
      <c r="B36" s="1">
        <v>2</v>
      </c>
      <c r="C36" s="1" t="s">
        <v>39</v>
      </c>
      <c r="D36" s="1">
        <v>10</v>
      </c>
      <c r="E36" s="3">
        <f>D36*5050</f>
        <v>50500</v>
      </c>
      <c r="F36" s="3">
        <f>'Pry 1'!P5*D36</f>
        <v>0</v>
      </c>
      <c r="G36" s="3">
        <f t="shared" si="1"/>
        <v>-50500</v>
      </c>
    </row>
    <row r="37" spans="2:7" x14ac:dyDescent="0.25">
      <c r="B37" s="1">
        <v>3</v>
      </c>
      <c r="C37" s="1" t="s">
        <v>40</v>
      </c>
      <c r="D37" s="1">
        <v>15</v>
      </c>
      <c r="E37" s="3">
        <f>D37*5800</f>
        <v>87000</v>
      </c>
      <c r="F37" s="3" t="e">
        <f>'Pry 2'!#REF!*D37</f>
        <v>#REF!</v>
      </c>
      <c r="G37" s="3" t="e">
        <f t="shared" si="1"/>
        <v>#REF!</v>
      </c>
    </row>
    <row r="38" spans="2:7" x14ac:dyDescent="0.25">
      <c r="B38" s="1">
        <v>4</v>
      </c>
      <c r="C38" s="1" t="s">
        <v>41</v>
      </c>
      <c r="D38" s="1">
        <v>16</v>
      </c>
      <c r="E38" s="3">
        <f>D38*8300</f>
        <v>132800</v>
      </c>
      <c r="F38" s="3" t="e">
        <f>'Pry 3'!#REF!*D38</f>
        <v>#REF!</v>
      </c>
      <c r="G38" s="3" t="e">
        <f t="shared" si="1"/>
        <v>#REF!</v>
      </c>
    </row>
    <row r="39" spans="2:7" x14ac:dyDescent="0.25">
      <c r="B39" s="1">
        <v>5</v>
      </c>
      <c r="C39" s="1" t="s">
        <v>42</v>
      </c>
      <c r="D39" s="1">
        <v>18</v>
      </c>
      <c r="E39" s="3">
        <f>D39*10445</f>
        <v>188010</v>
      </c>
      <c r="F39" s="3" t="e">
        <f>'Pry 4'!#REF!*D39</f>
        <v>#REF!</v>
      </c>
      <c r="G39" s="3" t="e">
        <f t="shared" si="1"/>
        <v>#REF!</v>
      </c>
    </row>
    <row r="40" spans="2:7" x14ac:dyDescent="0.25">
      <c r="B40" s="1">
        <v>6</v>
      </c>
      <c r="C40" s="1" t="s">
        <v>43</v>
      </c>
      <c r="D40" s="1">
        <v>22</v>
      </c>
      <c r="E40" s="3">
        <f>D40*10705</f>
        <v>235510</v>
      </c>
      <c r="F40" s="3">
        <f>'Pry 5'!Q5*D40</f>
        <v>0</v>
      </c>
      <c r="G40" s="3">
        <f t="shared" si="1"/>
        <v>-235510</v>
      </c>
    </row>
    <row r="41" spans="2:7" x14ac:dyDescent="0.25">
      <c r="B41" s="1">
        <v>7</v>
      </c>
      <c r="C41" s="1" t="s">
        <v>44</v>
      </c>
      <c r="D41" s="1">
        <v>17</v>
      </c>
      <c r="E41" s="3">
        <f>D41*12450</f>
        <v>211650</v>
      </c>
      <c r="F41" s="3" t="e">
        <f>'JSS 1'!#REF!*D41</f>
        <v>#REF!</v>
      </c>
      <c r="G41" s="3" t="e">
        <f t="shared" si="1"/>
        <v>#REF!</v>
      </c>
    </row>
    <row r="42" spans="2:7" x14ac:dyDescent="0.25">
      <c r="B42" s="1">
        <v>8</v>
      </c>
      <c r="C42" s="1" t="s">
        <v>45</v>
      </c>
      <c r="D42" s="1">
        <v>20</v>
      </c>
      <c r="E42" s="3">
        <f>D42*11390</f>
        <v>227800</v>
      </c>
      <c r="F42" s="3" t="e">
        <f>Preschool!#REF!*D42</f>
        <v>#REF!</v>
      </c>
      <c r="G42" s="3" t="e">
        <f t="shared" si="1"/>
        <v>#REF!</v>
      </c>
    </row>
    <row r="43" spans="2:7" x14ac:dyDescent="0.25">
      <c r="B43" s="1">
        <v>9</v>
      </c>
      <c r="C43" s="1" t="s">
        <v>46</v>
      </c>
      <c r="D43" s="1">
        <v>5</v>
      </c>
      <c r="E43" s="3">
        <f>D43*10835</f>
        <v>54175</v>
      </c>
      <c r="F43" s="3" t="e">
        <f>'Nur 1'!#REF!*D43</f>
        <v>#REF!</v>
      </c>
      <c r="G43" s="3" t="e">
        <f t="shared" si="1"/>
        <v>#REF!</v>
      </c>
    </row>
    <row r="44" spans="2:7" x14ac:dyDescent="0.25">
      <c r="E44" s="4">
        <f>SUM(E35:E43)</f>
        <v>1216445</v>
      </c>
      <c r="F44" s="4" t="e">
        <f>SUM(F35:F43)</f>
        <v>#REF!</v>
      </c>
      <c r="G44" s="4" t="e">
        <f>SUM(G35:G43)</f>
        <v>#REF!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2" zoomScale="75" zoomScaleNormal="75" workbookViewId="0">
      <selection activeCell="K12" sqref="K12"/>
    </sheetView>
  </sheetViews>
  <sheetFormatPr defaultColWidth="8.85546875" defaultRowHeight="15.75" x14ac:dyDescent="0.25"/>
  <cols>
    <col min="1" max="1" width="5.42578125" style="12" bestFit="1" customWidth="1"/>
    <col min="2" max="2" width="35.140625" style="12" customWidth="1"/>
    <col min="3" max="4" width="11.85546875" style="12" customWidth="1"/>
    <col min="5" max="7" width="11.7109375" style="12" customWidth="1"/>
    <col min="8" max="8" width="10.85546875" style="12" customWidth="1"/>
    <col min="9" max="9" width="13.140625" style="12" customWidth="1"/>
    <col min="10" max="10" width="12.140625" style="12" customWidth="1"/>
    <col min="11" max="11" width="11.28515625" style="12" bestFit="1" customWidth="1"/>
    <col min="12" max="12" width="12.7109375" style="12" customWidth="1"/>
    <col min="13" max="13" width="13" style="12" customWidth="1"/>
    <col min="14" max="14" width="18.7109375" style="12" customWidth="1"/>
    <col min="15" max="15" width="32.85546875" style="12" customWidth="1"/>
    <col min="16" max="16" width="14" style="12" customWidth="1"/>
    <col min="17" max="17" width="10.7109375" style="12" bestFit="1" customWidth="1"/>
    <col min="18" max="16384" width="8.85546875" style="12"/>
  </cols>
  <sheetData>
    <row r="1" spans="1:18" x14ac:dyDescent="0.25">
      <c r="A1" s="10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72"/>
      <c r="O1" s="73"/>
      <c r="P1" s="73"/>
      <c r="Q1" s="73"/>
      <c r="R1" s="73"/>
    </row>
    <row r="2" spans="1:18" x14ac:dyDescent="0.25">
      <c r="A2" s="11"/>
      <c r="B2" s="11"/>
      <c r="C2" s="11"/>
      <c r="D2" s="90" t="s">
        <v>10</v>
      </c>
      <c r="E2" s="90"/>
      <c r="F2" s="90"/>
      <c r="G2" s="90"/>
      <c r="H2" s="90"/>
      <c r="I2" s="90"/>
      <c r="J2" s="90"/>
      <c r="K2" s="90"/>
      <c r="L2" s="90"/>
      <c r="M2" s="11"/>
      <c r="N2" s="11"/>
      <c r="O2" s="11"/>
      <c r="P2" s="73"/>
      <c r="Q2" s="74"/>
      <c r="R2" s="74"/>
    </row>
    <row r="3" spans="1:18" x14ac:dyDescent="0.25">
      <c r="A3" s="10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194</v>
      </c>
      <c r="H3" s="56" t="s">
        <v>55</v>
      </c>
      <c r="I3" s="56" t="s">
        <v>3</v>
      </c>
      <c r="J3" s="56" t="s">
        <v>31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  <c r="P3" s="74"/>
      <c r="Q3" s="75"/>
      <c r="R3" s="73"/>
    </row>
    <row r="4" spans="1:18" ht="15.6" customHeight="1" x14ac:dyDescent="0.25">
      <c r="A4" s="13">
        <v>1</v>
      </c>
      <c r="B4" s="59" t="s">
        <v>23</v>
      </c>
      <c r="C4" s="22">
        <v>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>
        <v>3500</v>
      </c>
      <c r="K4" s="22"/>
      <c r="L4" s="22">
        <f>SUM(C4:K4)</f>
        <v>47200</v>
      </c>
      <c r="M4" s="14">
        <f>46200+1000</f>
        <v>47200</v>
      </c>
      <c r="N4" s="22">
        <f>L4-M4</f>
        <v>0</v>
      </c>
      <c r="O4" s="15">
        <v>43479</v>
      </c>
      <c r="P4" s="74"/>
      <c r="Q4" s="75"/>
      <c r="R4" s="73"/>
    </row>
    <row r="5" spans="1:18" x14ac:dyDescent="0.25">
      <c r="A5" s="13">
        <v>2</v>
      </c>
      <c r="B5" s="59" t="s">
        <v>24</v>
      </c>
      <c r="C5" s="22">
        <v>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>
        <v>3500</v>
      </c>
      <c r="K5" s="22"/>
      <c r="L5" s="22">
        <f>SUM(C5:K5)</f>
        <v>47200</v>
      </c>
      <c r="M5" s="14">
        <f>43000+1000</f>
        <v>44000</v>
      </c>
      <c r="N5" s="22">
        <f t="shared" ref="N5:N19" si="0">L5-M5</f>
        <v>3200</v>
      </c>
      <c r="O5" s="15">
        <v>43473</v>
      </c>
      <c r="P5" s="81"/>
      <c r="Q5" s="75"/>
      <c r="R5" s="73"/>
    </row>
    <row r="6" spans="1:18" x14ac:dyDescent="0.25">
      <c r="A6" s="13">
        <v>3</v>
      </c>
      <c r="B6" s="59" t="s">
        <v>25</v>
      </c>
      <c r="C6" s="22">
        <v>0</v>
      </c>
      <c r="D6" s="22">
        <v>36500</v>
      </c>
      <c r="E6" s="22">
        <v>1000</v>
      </c>
      <c r="F6" s="22">
        <v>3000</v>
      </c>
      <c r="G6" s="22">
        <v>3200</v>
      </c>
      <c r="H6" s="22"/>
      <c r="I6" s="22"/>
      <c r="J6" s="22">
        <v>3500</v>
      </c>
      <c r="K6" s="22"/>
      <c r="L6" s="22">
        <f t="shared" ref="L6:L19" si="1">SUM(C6:K6)</f>
        <v>47200</v>
      </c>
      <c r="M6" s="14"/>
      <c r="N6" s="22">
        <f t="shared" si="0"/>
        <v>47200</v>
      </c>
      <c r="O6" s="15"/>
      <c r="P6" s="74"/>
      <c r="Q6" s="75"/>
      <c r="R6" s="73"/>
    </row>
    <row r="7" spans="1:18" x14ac:dyDescent="0.25">
      <c r="A7" s="13">
        <v>4</v>
      </c>
      <c r="B7" s="59" t="s">
        <v>26</v>
      </c>
      <c r="C7" s="22">
        <v>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>
        <v>3500</v>
      </c>
      <c r="K7" s="22"/>
      <c r="L7" s="22">
        <f t="shared" si="1"/>
        <v>47200</v>
      </c>
      <c r="M7" s="14">
        <f>47200</f>
        <v>47200</v>
      </c>
      <c r="N7" s="22">
        <f t="shared" si="0"/>
        <v>0</v>
      </c>
      <c r="O7" s="15">
        <v>43474</v>
      </c>
      <c r="P7" s="74"/>
      <c r="Q7" s="75"/>
      <c r="R7" s="75"/>
    </row>
    <row r="8" spans="1:18" ht="15.6" customHeight="1" x14ac:dyDescent="0.25">
      <c r="A8" s="13">
        <v>5</v>
      </c>
      <c r="B8" s="59" t="s">
        <v>27</v>
      </c>
      <c r="C8" s="22">
        <v>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>
        <v>3500</v>
      </c>
      <c r="K8" s="22"/>
      <c r="L8" s="22">
        <f t="shared" si="1"/>
        <v>47200</v>
      </c>
      <c r="M8" s="14"/>
      <c r="N8" s="22">
        <f t="shared" si="0"/>
        <v>47200</v>
      </c>
      <c r="O8" s="15"/>
      <c r="P8" s="82"/>
      <c r="Q8" s="73"/>
      <c r="R8" s="75"/>
    </row>
    <row r="9" spans="1:18" x14ac:dyDescent="0.25">
      <c r="A9" s="13">
        <v>6</v>
      </c>
      <c r="B9" s="59" t="s">
        <v>28</v>
      </c>
      <c r="C9" s="22">
        <v>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>
        <v>3500</v>
      </c>
      <c r="K9" s="22"/>
      <c r="L9" s="22">
        <f t="shared" si="1"/>
        <v>47200</v>
      </c>
      <c r="M9" s="14"/>
      <c r="N9" s="22">
        <f t="shared" si="0"/>
        <v>47200</v>
      </c>
      <c r="O9" s="15"/>
      <c r="P9" s="73"/>
      <c r="Q9" s="75"/>
      <c r="R9" s="75"/>
    </row>
    <row r="10" spans="1:18" x14ac:dyDescent="0.25">
      <c r="A10" s="13">
        <v>7</v>
      </c>
      <c r="B10" s="59" t="s">
        <v>29</v>
      </c>
      <c r="C10" s="22">
        <v>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>
        <v>3500</v>
      </c>
      <c r="K10" s="22"/>
      <c r="L10" s="22">
        <f t="shared" si="1"/>
        <v>47200</v>
      </c>
      <c r="M10" s="14"/>
      <c r="N10" s="22">
        <f t="shared" si="0"/>
        <v>47200</v>
      </c>
      <c r="O10" s="15"/>
      <c r="P10" s="73"/>
      <c r="Q10" s="73"/>
      <c r="R10" s="73"/>
    </row>
    <row r="11" spans="1:18" x14ac:dyDescent="0.25">
      <c r="A11" s="13">
        <v>8</v>
      </c>
      <c r="B11" s="59" t="s">
        <v>57</v>
      </c>
      <c r="C11" s="22">
        <v>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>
        <v>3500</v>
      </c>
      <c r="K11" s="22"/>
      <c r="L11" s="22">
        <f t="shared" si="1"/>
        <v>47200</v>
      </c>
      <c r="M11" s="14">
        <f>47200</f>
        <v>47200</v>
      </c>
      <c r="N11" s="22">
        <f t="shared" si="0"/>
        <v>0</v>
      </c>
      <c r="O11" s="15">
        <v>43472</v>
      </c>
      <c r="P11" s="81"/>
      <c r="Q11" s="73"/>
      <c r="R11" s="73"/>
    </row>
    <row r="12" spans="1:18" x14ac:dyDescent="0.25">
      <c r="A12" s="13">
        <v>9</v>
      </c>
      <c r="B12" s="59" t="s">
        <v>79</v>
      </c>
      <c r="C12" s="22">
        <v>930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>
        <v>3500</v>
      </c>
      <c r="K12" s="22">
        <v>7500</v>
      </c>
      <c r="L12" s="22">
        <f t="shared" si="1"/>
        <v>55630</v>
      </c>
      <c r="M12" s="14"/>
      <c r="N12" s="22">
        <f>L12-M12</f>
        <v>55630</v>
      </c>
      <c r="O12" s="15"/>
      <c r="P12" s="73"/>
      <c r="Q12" s="75"/>
      <c r="R12" s="73"/>
    </row>
    <row r="13" spans="1:18" x14ac:dyDescent="0.25">
      <c r="A13" s="13">
        <v>10</v>
      </c>
      <c r="B13" s="59" t="s">
        <v>85</v>
      </c>
      <c r="C13" s="22">
        <v>0</v>
      </c>
      <c r="D13" s="22">
        <v>36500</v>
      </c>
      <c r="E13" s="22">
        <v>1000</v>
      </c>
      <c r="F13" s="22">
        <v>3000</v>
      </c>
      <c r="G13" s="22">
        <v>3200</v>
      </c>
      <c r="H13" s="22"/>
      <c r="I13" s="22"/>
      <c r="J13" s="22">
        <v>3500</v>
      </c>
      <c r="K13" s="22"/>
      <c r="L13" s="22">
        <f t="shared" si="1"/>
        <v>47200</v>
      </c>
      <c r="M13" s="14"/>
      <c r="N13" s="22">
        <f t="shared" si="0"/>
        <v>47200</v>
      </c>
      <c r="O13" s="83"/>
      <c r="P13" s="73"/>
      <c r="Q13" s="73"/>
      <c r="R13" s="73"/>
    </row>
    <row r="14" spans="1:18" ht="15.6" customHeight="1" x14ac:dyDescent="0.25">
      <c r="A14" s="13">
        <v>11</v>
      </c>
      <c r="B14" s="59" t="s">
        <v>86</v>
      </c>
      <c r="C14" s="22">
        <v>0</v>
      </c>
      <c r="D14" s="22">
        <v>36500</v>
      </c>
      <c r="E14" s="22">
        <v>1000</v>
      </c>
      <c r="F14" s="22">
        <v>3000</v>
      </c>
      <c r="G14" s="22">
        <v>3200</v>
      </c>
      <c r="H14" s="22"/>
      <c r="I14" s="22"/>
      <c r="J14" s="22">
        <v>3500</v>
      </c>
      <c r="K14" s="22"/>
      <c r="L14" s="22">
        <f t="shared" si="1"/>
        <v>47200</v>
      </c>
      <c r="M14" s="14"/>
      <c r="N14" s="22">
        <f t="shared" si="0"/>
        <v>47200</v>
      </c>
      <c r="O14" s="15"/>
      <c r="P14" s="73"/>
      <c r="Q14" s="73"/>
      <c r="R14" s="73"/>
    </row>
    <row r="15" spans="1:18" x14ac:dyDescent="0.25">
      <c r="A15" s="13">
        <v>12</v>
      </c>
      <c r="B15" s="59" t="s">
        <v>88</v>
      </c>
      <c r="C15" s="22">
        <v>0</v>
      </c>
      <c r="D15" s="22">
        <v>36500</v>
      </c>
      <c r="E15" s="22">
        <v>1000</v>
      </c>
      <c r="F15" s="22">
        <v>3000</v>
      </c>
      <c r="G15" s="22">
        <v>3200</v>
      </c>
      <c r="H15" s="22"/>
      <c r="I15" s="22"/>
      <c r="J15" s="22">
        <v>3500</v>
      </c>
      <c r="K15" s="22">
        <v>15000</v>
      </c>
      <c r="L15" s="22">
        <f t="shared" si="1"/>
        <v>62200</v>
      </c>
      <c r="M15" s="14">
        <f>46200+15000+1000</f>
        <v>62200</v>
      </c>
      <c r="N15" s="22">
        <f t="shared" si="0"/>
        <v>0</v>
      </c>
      <c r="O15" s="15">
        <v>43472</v>
      </c>
      <c r="P15" s="73"/>
      <c r="Q15" s="73"/>
      <c r="R15" s="73"/>
    </row>
    <row r="16" spans="1:18" x14ac:dyDescent="0.25">
      <c r="A16" s="13">
        <v>13</v>
      </c>
      <c r="B16" s="59" t="s">
        <v>93</v>
      </c>
      <c r="C16" s="22">
        <v>0</v>
      </c>
      <c r="D16" s="22">
        <v>36500</v>
      </c>
      <c r="E16" s="22">
        <v>1000</v>
      </c>
      <c r="F16" s="22">
        <v>3000</v>
      </c>
      <c r="G16" s="22">
        <v>3200</v>
      </c>
      <c r="H16" s="22"/>
      <c r="I16" s="22"/>
      <c r="J16" s="22">
        <v>3500</v>
      </c>
      <c r="K16" s="22"/>
      <c r="L16" s="22">
        <f t="shared" si="1"/>
        <v>47200</v>
      </c>
      <c r="M16" s="14"/>
      <c r="N16" s="22">
        <f t="shared" si="0"/>
        <v>47200</v>
      </c>
      <c r="O16" s="15"/>
      <c r="Q16" s="73"/>
      <c r="R16" s="73"/>
    </row>
    <row r="17" spans="1:18" ht="15.6" customHeight="1" x14ac:dyDescent="0.25">
      <c r="A17" s="13">
        <v>14</v>
      </c>
      <c r="B17" s="59" t="s">
        <v>110</v>
      </c>
      <c r="C17" s="22">
        <v>0</v>
      </c>
      <c r="D17" s="22">
        <v>36500</v>
      </c>
      <c r="E17" s="22">
        <v>1000</v>
      </c>
      <c r="F17" s="22">
        <v>3000</v>
      </c>
      <c r="G17" s="22">
        <v>3200</v>
      </c>
      <c r="H17" s="22"/>
      <c r="I17" s="22"/>
      <c r="J17" s="22">
        <v>3500</v>
      </c>
      <c r="K17" s="22"/>
      <c r="L17" s="22">
        <f t="shared" si="1"/>
        <v>47200</v>
      </c>
      <c r="M17" s="14"/>
      <c r="N17" s="22">
        <f t="shared" si="0"/>
        <v>47200</v>
      </c>
      <c r="O17" s="15"/>
      <c r="P17" s="73"/>
      <c r="Q17" s="73"/>
      <c r="R17" s="73"/>
    </row>
    <row r="18" spans="1:18" x14ac:dyDescent="0.25">
      <c r="A18" s="13">
        <v>15</v>
      </c>
      <c r="B18" s="59" t="s">
        <v>118</v>
      </c>
      <c r="C18" s="22">
        <v>0</v>
      </c>
      <c r="D18" s="22">
        <v>36500</v>
      </c>
      <c r="E18" s="22">
        <v>1000</v>
      </c>
      <c r="F18" s="22">
        <v>3000</v>
      </c>
      <c r="G18" s="22">
        <v>3200</v>
      </c>
      <c r="H18" s="22"/>
      <c r="I18" s="22"/>
      <c r="J18" s="22">
        <v>3500</v>
      </c>
      <c r="K18" s="22">
        <v>15000</v>
      </c>
      <c r="L18" s="22">
        <f t="shared" si="1"/>
        <v>62200</v>
      </c>
      <c r="M18" s="14"/>
      <c r="N18" s="22">
        <f t="shared" si="0"/>
        <v>62200</v>
      </c>
      <c r="O18" s="15"/>
      <c r="P18" s="73"/>
      <c r="Q18" s="73"/>
      <c r="R18" s="82"/>
    </row>
    <row r="19" spans="1:18" x14ac:dyDescent="0.25">
      <c r="A19" s="13">
        <v>16</v>
      </c>
      <c r="B19" s="59" t="s">
        <v>136</v>
      </c>
      <c r="C19" s="22">
        <v>0</v>
      </c>
      <c r="D19" s="22">
        <v>36500</v>
      </c>
      <c r="E19" s="22">
        <v>1000</v>
      </c>
      <c r="F19" s="22">
        <v>3000</v>
      </c>
      <c r="G19" s="22">
        <v>3200</v>
      </c>
      <c r="H19" s="22"/>
      <c r="I19" s="22"/>
      <c r="J19" s="22">
        <v>3500</v>
      </c>
      <c r="K19" s="22"/>
      <c r="L19" s="22">
        <f t="shared" si="1"/>
        <v>47200</v>
      </c>
      <c r="M19" s="14"/>
      <c r="N19" s="22">
        <f t="shared" si="0"/>
        <v>47200</v>
      </c>
      <c r="O19" s="15"/>
      <c r="P19" s="73"/>
      <c r="Q19" s="73"/>
    </row>
    <row r="20" spans="1:18" s="21" customFormat="1" x14ac:dyDescent="0.25">
      <c r="A20" s="18"/>
      <c r="B20" s="56" t="s">
        <v>191</v>
      </c>
      <c r="C20" s="23">
        <f>SUM(C4:C19)</f>
        <v>930</v>
      </c>
      <c r="D20" s="23">
        <f t="shared" ref="D20:M20" si="2">SUM(D4:D19)</f>
        <v>584000</v>
      </c>
      <c r="E20" s="23">
        <f t="shared" si="2"/>
        <v>16000</v>
      </c>
      <c r="F20" s="23">
        <f>SUM(F4:F19)</f>
        <v>48000</v>
      </c>
      <c r="G20" s="23">
        <f t="shared" si="2"/>
        <v>51200</v>
      </c>
      <c r="H20" s="23">
        <f t="shared" si="2"/>
        <v>0</v>
      </c>
      <c r="I20" s="23">
        <f t="shared" si="2"/>
        <v>0</v>
      </c>
      <c r="J20" s="23">
        <f>SUM(J4:J19)</f>
        <v>56000</v>
      </c>
      <c r="K20" s="23">
        <f t="shared" si="2"/>
        <v>37500</v>
      </c>
      <c r="L20" s="23">
        <f>SUM(L4:L19)</f>
        <v>793630</v>
      </c>
      <c r="M20" s="19">
        <f t="shared" si="2"/>
        <v>247800</v>
      </c>
      <c r="N20" s="23">
        <f>SUM(N4:N19)</f>
        <v>545830</v>
      </c>
      <c r="O20" s="20"/>
      <c r="P20" s="74"/>
      <c r="Q20" s="74"/>
    </row>
    <row r="21" spans="1:18" x14ac:dyDescent="0.25">
      <c r="P21" s="73"/>
      <c r="Q21" s="73"/>
    </row>
    <row r="22" spans="1:18" x14ac:dyDescent="0.25">
      <c r="O22" s="73"/>
      <c r="P22" s="73"/>
    </row>
    <row r="23" spans="1:18" x14ac:dyDescent="0.25">
      <c r="Q23" s="73"/>
    </row>
    <row r="24" spans="1:18" x14ac:dyDescent="0.25">
      <c r="P24" s="73"/>
      <c r="Q24" s="73"/>
    </row>
    <row r="25" spans="1:18" x14ac:dyDescent="0.25">
      <c r="Q25" s="73"/>
    </row>
    <row r="26" spans="1:18" x14ac:dyDescent="0.25">
      <c r="Q26" s="73"/>
    </row>
    <row r="41" spans="20:20" x14ac:dyDescent="0.25">
      <c r="T41" s="73"/>
    </row>
  </sheetData>
  <sheetProtection algorithmName="SHA-512" hashValue="PIKQxJjrnJx4BC6SYclJtXWjEbGc6bFhEJbzSMltOswe8oaA5REk1JB2pGBwoB8sEnKbNtbzLB7olFft00dTFw==" saltValue="1ASHIN40V+QgW4w1mcpubA==" spinCount="100000" sheet="1" objects="1" scenarios="1"/>
  <mergeCells count="1">
    <mergeCell ref="D2:L2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G1" zoomScale="75" zoomScaleNormal="75" workbookViewId="0">
      <selection activeCell="N14" sqref="N14"/>
    </sheetView>
  </sheetViews>
  <sheetFormatPr defaultColWidth="8.85546875" defaultRowHeight="15.75" x14ac:dyDescent="0.25"/>
  <cols>
    <col min="1" max="1" width="5.42578125" style="12" bestFit="1" customWidth="1"/>
    <col min="2" max="2" width="28.85546875" style="12" customWidth="1"/>
    <col min="3" max="3" width="13.42578125" style="12" customWidth="1"/>
    <col min="4" max="4" width="11.85546875" style="12" bestFit="1" customWidth="1"/>
    <col min="5" max="5" width="10.7109375" style="12" customWidth="1"/>
    <col min="6" max="6" width="13.140625" style="12" bestFit="1" customWidth="1"/>
    <col min="7" max="7" width="12.140625" style="12" customWidth="1"/>
    <col min="8" max="9" width="11.140625" style="12" customWidth="1"/>
    <col min="10" max="10" width="11.28515625" style="12" bestFit="1" customWidth="1"/>
    <col min="11" max="11" width="13.42578125" style="12" customWidth="1"/>
    <col min="12" max="13" width="13.28515625" style="12" customWidth="1"/>
    <col min="14" max="14" width="27.42578125" style="12" customWidth="1"/>
    <col min="15" max="15" width="16.85546875" style="12" customWidth="1"/>
    <col min="16" max="16384" width="8.85546875" style="12"/>
  </cols>
  <sheetData>
    <row r="1" spans="1:16" x14ac:dyDescent="0.25">
      <c r="A1" s="10" t="s">
        <v>115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1"/>
      <c r="B2" s="11"/>
      <c r="C2" s="11"/>
      <c r="D2" s="90"/>
      <c r="E2" s="90"/>
      <c r="F2" s="90"/>
      <c r="G2" s="90"/>
      <c r="H2" s="90"/>
      <c r="I2" s="90"/>
      <c r="J2" s="90"/>
      <c r="K2" s="90"/>
      <c r="L2" s="11"/>
      <c r="M2" s="11"/>
    </row>
    <row r="3" spans="1:16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55</v>
      </c>
      <c r="H3" s="56" t="s">
        <v>3</v>
      </c>
      <c r="I3" s="56" t="s">
        <v>31</v>
      </c>
      <c r="J3" s="56" t="s">
        <v>5</v>
      </c>
      <c r="K3" s="56" t="s">
        <v>8</v>
      </c>
      <c r="L3" s="10" t="s">
        <v>9</v>
      </c>
      <c r="M3" s="57" t="s">
        <v>30</v>
      </c>
      <c r="N3" s="10" t="s">
        <v>138</v>
      </c>
    </row>
    <row r="4" spans="1:16" x14ac:dyDescent="0.25">
      <c r="A4" s="58">
        <v>1</v>
      </c>
      <c r="B4" s="59" t="s">
        <v>34</v>
      </c>
      <c r="C4" s="22">
        <v>89740</v>
      </c>
      <c r="D4" s="22">
        <v>38500</v>
      </c>
      <c r="E4" s="22">
        <v>1000</v>
      </c>
      <c r="F4" s="22">
        <v>3000</v>
      </c>
      <c r="G4" s="22"/>
      <c r="H4" s="22"/>
      <c r="I4" s="22">
        <v>3500</v>
      </c>
      <c r="J4" s="22"/>
      <c r="K4" s="22">
        <f>SUM(C4:J4)</f>
        <v>135740</v>
      </c>
      <c r="L4" s="14">
        <f>89740+43360</f>
        <v>133100</v>
      </c>
      <c r="M4" s="22">
        <f t="shared" ref="M4:M20" si="0">K4-L4</f>
        <v>2640</v>
      </c>
      <c r="N4" s="15" t="s">
        <v>206</v>
      </c>
    </row>
    <row r="5" spans="1:16" ht="15.6" customHeight="1" x14ac:dyDescent="0.25">
      <c r="A5" s="58">
        <v>2</v>
      </c>
      <c r="B5" s="59" t="s">
        <v>80</v>
      </c>
      <c r="C5" s="22">
        <v>0</v>
      </c>
      <c r="D5" s="22">
        <v>38500</v>
      </c>
      <c r="E5" s="22">
        <v>1000</v>
      </c>
      <c r="F5" s="22">
        <v>3000</v>
      </c>
      <c r="G5" s="22"/>
      <c r="H5" s="22"/>
      <c r="I5" s="22">
        <v>3500</v>
      </c>
      <c r="J5" s="22"/>
      <c r="K5" s="22">
        <f t="shared" ref="K5:K20" si="1">SUM(C5:J5)</f>
        <v>46000</v>
      </c>
      <c r="L5" s="14"/>
      <c r="M5" s="22">
        <f t="shared" si="0"/>
        <v>46000</v>
      </c>
      <c r="N5" s="15"/>
    </row>
    <row r="6" spans="1:16" x14ac:dyDescent="0.25">
      <c r="A6" s="58">
        <v>3</v>
      </c>
      <c r="B6" s="59" t="s">
        <v>35</v>
      </c>
      <c r="C6" s="22">
        <v>0</v>
      </c>
      <c r="D6" s="22">
        <v>38500</v>
      </c>
      <c r="E6" s="22">
        <v>1000</v>
      </c>
      <c r="F6" s="22">
        <v>3000</v>
      </c>
      <c r="G6" s="22"/>
      <c r="H6" s="22"/>
      <c r="I6" s="22">
        <v>3500</v>
      </c>
      <c r="J6" s="22"/>
      <c r="K6" s="22">
        <f t="shared" si="1"/>
        <v>46000</v>
      </c>
      <c r="L6" s="14"/>
      <c r="M6" s="22">
        <f t="shared" si="0"/>
        <v>46000</v>
      </c>
      <c r="N6" s="15"/>
    </row>
    <row r="7" spans="1:16" x14ac:dyDescent="0.25">
      <c r="A7" s="58">
        <v>4</v>
      </c>
      <c r="B7" s="59" t="s">
        <v>87</v>
      </c>
      <c r="C7" s="22">
        <v>2100</v>
      </c>
      <c r="D7" s="22">
        <v>38500</v>
      </c>
      <c r="E7" s="22">
        <v>1000</v>
      </c>
      <c r="F7" s="22">
        <v>3000</v>
      </c>
      <c r="G7" s="22"/>
      <c r="H7" s="22"/>
      <c r="I7" s="22">
        <v>3500</v>
      </c>
      <c r="J7" s="22"/>
      <c r="K7" s="22">
        <f t="shared" si="1"/>
        <v>48100</v>
      </c>
      <c r="L7" s="14"/>
      <c r="M7" s="22">
        <f t="shared" si="0"/>
        <v>48100</v>
      </c>
      <c r="N7" s="15"/>
    </row>
    <row r="8" spans="1:16" x14ac:dyDescent="0.25">
      <c r="A8" s="59">
        <v>5</v>
      </c>
      <c r="B8" s="59" t="s">
        <v>104</v>
      </c>
      <c r="C8" s="22">
        <v>0</v>
      </c>
      <c r="D8" s="22">
        <v>38500</v>
      </c>
      <c r="E8" s="22">
        <v>1000</v>
      </c>
      <c r="F8" s="22">
        <v>3000</v>
      </c>
      <c r="G8" s="22"/>
      <c r="H8" s="22"/>
      <c r="I8" s="22">
        <v>3500</v>
      </c>
      <c r="J8" s="22"/>
      <c r="K8" s="22">
        <f t="shared" si="1"/>
        <v>46000</v>
      </c>
      <c r="L8" s="14"/>
      <c r="M8" s="22">
        <f t="shared" si="0"/>
        <v>46000</v>
      </c>
      <c r="N8" s="15"/>
    </row>
    <row r="9" spans="1:16" x14ac:dyDescent="0.25">
      <c r="A9" s="58">
        <v>6</v>
      </c>
      <c r="B9" s="59" t="s">
        <v>105</v>
      </c>
      <c r="C9" s="22">
        <v>0</v>
      </c>
      <c r="D9" s="22">
        <v>38500</v>
      </c>
      <c r="E9" s="22">
        <v>1000</v>
      </c>
      <c r="F9" s="22">
        <v>3000</v>
      </c>
      <c r="G9" s="22"/>
      <c r="H9" s="22"/>
      <c r="I9" s="22">
        <v>3500</v>
      </c>
      <c r="J9" s="22"/>
      <c r="K9" s="22">
        <f t="shared" si="1"/>
        <v>46000</v>
      </c>
      <c r="L9" s="14"/>
      <c r="M9" s="22">
        <f t="shared" si="0"/>
        <v>46000</v>
      </c>
      <c r="N9" s="15"/>
    </row>
    <row r="10" spans="1:16" x14ac:dyDescent="0.25">
      <c r="A10" s="58">
        <v>7</v>
      </c>
      <c r="B10" s="59" t="s">
        <v>117</v>
      </c>
      <c r="C10" s="22">
        <v>1000</v>
      </c>
      <c r="D10" s="22">
        <v>38500</v>
      </c>
      <c r="E10" s="22">
        <v>1000</v>
      </c>
      <c r="F10" s="22">
        <v>3000</v>
      </c>
      <c r="G10" s="22"/>
      <c r="H10" s="22"/>
      <c r="I10" s="22">
        <v>3500</v>
      </c>
      <c r="J10" s="22"/>
      <c r="K10" s="22">
        <f t="shared" si="1"/>
        <v>47000</v>
      </c>
      <c r="L10" s="14">
        <f>45000+1000</f>
        <v>46000</v>
      </c>
      <c r="M10" s="22">
        <f t="shared" si="0"/>
        <v>1000</v>
      </c>
      <c r="N10" s="15" t="s">
        <v>204</v>
      </c>
    </row>
    <row r="11" spans="1:16" x14ac:dyDescent="0.25">
      <c r="A11" s="58">
        <v>8</v>
      </c>
      <c r="B11" s="59" t="s">
        <v>161</v>
      </c>
      <c r="C11" s="22">
        <v>0</v>
      </c>
      <c r="D11" s="22">
        <v>38500</v>
      </c>
      <c r="E11" s="22">
        <v>1000</v>
      </c>
      <c r="F11" s="22">
        <v>3000</v>
      </c>
      <c r="G11" s="22"/>
      <c r="H11" s="22"/>
      <c r="I11" s="22">
        <v>3500</v>
      </c>
      <c r="J11" s="22"/>
      <c r="K11" s="22">
        <f t="shared" si="1"/>
        <v>46000</v>
      </c>
      <c r="L11" s="14"/>
      <c r="M11" s="22">
        <f>K11-L11</f>
        <v>46000</v>
      </c>
      <c r="N11" s="15"/>
    </row>
    <row r="12" spans="1:16" x14ac:dyDescent="0.25">
      <c r="A12" s="58">
        <v>9</v>
      </c>
      <c r="B12" s="59" t="s">
        <v>162</v>
      </c>
      <c r="C12" s="22">
        <v>2000</v>
      </c>
      <c r="D12" s="22">
        <v>38500</v>
      </c>
      <c r="E12" s="22">
        <v>1000</v>
      </c>
      <c r="F12" s="22">
        <v>3000</v>
      </c>
      <c r="G12" s="22"/>
      <c r="H12" s="22"/>
      <c r="I12" s="22">
        <v>3500</v>
      </c>
      <c r="J12" s="22"/>
      <c r="K12" s="22">
        <f t="shared" si="1"/>
        <v>48000</v>
      </c>
      <c r="L12" s="14"/>
      <c r="M12" s="22">
        <f>K12-L12</f>
        <v>48000</v>
      </c>
      <c r="N12" s="15"/>
    </row>
    <row r="13" spans="1:16" x14ac:dyDescent="0.25">
      <c r="A13" s="59">
        <v>10</v>
      </c>
      <c r="B13" s="59" t="s">
        <v>196</v>
      </c>
      <c r="C13" s="22">
        <v>19740</v>
      </c>
      <c r="D13" s="22">
        <v>38500</v>
      </c>
      <c r="E13" s="22">
        <v>1000</v>
      </c>
      <c r="F13" s="22">
        <v>3000</v>
      </c>
      <c r="G13" s="22"/>
      <c r="H13" s="22"/>
      <c r="I13" s="22">
        <v>3500</v>
      </c>
      <c r="J13" s="22"/>
      <c r="K13" s="22">
        <f t="shared" si="1"/>
        <v>65740</v>
      </c>
      <c r="L13" s="14">
        <f>40000+20000</f>
        <v>60000</v>
      </c>
      <c r="M13" s="22">
        <f t="shared" si="0"/>
        <v>5740</v>
      </c>
      <c r="N13" s="15" t="s">
        <v>210</v>
      </c>
    </row>
    <row r="14" spans="1:16" x14ac:dyDescent="0.25">
      <c r="A14" s="58">
        <v>11</v>
      </c>
      <c r="B14" s="59" t="s">
        <v>163</v>
      </c>
      <c r="C14" s="22">
        <v>1000</v>
      </c>
      <c r="D14" s="22">
        <v>38500</v>
      </c>
      <c r="E14" s="22">
        <v>1000</v>
      </c>
      <c r="F14" s="22">
        <v>3000</v>
      </c>
      <c r="G14" s="22"/>
      <c r="H14" s="22"/>
      <c r="I14" s="22">
        <v>3500</v>
      </c>
      <c r="J14" s="22"/>
      <c r="K14" s="22">
        <f t="shared" si="1"/>
        <v>47000</v>
      </c>
      <c r="L14" s="14">
        <f>1000+45000</f>
        <v>46000</v>
      </c>
      <c r="M14" s="22">
        <f t="shared" si="0"/>
        <v>1000</v>
      </c>
      <c r="N14" s="15" t="s">
        <v>205</v>
      </c>
    </row>
    <row r="15" spans="1:16" x14ac:dyDescent="0.25">
      <c r="A15" s="58">
        <v>12</v>
      </c>
      <c r="B15" s="59" t="s">
        <v>164</v>
      </c>
      <c r="C15" s="22">
        <v>1000</v>
      </c>
      <c r="D15" s="22">
        <v>38500</v>
      </c>
      <c r="E15" s="22">
        <v>1000</v>
      </c>
      <c r="F15" s="22">
        <v>3000</v>
      </c>
      <c r="G15" s="22"/>
      <c r="H15" s="22"/>
      <c r="I15" s="22">
        <v>3500</v>
      </c>
      <c r="J15" s="22"/>
      <c r="K15" s="22">
        <f t="shared" si="1"/>
        <v>47000</v>
      </c>
      <c r="L15" s="14"/>
      <c r="M15" s="22">
        <f t="shared" si="0"/>
        <v>47000</v>
      </c>
      <c r="N15" s="15"/>
    </row>
    <row r="16" spans="1:16" ht="15.6" customHeight="1" x14ac:dyDescent="0.25">
      <c r="A16" s="58">
        <v>13</v>
      </c>
      <c r="B16" s="59" t="s">
        <v>165</v>
      </c>
      <c r="C16" s="22">
        <v>740</v>
      </c>
      <c r="D16" s="22">
        <v>38500</v>
      </c>
      <c r="E16" s="22">
        <v>1000</v>
      </c>
      <c r="F16" s="22">
        <v>3000</v>
      </c>
      <c r="G16" s="22"/>
      <c r="H16" s="22"/>
      <c r="I16" s="22">
        <v>3500</v>
      </c>
      <c r="J16" s="22"/>
      <c r="K16" s="22">
        <f t="shared" si="1"/>
        <v>46740</v>
      </c>
      <c r="L16" s="14"/>
      <c r="M16" s="22">
        <f t="shared" si="0"/>
        <v>46740</v>
      </c>
      <c r="N16" s="15"/>
    </row>
    <row r="17" spans="1:15" x14ac:dyDescent="0.25">
      <c r="A17" s="58">
        <v>14</v>
      </c>
      <c r="B17" s="59" t="s">
        <v>166</v>
      </c>
      <c r="C17" s="22">
        <v>0</v>
      </c>
      <c r="D17" s="22">
        <v>38500</v>
      </c>
      <c r="E17" s="22">
        <v>1000</v>
      </c>
      <c r="F17" s="22">
        <v>3000</v>
      </c>
      <c r="G17" s="22"/>
      <c r="H17" s="22"/>
      <c r="I17" s="22">
        <v>3500</v>
      </c>
      <c r="J17" s="22"/>
      <c r="K17" s="22">
        <f t="shared" si="1"/>
        <v>46000</v>
      </c>
      <c r="L17" s="14"/>
      <c r="M17" s="22">
        <f>K17-L17</f>
        <v>46000</v>
      </c>
      <c r="N17" s="15"/>
    </row>
    <row r="18" spans="1:15" x14ac:dyDescent="0.25">
      <c r="A18" s="59">
        <v>15</v>
      </c>
      <c r="B18" s="59" t="s">
        <v>185</v>
      </c>
      <c r="C18" s="22">
        <v>29740</v>
      </c>
      <c r="D18" s="22">
        <v>38500</v>
      </c>
      <c r="E18" s="22">
        <v>1000</v>
      </c>
      <c r="F18" s="22">
        <v>3000</v>
      </c>
      <c r="G18" s="22"/>
      <c r="H18" s="22"/>
      <c r="I18" s="22">
        <v>3500</v>
      </c>
      <c r="J18" s="22"/>
      <c r="K18" s="22">
        <f t="shared" si="1"/>
        <v>75740</v>
      </c>
      <c r="L18" s="14"/>
      <c r="M18" s="22">
        <f>K18-L18</f>
        <v>75740</v>
      </c>
      <c r="N18" s="15"/>
    </row>
    <row r="19" spans="1:15" ht="15.6" customHeight="1" x14ac:dyDescent="0.25">
      <c r="A19" s="58">
        <v>16</v>
      </c>
      <c r="B19" s="65" t="s">
        <v>188</v>
      </c>
      <c r="C19" s="22">
        <v>0</v>
      </c>
      <c r="D19" s="22">
        <v>38500</v>
      </c>
      <c r="E19" s="22">
        <v>1000</v>
      </c>
      <c r="F19" s="22">
        <v>3000</v>
      </c>
      <c r="G19" s="22"/>
      <c r="H19" s="22"/>
      <c r="I19" s="22">
        <v>3500</v>
      </c>
      <c r="J19" s="22"/>
      <c r="K19" s="22">
        <f t="shared" si="1"/>
        <v>46000</v>
      </c>
      <c r="L19" s="14"/>
      <c r="M19" s="22">
        <f>K19-L19</f>
        <v>46000</v>
      </c>
      <c r="N19" s="15"/>
    </row>
    <row r="20" spans="1:15" x14ac:dyDescent="0.25">
      <c r="A20" s="58">
        <v>17</v>
      </c>
      <c r="B20" s="86" t="s">
        <v>187</v>
      </c>
      <c r="C20" s="22">
        <v>0</v>
      </c>
      <c r="D20" s="22">
        <v>38500</v>
      </c>
      <c r="E20" s="22">
        <v>1000</v>
      </c>
      <c r="F20" s="22">
        <v>3000</v>
      </c>
      <c r="G20" s="22"/>
      <c r="H20" s="22"/>
      <c r="I20" s="22">
        <v>3500</v>
      </c>
      <c r="J20" s="22"/>
      <c r="K20" s="22">
        <f t="shared" si="1"/>
        <v>46000</v>
      </c>
      <c r="L20" s="84"/>
      <c r="M20" s="22">
        <f t="shared" si="0"/>
        <v>46000</v>
      </c>
      <c r="N20" s="15"/>
      <c r="O20" s="16"/>
    </row>
    <row r="21" spans="1:15" x14ac:dyDescent="0.25">
      <c r="A21" s="59">
        <v>18</v>
      </c>
      <c r="B21" s="65" t="s">
        <v>201</v>
      </c>
      <c r="C21" s="22">
        <v>0</v>
      </c>
      <c r="D21" s="22">
        <v>38500</v>
      </c>
      <c r="E21" s="22">
        <v>1000</v>
      </c>
      <c r="F21" s="22">
        <v>3000</v>
      </c>
      <c r="G21" s="22"/>
      <c r="H21" s="22"/>
      <c r="I21" s="22">
        <v>3500</v>
      </c>
      <c r="J21" s="22">
        <v>15000</v>
      </c>
      <c r="K21" s="22">
        <f t="shared" ref="K21" si="2">SUM(C21:J21)</f>
        <v>61000</v>
      </c>
      <c r="L21" s="84">
        <f>60000</f>
        <v>60000</v>
      </c>
      <c r="M21" s="22">
        <f>K21-L21</f>
        <v>1000</v>
      </c>
      <c r="N21" s="15">
        <v>43474</v>
      </c>
      <c r="O21" s="16"/>
    </row>
    <row r="22" spans="1:15" s="21" customFormat="1" x14ac:dyDescent="0.25">
      <c r="A22" s="66"/>
      <c r="B22" s="87" t="s">
        <v>191</v>
      </c>
      <c r="C22" s="23">
        <f>SUM(C4:C21)</f>
        <v>147060</v>
      </c>
      <c r="D22" s="23">
        <f>SUM(D4:D21)</f>
        <v>693000</v>
      </c>
      <c r="E22" s="23">
        <f>SUM(E4:E21)</f>
        <v>18000</v>
      </c>
      <c r="F22" s="23">
        <f>SUM(F4:F21)</f>
        <v>54000</v>
      </c>
      <c r="G22" s="23">
        <f t="shared" ref="G22:L22" si="3">SUM(G4:G21)</f>
        <v>0</v>
      </c>
      <c r="H22" s="23">
        <f>SUM(H4:H21)</f>
        <v>0</v>
      </c>
      <c r="I22" s="23">
        <f t="shared" si="3"/>
        <v>63000</v>
      </c>
      <c r="J22" s="23">
        <f t="shared" si="3"/>
        <v>15000</v>
      </c>
      <c r="K22" s="23">
        <f t="shared" si="3"/>
        <v>990060</v>
      </c>
      <c r="L22" s="19">
        <f t="shared" si="3"/>
        <v>345100</v>
      </c>
      <c r="M22" s="23">
        <f>SUM(M4:M21)</f>
        <v>644960</v>
      </c>
      <c r="N22" s="20"/>
    </row>
    <row r="30" spans="1:15" x14ac:dyDescent="0.25">
      <c r="B30" s="85"/>
    </row>
    <row r="31" spans="1:15" x14ac:dyDescent="0.25">
      <c r="D31" s="85"/>
    </row>
    <row r="32" spans="1:15" x14ac:dyDescent="0.25">
      <c r="A32" s="14"/>
    </row>
  </sheetData>
  <sheetProtection algorithmName="SHA-512" hashValue="5xwRcjmRjgf/I9GoBxQwJ7Y4yBBgxmO2J/vnYZycvP/NrTyw9439pVk+yTIjrza2pKdR4GRm2W45BTU6SOLsfQ==" saltValue="slSdBQ3SYCQSwdBcfxPTKg==" spinCount="100000" sheet="1" objects="1" scenarios="1"/>
  <mergeCells count="1">
    <mergeCell ref="D2:K2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topLeftCell="B1" zoomScale="75" zoomScaleNormal="75" workbookViewId="0">
      <selection activeCell="B4" sqref="B4"/>
    </sheetView>
  </sheetViews>
  <sheetFormatPr defaultRowHeight="15" x14ac:dyDescent="0.25"/>
  <cols>
    <col min="1" max="1" width="6" style="85" bestFit="1" customWidth="1"/>
    <col min="2" max="2" width="32.28515625" style="85" bestFit="1" customWidth="1"/>
    <col min="3" max="3" width="12.5703125" style="85" bestFit="1" customWidth="1"/>
    <col min="4" max="4" width="11.7109375" style="85" bestFit="1" customWidth="1"/>
    <col min="5" max="6" width="10.42578125" style="85" customWidth="1"/>
    <col min="7" max="7" width="10.28515625" style="85" bestFit="1" customWidth="1"/>
    <col min="8" max="8" width="12.140625" style="85" customWidth="1"/>
    <col min="9" max="9" width="11" style="85" customWidth="1"/>
    <col min="10" max="10" width="11.28515625" style="85" bestFit="1" customWidth="1"/>
    <col min="11" max="11" width="13.28515625" style="85" customWidth="1"/>
    <col min="12" max="12" width="13" style="85" customWidth="1"/>
    <col min="13" max="13" width="13.28515625" style="85" bestFit="1" customWidth="1"/>
    <col min="14" max="14" width="26.42578125" style="85" customWidth="1"/>
    <col min="15" max="15" width="16.140625" style="85" customWidth="1"/>
    <col min="16" max="16384" width="9.140625" style="85"/>
  </cols>
  <sheetData>
    <row r="1" spans="1:15" ht="15.75" x14ac:dyDescent="0.25">
      <c r="A1" s="10" t="s">
        <v>167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15.75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5" ht="15.75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55</v>
      </c>
      <c r="H3" s="56" t="s">
        <v>3</v>
      </c>
      <c r="I3" s="56" t="s">
        <v>31</v>
      </c>
      <c r="J3" s="56" t="s">
        <v>5</v>
      </c>
      <c r="K3" s="56" t="s">
        <v>8</v>
      </c>
      <c r="L3" s="10" t="s">
        <v>9</v>
      </c>
      <c r="M3" s="56" t="s">
        <v>30</v>
      </c>
      <c r="N3" s="10" t="s">
        <v>138</v>
      </c>
    </row>
    <row r="4" spans="1:15" ht="15.75" x14ac:dyDescent="0.25">
      <c r="A4" s="59">
        <v>1</v>
      </c>
      <c r="B4" s="59" t="s">
        <v>168</v>
      </c>
      <c r="C4" s="22">
        <v>0</v>
      </c>
      <c r="D4" s="22">
        <v>38500</v>
      </c>
      <c r="E4" s="22">
        <v>1000</v>
      </c>
      <c r="F4" s="22">
        <v>3000</v>
      </c>
      <c r="G4" s="22"/>
      <c r="H4" s="22"/>
      <c r="I4" s="22">
        <v>3500</v>
      </c>
      <c r="J4" s="22"/>
      <c r="K4" s="22">
        <f t="shared" ref="K4:K19" si="0">SUM(C4:J4)</f>
        <v>46000</v>
      </c>
      <c r="L4" s="14">
        <f>46000</f>
        <v>46000</v>
      </c>
      <c r="M4" s="22">
        <f>K4-L4</f>
        <v>0</v>
      </c>
      <c r="N4" s="15">
        <v>43474</v>
      </c>
    </row>
    <row r="5" spans="1:15" ht="15.75" x14ac:dyDescent="0.25">
      <c r="A5" s="59">
        <v>2</v>
      </c>
      <c r="B5" s="59" t="s">
        <v>169</v>
      </c>
      <c r="C5" s="22">
        <v>0</v>
      </c>
      <c r="D5" s="22">
        <v>38500</v>
      </c>
      <c r="E5" s="22">
        <v>1000</v>
      </c>
      <c r="F5" s="22">
        <v>3000</v>
      </c>
      <c r="G5" s="22"/>
      <c r="H5" s="22"/>
      <c r="I5" s="22">
        <v>3500</v>
      </c>
      <c r="J5" s="22"/>
      <c r="K5" s="22">
        <f t="shared" si="0"/>
        <v>46000</v>
      </c>
      <c r="L5" s="14"/>
      <c r="M5" s="22">
        <f t="shared" ref="M5:M19" si="1">K5-L5</f>
        <v>46000</v>
      </c>
      <c r="N5" s="15"/>
    </row>
    <row r="6" spans="1:15" ht="15.75" x14ac:dyDescent="0.25">
      <c r="A6" s="59">
        <v>3</v>
      </c>
      <c r="B6" s="59" t="s">
        <v>170</v>
      </c>
      <c r="C6" s="22">
        <v>0</v>
      </c>
      <c r="D6" s="22">
        <v>38500</v>
      </c>
      <c r="E6" s="22">
        <v>1000</v>
      </c>
      <c r="F6" s="22">
        <v>3000</v>
      </c>
      <c r="G6" s="22"/>
      <c r="H6" s="22"/>
      <c r="I6" s="22">
        <v>3500</v>
      </c>
      <c r="J6" s="22"/>
      <c r="K6" s="22">
        <f t="shared" si="0"/>
        <v>46000</v>
      </c>
      <c r="L6" s="14"/>
      <c r="M6" s="22">
        <f t="shared" si="1"/>
        <v>46000</v>
      </c>
      <c r="N6" s="15"/>
    </row>
    <row r="7" spans="1:15" ht="15.75" x14ac:dyDescent="0.25">
      <c r="A7" s="59">
        <v>4</v>
      </c>
      <c r="B7" s="59" t="s">
        <v>171</v>
      </c>
      <c r="C7" s="22">
        <v>0</v>
      </c>
      <c r="D7" s="22">
        <v>38500</v>
      </c>
      <c r="E7" s="22">
        <v>1000</v>
      </c>
      <c r="F7" s="22">
        <v>3000</v>
      </c>
      <c r="G7" s="22"/>
      <c r="H7" s="22"/>
      <c r="I7" s="22">
        <v>3500</v>
      </c>
      <c r="J7" s="22"/>
      <c r="K7" s="22">
        <f t="shared" si="0"/>
        <v>46000</v>
      </c>
      <c r="L7" s="14"/>
      <c r="M7" s="22">
        <f t="shared" si="1"/>
        <v>46000</v>
      </c>
      <c r="N7" s="15"/>
      <c r="O7" s="88"/>
    </row>
    <row r="8" spans="1:15" ht="15.75" x14ac:dyDescent="0.25">
      <c r="A8" s="59">
        <v>5</v>
      </c>
      <c r="B8" s="59" t="s">
        <v>172</v>
      </c>
      <c r="C8" s="22">
        <v>0</v>
      </c>
      <c r="D8" s="22">
        <v>38500</v>
      </c>
      <c r="E8" s="22">
        <v>1000</v>
      </c>
      <c r="F8" s="22">
        <v>3000</v>
      </c>
      <c r="G8" s="22"/>
      <c r="H8" s="22"/>
      <c r="I8" s="22">
        <v>3500</v>
      </c>
      <c r="J8" s="22"/>
      <c r="K8" s="22">
        <f t="shared" si="0"/>
        <v>46000</v>
      </c>
      <c r="L8" s="14">
        <f>45000+1000+7500</f>
        <v>53500</v>
      </c>
      <c r="M8" s="22">
        <f t="shared" si="1"/>
        <v>-7500</v>
      </c>
      <c r="N8" s="15">
        <v>43482</v>
      </c>
    </row>
    <row r="9" spans="1:15" ht="15.75" x14ac:dyDescent="0.25">
      <c r="A9" s="59">
        <v>6</v>
      </c>
      <c r="B9" s="59" t="s">
        <v>173</v>
      </c>
      <c r="C9" s="22">
        <v>-10</v>
      </c>
      <c r="D9" s="22">
        <v>38500</v>
      </c>
      <c r="E9" s="22">
        <v>1000</v>
      </c>
      <c r="F9" s="22">
        <v>3000</v>
      </c>
      <c r="G9" s="22"/>
      <c r="H9" s="22"/>
      <c r="I9" s="22">
        <v>3500</v>
      </c>
      <c r="J9" s="22"/>
      <c r="K9" s="22">
        <f t="shared" si="0"/>
        <v>45990</v>
      </c>
      <c r="L9" s="14"/>
      <c r="M9" s="22">
        <f t="shared" si="1"/>
        <v>45990</v>
      </c>
      <c r="N9" s="88"/>
    </row>
    <row r="10" spans="1:15" ht="15.75" x14ac:dyDescent="0.25">
      <c r="A10" s="59">
        <v>7</v>
      </c>
      <c r="B10" s="59" t="s">
        <v>174</v>
      </c>
      <c r="C10" s="22">
        <v>0</v>
      </c>
      <c r="D10" s="22">
        <v>38500</v>
      </c>
      <c r="E10" s="22">
        <v>1000</v>
      </c>
      <c r="F10" s="22">
        <v>3000</v>
      </c>
      <c r="G10" s="22"/>
      <c r="H10" s="22"/>
      <c r="I10" s="22">
        <v>3500</v>
      </c>
      <c r="J10" s="22"/>
      <c r="K10" s="22">
        <f t="shared" si="0"/>
        <v>46000</v>
      </c>
      <c r="L10" s="14">
        <f>30000</f>
        <v>30000</v>
      </c>
      <c r="M10" s="22">
        <f t="shared" si="1"/>
        <v>16000</v>
      </c>
      <c r="N10" s="15">
        <v>43482</v>
      </c>
    </row>
    <row r="11" spans="1:15" ht="15.75" x14ac:dyDescent="0.25">
      <c r="A11" s="59">
        <v>8</v>
      </c>
      <c r="B11" s="59" t="s">
        <v>175</v>
      </c>
      <c r="C11" s="22">
        <v>0</v>
      </c>
      <c r="D11" s="22">
        <v>38500</v>
      </c>
      <c r="E11" s="22">
        <v>1000</v>
      </c>
      <c r="F11" s="22">
        <v>3000</v>
      </c>
      <c r="G11" s="22"/>
      <c r="H11" s="22"/>
      <c r="I11" s="22">
        <v>3500</v>
      </c>
      <c r="J11" s="22"/>
      <c r="K11" s="22">
        <f t="shared" si="0"/>
        <v>46000</v>
      </c>
      <c r="L11" s="14">
        <f>1000+45000</f>
        <v>46000</v>
      </c>
      <c r="M11" s="22">
        <f t="shared" si="1"/>
        <v>0</v>
      </c>
      <c r="N11" s="15" t="s">
        <v>205</v>
      </c>
    </row>
    <row r="12" spans="1:15" ht="15.75" x14ac:dyDescent="0.25">
      <c r="A12" s="59">
        <v>9</v>
      </c>
      <c r="B12" s="59" t="s">
        <v>176</v>
      </c>
      <c r="C12" s="22">
        <v>0</v>
      </c>
      <c r="D12" s="22">
        <v>38500</v>
      </c>
      <c r="E12" s="22">
        <v>1000</v>
      </c>
      <c r="F12" s="22">
        <v>3000</v>
      </c>
      <c r="G12" s="22"/>
      <c r="H12" s="22"/>
      <c r="I12" s="22">
        <v>3500</v>
      </c>
      <c r="J12" s="22">
        <v>15000</v>
      </c>
      <c r="K12" s="22">
        <f t="shared" si="0"/>
        <v>61000</v>
      </c>
      <c r="L12" s="14"/>
      <c r="M12" s="22">
        <f t="shared" si="1"/>
        <v>61000</v>
      </c>
      <c r="N12" s="15"/>
    </row>
    <row r="13" spans="1:15" ht="15.75" x14ac:dyDescent="0.25">
      <c r="A13" s="59">
        <v>10</v>
      </c>
      <c r="B13" s="59" t="s">
        <v>177</v>
      </c>
      <c r="C13" s="22">
        <v>140</v>
      </c>
      <c r="D13" s="22">
        <v>38500</v>
      </c>
      <c r="E13" s="22">
        <v>1000</v>
      </c>
      <c r="F13" s="22">
        <v>3000</v>
      </c>
      <c r="G13" s="22"/>
      <c r="H13" s="22"/>
      <c r="I13" s="22">
        <v>3500</v>
      </c>
      <c r="J13" s="22"/>
      <c r="K13" s="22">
        <f t="shared" si="0"/>
        <v>46140</v>
      </c>
      <c r="L13" s="14"/>
      <c r="M13" s="22">
        <f t="shared" si="1"/>
        <v>46140</v>
      </c>
      <c r="N13" s="11"/>
    </row>
    <row r="14" spans="1:15" ht="15.75" x14ac:dyDescent="0.25">
      <c r="A14" s="59">
        <v>11</v>
      </c>
      <c r="B14" s="59" t="s">
        <v>178</v>
      </c>
      <c r="C14" s="22">
        <v>0</v>
      </c>
      <c r="D14" s="22">
        <v>38500</v>
      </c>
      <c r="E14" s="22">
        <v>1000</v>
      </c>
      <c r="F14" s="22">
        <v>3000</v>
      </c>
      <c r="G14" s="22"/>
      <c r="H14" s="22"/>
      <c r="I14" s="22">
        <v>3500</v>
      </c>
      <c r="J14" s="22"/>
      <c r="K14" s="22">
        <f t="shared" si="0"/>
        <v>46000</v>
      </c>
      <c r="L14" s="14"/>
      <c r="M14" s="22">
        <f t="shared" si="1"/>
        <v>46000</v>
      </c>
      <c r="N14" s="15"/>
    </row>
    <row r="15" spans="1:15" ht="15.75" x14ac:dyDescent="0.25">
      <c r="A15" s="59">
        <v>12</v>
      </c>
      <c r="B15" s="59" t="s">
        <v>179</v>
      </c>
      <c r="C15" s="22">
        <v>140</v>
      </c>
      <c r="D15" s="22">
        <v>38500</v>
      </c>
      <c r="E15" s="22">
        <v>1000</v>
      </c>
      <c r="F15" s="22">
        <v>3000</v>
      </c>
      <c r="G15" s="22"/>
      <c r="H15" s="22"/>
      <c r="I15" s="22">
        <v>3500</v>
      </c>
      <c r="J15" s="22"/>
      <c r="K15" s="22">
        <f t="shared" si="0"/>
        <v>46140</v>
      </c>
      <c r="L15" s="14">
        <f>20000</f>
        <v>20000</v>
      </c>
      <c r="M15" s="22">
        <f t="shared" si="1"/>
        <v>26140</v>
      </c>
      <c r="N15" s="15">
        <v>43481</v>
      </c>
    </row>
    <row r="16" spans="1:15" ht="15.75" x14ac:dyDescent="0.25">
      <c r="A16" s="59">
        <v>13</v>
      </c>
      <c r="B16" s="59" t="s">
        <v>180</v>
      </c>
      <c r="C16" s="22">
        <v>0</v>
      </c>
      <c r="D16" s="22">
        <v>0</v>
      </c>
      <c r="E16" s="22">
        <v>1000</v>
      </c>
      <c r="F16" s="22">
        <v>3000</v>
      </c>
      <c r="G16" s="22"/>
      <c r="H16" s="22"/>
      <c r="I16" s="22">
        <v>3500</v>
      </c>
      <c r="J16" s="22"/>
      <c r="K16" s="22">
        <f t="shared" si="0"/>
        <v>7500</v>
      </c>
      <c r="L16" s="14">
        <f>10000</f>
        <v>10000</v>
      </c>
      <c r="M16" s="22">
        <f t="shared" si="1"/>
        <v>-2500</v>
      </c>
      <c r="N16" s="15">
        <v>43479</v>
      </c>
    </row>
    <row r="17" spans="1:14" ht="15.75" x14ac:dyDescent="0.25">
      <c r="A17" s="59">
        <v>14</v>
      </c>
      <c r="B17" s="59" t="s">
        <v>181</v>
      </c>
      <c r="C17" s="22">
        <v>0</v>
      </c>
      <c r="D17" s="22">
        <v>38500</v>
      </c>
      <c r="E17" s="22">
        <v>1000</v>
      </c>
      <c r="F17" s="22">
        <v>3000</v>
      </c>
      <c r="G17" s="22"/>
      <c r="H17" s="22"/>
      <c r="I17" s="22">
        <v>3500</v>
      </c>
      <c r="J17" s="22"/>
      <c r="K17" s="22">
        <f t="shared" si="0"/>
        <v>46000</v>
      </c>
      <c r="L17" s="14">
        <f>45000+1000</f>
        <v>46000</v>
      </c>
      <c r="M17" s="22">
        <f t="shared" si="1"/>
        <v>0</v>
      </c>
      <c r="N17" s="15">
        <v>43472</v>
      </c>
    </row>
    <row r="18" spans="1:14" ht="15.75" x14ac:dyDescent="0.25">
      <c r="A18" s="59">
        <v>15</v>
      </c>
      <c r="B18" s="59" t="s">
        <v>182</v>
      </c>
      <c r="C18" s="22">
        <v>0</v>
      </c>
      <c r="D18" s="22">
        <v>38500</v>
      </c>
      <c r="E18" s="22">
        <v>1000</v>
      </c>
      <c r="F18" s="22">
        <v>3000</v>
      </c>
      <c r="G18" s="22"/>
      <c r="H18" s="22"/>
      <c r="I18" s="22">
        <v>3500</v>
      </c>
      <c r="J18" s="22"/>
      <c r="K18" s="22">
        <f t="shared" si="0"/>
        <v>46000</v>
      </c>
      <c r="L18" s="14">
        <f>45000+1000</f>
        <v>46000</v>
      </c>
      <c r="M18" s="22">
        <f t="shared" si="1"/>
        <v>0</v>
      </c>
      <c r="N18" s="15">
        <v>43473</v>
      </c>
    </row>
    <row r="19" spans="1:14" ht="15.75" x14ac:dyDescent="0.25">
      <c r="A19" s="59">
        <v>16</v>
      </c>
      <c r="B19" s="59" t="s">
        <v>184</v>
      </c>
      <c r="C19" s="22">
        <v>0</v>
      </c>
      <c r="D19" s="22">
        <v>38500</v>
      </c>
      <c r="E19" s="22">
        <v>1000</v>
      </c>
      <c r="F19" s="22">
        <v>3000</v>
      </c>
      <c r="G19" s="22"/>
      <c r="H19" s="22"/>
      <c r="I19" s="22">
        <v>3500</v>
      </c>
      <c r="J19" s="22"/>
      <c r="K19" s="22">
        <f t="shared" si="0"/>
        <v>46000</v>
      </c>
      <c r="L19" s="14"/>
      <c r="M19" s="22">
        <f t="shared" si="1"/>
        <v>46000</v>
      </c>
      <c r="N19" s="15"/>
    </row>
    <row r="20" spans="1:14" s="89" customFormat="1" ht="15.75" x14ac:dyDescent="0.25">
      <c r="A20" s="56"/>
      <c r="B20" s="56" t="s">
        <v>191</v>
      </c>
      <c r="C20" s="23">
        <f t="shared" ref="C20:L20" si="2">SUM(C4:C19)</f>
        <v>270</v>
      </c>
      <c r="D20" s="23">
        <f t="shared" si="2"/>
        <v>577500</v>
      </c>
      <c r="E20" s="23">
        <f t="shared" si="2"/>
        <v>16000</v>
      </c>
      <c r="F20" s="23">
        <f t="shared" si="2"/>
        <v>48000</v>
      </c>
      <c r="G20" s="23">
        <f t="shared" si="2"/>
        <v>0</v>
      </c>
      <c r="H20" s="23">
        <f t="shared" si="2"/>
        <v>0</v>
      </c>
      <c r="I20" s="23">
        <f t="shared" si="2"/>
        <v>56000</v>
      </c>
      <c r="J20" s="23">
        <f t="shared" si="2"/>
        <v>15000</v>
      </c>
      <c r="K20" s="23">
        <f t="shared" si="2"/>
        <v>712770</v>
      </c>
      <c r="L20" s="19">
        <f t="shared" si="2"/>
        <v>297500</v>
      </c>
      <c r="M20" s="23">
        <f>SUM(M4:M19)</f>
        <v>415270</v>
      </c>
      <c r="N20" s="10"/>
    </row>
  </sheetData>
  <sheetProtection algorithmName="SHA-512" hashValue="VRIPHaHQH+bXEbfk0HLFMs6GT8BpElA92qA/9yyE7wXZSYHhpgChFSNiJlZ71bsdaC1sVTUkzMtvQxuYJT5t/A==" saltValue="r1vlX/o4h2+nQil3ctdm1A==" spinCount="100000" sheet="1" objects="1" scenarios="1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zoomScale="75" zoomScaleNormal="75" workbookViewId="0">
      <selection activeCell="K19" sqref="K19"/>
    </sheetView>
  </sheetViews>
  <sheetFormatPr defaultRowHeight="15" x14ac:dyDescent="0.25"/>
  <cols>
    <col min="1" max="1" width="9.140625" style="50"/>
    <col min="2" max="2" width="20.7109375" style="50" customWidth="1"/>
    <col min="3" max="3" width="11.42578125" style="50" customWidth="1"/>
    <col min="4" max="4" width="9.42578125" style="50" customWidth="1"/>
    <col min="5" max="5" width="9.28515625" style="50" customWidth="1"/>
    <col min="6" max="6" width="9.140625" style="50" customWidth="1"/>
    <col min="7" max="7" width="10" style="50" customWidth="1"/>
    <col min="8" max="8" width="11.5703125" style="50" bestFit="1" customWidth="1"/>
    <col min="9" max="10" width="9.140625" style="50"/>
    <col min="11" max="12" width="9.140625" style="50" bestFit="1" customWidth="1"/>
    <col min="13" max="13" width="10.42578125" style="50" bestFit="1" customWidth="1"/>
    <col min="14" max="16384" width="9.140625" style="50"/>
  </cols>
  <sheetData>
    <row r="1" spans="2:13" ht="15.75" thickBot="1" x14ac:dyDescent="0.3">
      <c r="B1" s="9" t="s">
        <v>71</v>
      </c>
      <c r="C1" s="9"/>
      <c r="E1" s="51"/>
    </row>
    <row r="2" spans="2:13" x14ac:dyDescent="0.25">
      <c r="B2" s="24" t="s">
        <v>72</v>
      </c>
      <c r="C2" s="25" t="s">
        <v>38</v>
      </c>
      <c r="D2" s="25" t="s">
        <v>62</v>
      </c>
      <c r="E2" s="25" t="s">
        <v>63</v>
      </c>
      <c r="F2" s="26" t="s">
        <v>64</v>
      </c>
      <c r="G2" s="26" t="s">
        <v>65</v>
      </c>
      <c r="H2" s="26" t="s">
        <v>66</v>
      </c>
      <c r="I2" s="26" t="s">
        <v>67</v>
      </c>
      <c r="J2" s="26" t="s">
        <v>68</v>
      </c>
      <c r="K2" s="27" t="s">
        <v>115</v>
      </c>
      <c r="L2" s="28" t="s">
        <v>167</v>
      </c>
      <c r="M2" s="29" t="s">
        <v>69</v>
      </c>
    </row>
    <row r="3" spans="2:13" x14ac:dyDescent="0.25">
      <c r="B3" s="32" t="s">
        <v>73</v>
      </c>
      <c r="C3" s="33">
        <f>Preschool!D19</f>
        <v>560000</v>
      </c>
      <c r="D3" s="33">
        <f>'Nur 1'!D22</f>
        <v>596000</v>
      </c>
      <c r="E3" s="33">
        <f>'Nur 2'!D22</f>
        <v>595000</v>
      </c>
      <c r="F3" s="33">
        <f>'Pry 1'!D13</f>
        <v>328500</v>
      </c>
      <c r="G3" s="33">
        <f>'Pry 2'!D13</f>
        <v>328500</v>
      </c>
      <c r="H3" s="52">
        <f>'Pry 3'!D15</f>
        <v>365000</v>
      </c>
      <c r="I3" s="33">
        <f>'Pry 4'!D16</f>
        <v>438000</v>
      </c>
      <c r="J3" s="33">
        <f>'Pry 5'!D20</f>
        <v>584000</v>
      </c>
      <c r="K3" s="34">
        <f>'JSS 1'!D22</f>
        <v>693000</v>
      </c>
      <c r="L3" s="35">
        <f>'JSS 2'!D20</f>
        <v>577500</v>
      </c>
      <c r="M3" s="30">
        <f>SUM(C3:L3)</f>
        <v>5065500</v>
      </c>
    </row>
    <row r="4" spans="2:13" x14ac:dyDescent="0.25">
      <c r="B4" s="32" t="s">
        <v>192</v>
      </c>
      <c r="C4" s="33">
        <f>Preschool!F19</f>
        <v>48000</v>
      </c>
      <c r="D4" s="33">
        <f>'Nur 1'!F22</f>
        <v>54000</v>
      </c>
      <c r="E4" s="33">
        <f>'Nur 2'!F22</f>
        <v>54000</v>
      </c>
      <c r="F4" s="33">
        <f>'Pry 1'!F13</f>
        <v>27000</v>
      </c>
      <c r="G4" s="33">
        <f>'Pry 2'!F13</f>
        <v>27000</v>
      </c>
      <c r="H4" s="52">
        <f>'Pry 3'!F15</f>
        <v>33000</v>
      </c>
      <c r="I4" s="33">
        <f>'Pry 4'!F16</f>
        <v>36000</v>
      </c>
      <c r="J4" s="33">
        <f>'Pry 5'!F20</f>
        <v>48000</v>
      </c>
      <c r="K4" s="34">
        <f>'JSS 1'!F22</f>
        <v>54000</v>
      </c>
      <c r="L4" s="35">
        <f>'JSS 2'!F20</f>
        <v>48000</v>
      </c>
      <c r="M4" s="30">
        <f t="shared" ref="M4:M9" si="0">SUM(C4:L4)</f>
        <v>429000</v>
      </c>
    </row>
    <row r="5" spans="2:13" x14ac:dyDescent="0.25">
      <c r="B5" s="32" t="s">
        <v>194</v>
      </c>
      <c r="C5" s="33">
        <v>0</v>
      </c>
      <c r="D5" s="33">
        <v>0</v>
      </c>
      <c r="E5" s="33">
        <v>0</v>
      </c>
      <c r="F5" s="33">
        <f>'Pry 1'!G13</f>
        <v>28800</v>
      </c>
      <c r="G5" s="33">
        <f>'Pry 2'!G13</f>
        <v>28800</v>
      </c>
      <c r="H5" s="52">
        <f>'Pry 3'!G15</f>
        <v>35200</v>
      </c>
      <c r="I5" s="33">
        <f>'Pry 4'!G16</f>
        <v>38400</v>
      </c>
      <c r="J5" s="33">
        <f>'Pry 5'!G20</f>
        <v>51200</v>
      </c>
      <c r="K5" s="34">
        <v>0</v>
      </c>
      <c r="L5" s="35">
        <v>0</v>
      </c>
      <c r="M5" s="30">
        <f t="shared" si="0"/>
        <v>182400</v>
      </c>
    </row>
    <row r="6" spans="2:13" x14ac:dyDescent="0.25">
      <c r="B6" s="32" t="s">
        <v>2</v>
      </c>
      <c r="C6" s="33">
        <f>Preschool!E19</f>
        <v>16000</v>
      </c>
      <c r="D6" s="33">
        <f>'Nur 1'!E22</f>
        <v>18000</v>
      </c>
      <c r="E6" s="33">
        <f>'Nur 2'!E22</f>
        <v>18000</v>
      </c>
      <c r="F6" s="33">
        <f>'Pry 1'!E13</f>
        <v>9000</v>
      </c>
      <c r="G6" s="33">
        <f>'Pry 2'!E13</f>
        <v>9000</v>
      </c>
      <c r="H6" s="33">
        <f>'Pry 3'!E15</f>
        <v>11000</v>
      </c>
      <c r="I6" s="33">
        <f>'Pry 4'!E16</f>
        <v>12000</v>
      </c>
      <c r="J6" s="33">
        <f>'Pry 5'!E20</f>
        <v>16000</v>
      </c>
      <c r="K6" s="34">
        <f>'JSS 1'!E22</f>
        <v>18000</v>
      </c>
      <c r="L6" s="35">
        <f>'JSS 2'!E20</f>
        <v>16000</v>
      </c>
      <c r="M6" s="30">
        <f t="shared" si="0"/>
        <v>143000</v>
      </c>
    </row>
    <row r="7" spans="2:13" x14ac:dyDescent="0.25">
      <c r="B7" s="32" t="s">
        <v>31</v>
      </c>
      <c r="C7" s="53">
        <v>0</v>
      </c>
      <c r="D7" s="53">
        <v>0</v>
      </c>
      <c r="E7" s="33">
        <v>0</v>
      </c>
      <c r="F7" s="33">
        <f>'Pry 1'!J13</f>
        <v>31500</v>
      </c>
      <c r="G7" s="33">
        <f>'Pry 2'!J13</f>
        <v>31500</v>
      </c>
      <c r="H7" s="33">
        <f>'Pry 3'!J15</f>
        <v>38500</v>
      </c>
      <c r="I7" s="33">
        <f>'Pry 4'!J16</f>
        <v>42000</v>
      </c>
      <c r="J7" s="33">
        <f>'Pry 5'!J20</f>
        <v>56000</v>
      </c>
      <c r="K7" s="34">
        <f>'JSS 1'!I22</f>
        <v>63000</v>
      </c>
      <c r="L7" s="35">
        <f>'JSS 2'!I20</f>
        <v>56000</v>
      </c>
      <c r="M7" s="30">
        <f t="shared" si="0"/>
        <v>318500</v>
      </c>
    </row>
    <row r="8" spans="2:13" x14ac:dyDescent="0.25">
      <c r="B8" s="32" t="s">
        <v>5</v>
      </c>
      <c r="C8" s="33">
        <f>Preschool!I19</f>
        <v>15000</v>
      </c>
      <c r="D8" s="33">
        <f>'Nur 1'!I22</f>
        <v>40000</v>
      </c>
      <c r="E8" s="33">
        <f>'Nur 2'!I22</f>
        <v>30000</v>
      </c>
      <c r="F8" s="33">
        <f>'Pry 1'!K13</f>
        <v>15000</v>
      </c>
      <c r="G8" s="33">
        <f>'Pry 2'!K13</f>
        <v>0</v>
      </c>
      <c r="H8" s="33">
        <f>'Pry 3'!K15</f>
        <v>7500</v>
      </c>
      <c r="I8" s="33">
        <f>'Pry 4'!K16</f>
        <v>15000</v>
      </c>
      <c r="J8" s="33">
        <f>'Pry 5'!K20</f>
        <v>37500</v>
      </c>
      <c r="K8" s="34">
        <f>'JSS 1'!J22</f>
        <v>15000</v>
      </c>
      <c r="L8" s="35">
        <f>'JSS 2'!J20</f>
        <v>15000</v>
      </c>
      <c r="M8" s="30">
        <f t="shared" si="0"/>
        <v>190000</v>
      </c>
    </row>
    <row r="9" spans="2:13" x14ac:dyDescent="0.25">
      <c r="B9" s="36" t="s">
        <v>7</v>
      </c>
      <c r="C9" s="37">
        <f>Preschool!C19</f>
        <v>41950</v>
      </c>
      <c r="D9" s="37">
        <f>'Nur 1'!C22</f>
        <v>57840</v>
      </c>
      <c r="E9" s="37">
        <f>'Nur 2'!C22</f>
        <v>86950</v>
      </c>
      <c r="F9" s="37">
        <f>'Pry 1'!C13</f>
        <v>89300</v>
      </c>
      <c r="G9" s="37">
        <f>'Pry 2'!C13</f>
        <v>30390</v>
      </c>
      <c r="H9" s="37">
        <f>'Pry 3'!C15</f>
        <v>30660</v>
      </c>
      <c r="I9" s="37">
        <f>'Pry 4'!C16</f>
        <v>12930</v>
      </c>
      <c r="J9" s="37">
        <f>'Pry 5'!C20</f>
        <v>930</v>
      </c>
      <c r="K9" s="38">
        <f>'JSS 1'!C22</f>
        <v>147060</v>
      </c>
      <c r="L9" s="39">
        <f>'JSS 2'!C20</f>
        <v>270</v>
      </c>
      <c r="M9" s="30">
        <f t="shared" si="0"/>
        <v>498280</v>
      </c>
    </row>
    <row r="10" spans="2:13" x14ac:dyDescent="0.25">
      <c r="B10" s="40" t="s">
        <v>74</v>
      </c>
      <c r="C10" s="41">
        <f t="shared" ref="C10:M10" si="1">SUM(C3:C9)</f>
        <v>680950</v>
      </c>
      <c r="D10" s="41">
        <f t="shared" si="1"/>
        <v>765840</v>
      </c>
      <c r="E10" s="41">
        <f t="shared" si="1"/>
        <v>783950</v>
      </c>
      <c r="F10" s="41">
        <f t="shared" si="1"/>
        <v>529100</v>
      </c>
      <c r="G10" s="41">
        <f t="shared" si="1"/>
        <v>455190</v>
      </c>
      <c r="H10" s="41">
        <f t="shared" si="1"/>
        <v>520860</v>
      </c>
      <c r="I10" s="41">
        <f t="shared" si="1"/>
        <v>594330</v>
      </c>
      <c r="J10" s="41">
        <f t="shared" si="1"/>
        <v>793630</v>
      </c>
      <c r="K10" s="42">
        <f t="shared" si="1"/>
        <v>990060</v>
      </c>
      <c r="L10" s="42">
        <f t="shared" si="1"/>
        <v>712770</v>
      </c>
      <c r="M10" s="43">
        <f t="shared" si="1"/>
        <v>6826680</v>
      </c>
    </row>
    <row r="11" spans="2:13" x14ac:dyDescent="0.25">
      <c r="B11" s="44" t="s">
        <v>183</v>
      </c>
      <c r="C11" s="53">
        <f>Preschool!K19</f>
        <v>351000</v>
      </c>
      <c r="D11" s="53">
        <f>'Nur 1'!K22</f>
        <v>236690</v>
      </c>
      <c r="E11" s="53">
        <f>'Nur 1'!K22</f>
        <v>236690</v>
      </c>
      <c r="F11" s="53">
        <f>'Pry 1'!M13</f>
        <v>173960</v>
      </c>
      <c r="G11" s="53">
        <f>'Pry 2'!M13</f>
        <v>47690</v>
      </c>
      <c r="H11" s="53">
        <f>'Pry 3'!M15</f>
        <v>37000</v>
      </c>
      <c r="I11" s="53">
        <f>'Pry 4'!M16</f>
        <v>235410</v>
      </c>
      <c r="J11" s="53">
        <f>'Pry 5'!M20</f>
        <v>247800</v>
      </c>
      <c r="K11" s="53">
        <f>'JSS 1'!L22</f>
        <v>345100</v>
      </c>
      <c r="L11" s="53">
        <f>'JSS 2'!L20</f>
        <v>297500</v>
      </c>
      <c r="M11" s="33">
        <f>SUM(C11:L11)</f>
        <v>2208840</v>
      </c>
    </row>
    <row r="12" spans="2:13" x14ac:dyDescent="0.25">
      <c r="B12" s="44" t="s">
        <v>30</v>
      </c>
      <c r="C12" s="45">
        <f>C10-C11</f>
        <v>329950</v>
      </c>
      <c r="D12" s="45">
        <f t="shared" ref="D12:M12" si="2">D10-D11</f>
        <v>529150</v>
      </c>
      <c r="E12" s="45">
        <f t="shared" si="2"/>
        <v>547260</v>
      </c>
      <c r="F12" s="45">
        <f t="shared" si="2"/>
        <v>355140</v>
      </c>
      <c r="G12" s="45">
        <f t="shared" si="2"/>
        <v>407500</v>
      </c>
      <c r="H12" s="45">
        <f t="shared" si="2"/>
        <v>483860</v>
      </c>
      <c r="I12" s="45">
        <f t="shared" si="2"/>
        <v>358920</v>
      </c>
      <c r="J12" s="45">
        <f t="shared" si="2"/>
        <v>545830</v>
      </c>
      <c r="K12" s="45">
        <f t="shared" si="2"/>
        <v>644960</v>
      </c>
      <c r="L12" s="45">
        <f t="shared" si="2"/>
        <v>415270</v>
      </c>
      <c r="M12" s="45">
        <f t="shared" si="2"/>
        <v>4617840</v>
      </c>
    </row>
  </sheetData>
  <sheetProtection algorithmName="SHA-512" hashValue="KIOQFgzuZv+fIy3V3AQLz0QIxDdbMPubpus9SqvTpVOkRls+t6L9GXji/LNATokNNDiiU8va5YT3NohOMTtOzQ==" saltValue="13x6vAYEIgQsh9NprOR7wA==" spinCount="100000" sheet="1" objects="1" scenarios="1"/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zoomScale="75" zoomScaleNormal="75" workbookViewId="0">
      <selection activeCell="M13" sqref="M13"/>
    </sheetView>
  </sheetViews>
  <sheetFormatPr defaultColWidth="8.85546875" defaultRowHeight="15.75" x14ac:dyDescent="0.25"/>
  <cols>
    <col min="1" max="1" width="5.5703125" style="12" bestFit="1" customWidth="1"/>
    <col min="2" max="2" width="39.140625" style="12" bestFit="1" customWidth="1"/>
    <col min="3" max="3" width="13.28515625" style="12" bestFit="1" customWidth="1"/>
    <col min="4" max="4" width="11.7109375" style="12" customWidth="1"/>
    <col min="5" max="5" width="10" style="12" bestFit="1" customWidth="1"/>
    <col min="6" max="6" width="10" style="12" customWidth="1"/>
    <col min="7" max="8" width="11.28515625" style="12" bestFit="1" customWidth="1"/>
    <col min="9" max="9" width="10.5703125" style="12" customWidth="1"/>
    <col min="10" max="10" width="11.28515625" style="12" bestFit="1" customWidth="1"/>
    <col min="11" max="11" width="10.85546875" style="12" customWidth="1"/>
    <col min="12" max="12" width="13.28515625" style="12" bestFit="1" customWidth="1"/>
    <col min="13" max="13" width="21.7109375" style="12" customWidth="1"/>
    <col min="14" max="14" width="10.7109375" style="12" bestFit="1" customWidth="1"/>
    <col min="15" max="15" width="10.5703125" style="12" bestFit="1" customWidth="1"/>
    <col min="16" max="16" width="10.7109375" style="12" bestFit="1" customWidth="1"/>
    <col min="17" max="16384" width="8.85546875" style="12"/>
  </cols>
  <sheetData>
    <row r="1" spans="1:16" x14ac:dyDescent="0.25">
      <c r="A1" s="11"/>
      <c r="B1" s="11"/>
      <c r="C1" s="11"/>
      <c r="D1" s="90" t="s">
        <v>10</v>
      </c>
      <c r="E1" s="90"/>
      <c r="F1" s="90"/>
      <c r="G1" s="90"/>
      <c r="H1" s="90"/>
      <c r="I1" s="90"/>
      <c r="J1" s="90"/>
      <c r="K1" s="90"/>
      <c r="L1" s="11"/>
      <c r="M1" s="11"/>
    </row>
    <row r="2" spans="1:16" x14ac:dyDescent="0.25">
      <c r="A2" s="56" t="s">
        <v>6</v>
      </c>
      <c r="B2" s="56" t="s">
        <v>0</v>
      </c>
      <c r="C2" s="57" t="s">
        <v>7</v>
      </c>
      <c r="D2" s="56" t="s">
        <v>1</v>
      </c>
      <c r="E2" s="56" t="s">
        <v>2</v>
      </c>
      <c r="F2" s="56" t="s">
        <v>192</v>
      </c>
      <c r="G2" s="56" t="s">
        <v>55</v>
      </c>
      <c r="H2" s="56" t="s">
        <v>3</v>
      </c>
      <c r="I2" s="56" t="s">
        <v>5</v>
      </c>
      <c r="J2" s="56" t="s">
        <v>8</v>
      </c>
      <c r="K2" s="10" t="s">
        <v>9</v>
      </c>
      <c r="L2" s="57" t="s">
        <v>30</v>
      </c>
      <c r="M2" s="10" t="s">
        <v>138</v>
      </c>
    </row>
    <row r="3" spans="1:16" x14ac:dyDescent="0.25">
      <c r="A3" s="58">
        <v>1</v>
      </c>
      <c r="B3" s="59" t="s">
        <v>142</v>
      </c>
      <c r="C3" s="22">
        <v>0</v>
      </c>
      <c r="D3" s="22">
        <v>35000</v>
      </c>
      <c r="E3" s="22">
        <v>1000</v>
      </c>
      <c r="F3" s="22">
        <v>3000</v>
      </c>
      <c r="G3" s="22"/>
      <c r="H3" s="22"/>
      <c r="I3" s="22"/>
      <c r="J3" s="22">
        <f t="shared" ref="J3:J15" si="0">SUM(C3:I3)</f>
        <v>39000</v>
      </c>
      <c r="K3" s="14"/>
      <c r="L3" s="22">
        <f t="shared" ref="L3:L15" si="1">J3-K3</f>
        <v>39000</v>
      </c>
      <c r="M3" s="15"/>
      <c r="P3" s="54"/>
    </row>
    <row r="4" spans="1:16" x14ac:dyDescent="0.25">
      <c r="A4" s="58">
        <v>2</v>
      </c>
      <c r="B4" s="59" t="s">
        <v>143</v>
      </c>
      <c r="C4" s="22">
        <v>0</v>
      </c>
      <c r="D4" s="22">
        <v>35000</v>
      </c>
      <c r="E4" s="22">
        <v>1000</v>
      </c>
      <c r="F4" s="22">
        <v>3000</v>
      </c>
      <c r="G4" s="22"/>
      <c r="H4" s="22"/>
      <c r="I4" s="22">
        <v>15000</v>
      </c>
      <c r="J4" s="22">
        <f t="shared" si="0"/>
        <v>54000</v>
      </c>
      <c r="K4" s="14">
        <f>53000+1000</f>
        <v>54000</v>
      </c>
      <c r="L4" s="22">
        <f t="shared" si="1"/>
        <v>0</v>
      </c>
      <c r="M4" s="15">
        <v>43473</v>
      </c>
    </row>
    <row r="5" spans="1:16" x14ac:dyDescent="0.25">
      <c r="A5" s="58">
        <v>3</v>
      </c>
      <c r="B5" s="59" t="s">
        <v>144</v>
      </c>
      <c r="C5" s="22">
        <v>0</v>
      </c>
      <c r="D5" s="22">
        <v>35000</v>
      </c>
      <c r="E5" s="22">
        <v>1000</v>
      </c>
      <c r="F5" s="22">
        <v>3000</v>
      </c>
      <c r="G5" s="22"/>
      <c r="H5" s="22"/>
      <c r="I5" s="22"/>
      <c r="J5" s="22">
        <f t="shared" si="0"/>
        <v>39000</v>
      </c>
      <c r="K5" s="14"/>
      <c r="L5" s="22">
        <f t="shared" si="1"/>
        <v>39000</v>
      </c>
      <c r="M5" s="15"/>
    </row>
    <row r="6" spans="1:16" x14ac:dyDescent="0.25">
      <c r="A6" s="58">
        <v>4</v>
      </c>
      <c r="B6" s="59" t="s">
        <v>145</v>
      </c>
      <c r="C6" s="22">
        <v>0</v>
      </c>
      <c r="D6" s="22">
        <v>35000</v>
      </c>
      <c r="E6" s="22">
        <v>1000</v>
      </c>
      <c r="F6" s="22">
        <v>3000</v>
      </c>
      <c r="G6" s="22"/>
      <c r="H6" s="22"/>
      <c r="I6" s="22"/>
      <c r="J6" s="22">
        <f t="shared" si="0"/>
        <v>39000</v>
      </c>
      <c r="K6" s="14">
        <f>38000+1000</f>
        <v>39000</v>
      </c>
      <c r="L6" s="22">
        <f t="shared" si="1"/>
        <v>0</v>
      </c>
      <c r="M6" s="15">
        <v>43480</v>
      </c>
    </row>
    <row r="7" spans="1:16" x14ac:dyDescent="0.25">
      <c r="A7" s="58">
        <v>5</v>
      </c>
      <c r="B7" s="59" t="s">
        <v>203</v>
      </c>
      <c r="C7" s="22">
        <v>0</v>
      </c>
      <c r="D7" s="22">
        <v>35000</v>
      </c>
      <c r="E7" s="22">
        <v>1000</v>
      </c>
      <c r="F7" s="22">
        <v>3000</v>
      </c>
      <c r="G7" s="22"/>
      <c r="H7" s="22"/>
      <c r="I7" s="22"/>
      <c r="J7" s="22">
        <f t="shared" si="0"/>
        <v>39000</v>
      </c>
      <c r="K7" s="14">
        <f>38000+1000</f>
        <v>39000</v>
      </c>
      <c r="L7" s="22">
        <f t="shared" si="1"/>
        <v>0</v>
      </c>
      <c r="M7" s="15">
        <v>43480</v>
      </c>
    </row>
    <row r="8" spans="1:16" x14ac:dyDescent="0.25">
      <c r="A8" s="58">
        <v>6</v>
      </c>
      <c r="B8" s="59" t="s">
        <v>146</v>
      </c>
      <c r="C8" s="22">
        <v>0</v>
      </c>
      <c r="D8" s="22">
        <v>35000</v>
      </c>
      <c r="E8" s="22">
        <v>1000</v>
      </c>
      <c r="F8" s="22">
        <v>3000</v>
      </c>
      <c r="G8" s="22"/>
      <c r="H8" s="22"/>
      <c r="I8" s="22"/>
      <c r="J8" s="22">
        <f t="shared" si="0"/>
        <v>39000</v>
      </c>
      <c r="K8" s="14"/>
      <c r="L8" s="22">
        <f t="shared" si="1"/>
        <v>39000</v>
      </c>
      <c r="M8" s="15"/>
    </row>
    <row r="9" spans="1:16" x14ac:dyDescent="0.25">
      <c r="A9" s="58">
        <v>7</v>
      </c>
      <c r="B9" s="59" t="s">
        <v>147</v>
      </c>
      <c r="C9" s="22">
        <v>0</v>
      </c>
      <c r="D9" s="22">
        <v>35000</v>
      </c>
      <c r="E9" s="22">
        <v>1000</v>
      </c>
      <c r="F9" s="22">
        <v>3000</v>
      </c>
      <c r="G9" s="22"/>
      <c r="H9" s="22"/>
      <c r="I9" s="22"/>
      <c r="J9" s="22">
        <f t="shared" si="0"/>
        <v>39000</v>
      </c>
      <c r="K9" s="14"/>
      <c r="L9" s="22">
        <f t="shared" si="1"/>
        <v>39000</v>
      </c>
      <c r="M9" s="15"/>
    </row>
    <row r="10" spans="1:16" x14ac:dyDescent="0.25">
      <c r="A10" s="58">
        <v>8</v>
      </c>
      <c r="B10" s="59" t="s">
        <v>148</v>
      </c>
      <c r="C10" s="22">
        <v>1000</v>
      </c>
      <c r="D10" s="22">
        <v>35000</v>
      </c>
      <c r="E10" s="22">
        <v>1000</v>
      </c>
      <c r="F10" s="22">
        <v>3000</v>
      </c>
      <c r="G10" s="22"/>
      <c r="H10" s="22"/>
      <c r="I10" s="22"/>
      <c r="J10" s="22">
        <f t="shared" si="0"/>
        <v>40000</v>
      </c>
      <c r="K10" s="14"/>
      <c r="L10" s="22">
        <f t="shared" si="1"/>
        <v>40000</v>
      </c>
      <c r="M10" s="15"/>
    </row>
    <row r="11" spans="1:16" x14ac:dyDescent="0.25">
      <c r="A11" s="58">
        <v>9</v>
      </c>
      <c r="B11" s="59" t="s">
        <v>149</v>
      </c>
      <c r="C11" s="22">
        <v>20950</v>
      </c>
      <c r="D11" s="22">
        <v>35000</v>
      </c>
      <c r="E11" s="22">
        <v>1000</v>
      </c>
      <c r="F11" s="22">
        <v>3000</v>
      </c>
      <c r="G11" s="22"/>
      <c r="H11" s="22"/>
      <c r="I11" s="22"/>
      <c r="J11" s="22">
        <f t="shared" si="0"/>
        <v>59950</v>
      </c>
      <c r="K11" s="14">
        <f>20000</f>
        <v>20000</v>
      </c>
      <c r="L11" s="22">
        <f t="shared" si="1"/>
        <v>39950</v>
      </c>
      <c r="M11" s="15">
        <v>43475</v>
      </c>
    </row>
    <row r="12" spans="1:16" x14ac:dyDescent="0.25">
      <c r="A12" s="58">
        <v>10</v>
      </c>
      <c r="B12" s="59" t="s">
        <v>150</v>
      </c>
      <c r="C12" s="22">
        <v>0</v>
      </c>
      <c r="D12" s="22">
        <v>35000</v>
      </c>
      <c r="E12" s="22">
        <v>1000</v>
      </c>
      <c r="F12" s="22">
        <v>3000</v>
      </c>
      <c r="G12" s="22"/>
      <c r="H12" s="22"/>
      <c r="I12" s="22"/>
      <c r="J12" s="22">
        <f t="shared" si="0"/>
        <v>39000</v>
      </c>
      <c r="K12" s="14">
        <v>31000</v>
      </c>
      <c r="L12" s="22">
        <f t="shared" si="1"/>
        <v>8000</v>
      </c>
      <c r="M12" s="15">
        <v>43483</v>
      </c>
    </row>
    <row r="13" spans="1:16" x14ac:dyDescent="0.25">
      <c r="A13" s="58">
        <v>11</v>
      </c>
      <c r="B13" s="59" t="s">
        <v>186</v>
      </c>
      <c r="C13" s="22">
        <v>0</v>
      </c>
      <c r="D13" s="22">
        <v>35000</v>
      </c>
      <c r="E13" s="22">
        <v>1000</v>
      </c>
      <c r="F13" s="22">
        <v>3000</v>
      </c>
      <c r="G13" s="22"/>
      <c r="H13" s="22"/>
      <c r="I13" s="22"/>
      <c r="J13" s="22">
        <f t="shared" si="0"/>
        <v>39000</v>
      </c>
      <c r="K13" s="14">
        <f>38000+1000</f>
        <v>39000</v>
      </c>
      <c r="L13" s="22">
        <f t="shared" si="1"/>
        <v>0</v>
      </c>
      <c r="M13" s="15">
        <v>43475</v>
      </c>
    </row>
    <row r="14" spans="1:16" x14ac:dyDescent="0.25">
      <c r="A14" s="58">
        <v>12</v>
      </c>
      <c r="B14" s="59" t="s">
        <v>151</v>
      </c>
      <c r="C14" s="22">
        <v>0</v>
      </c>
      <c r="D14" s="22">
        <v>35000</v>
      </c>
      <c r="E14" s="22">
        <v>1000</v>
      </c>
      <c r="F14" s="22">
        <v>3000</v>
      </c>
      <c r="G14" s="22"/>
      <c r="H14" s="22"/>
      <c r="I14" s="22"/>
      <c r="J14" s="22">
        <f t="shared" si="0"/>
        <v>39000</v>
      </c>
      <c r="K14" s="14"/>
      <c r="L14" s="22">
        <f t="shared" si="1"/>
        <v>39000</v>
      </c>
      <c r="M14" s="15"/>
    </row>
    <row r="15" spans="1:16" x14ac:dyDescent="0.25">
      <c r="A15" s="58">
        <v>13</v>
      </c>
      <c r="B15" s="59" t="s">
        <v>189</v>
      </c>
      <c r="C15" s="22">
        <v>20000</v>
      </c>
      <c r="D15" s="22">
        <v>35000</v>
      </c>
      <c r="E15" s="22">
        <v>1000</v>
      </c>
      <c r="F15" s="22">
        <v>3000</v>
      </c>
      <c r="G15" s="22"/>
      <c r="H15" s="22"/>
      <c r="I15" s="22"/>
      <c r="J15" s="22">
        <f t="shared" si="0"/>
        <v>59000</v>
      </c>
      <c r="K15" s="14">
        <f>20000</f>
        <v>20000</v>
      </c>
      <c r="L15" s="22">
        <f t="shared" si="1"/>
        <v>39000</v>
      </c>
      <c r="M15" s="15">
        <v>43475</v>
      </c>
      <c r="N15" s="55"/>
    </row>
    <row r="16" spans="1:16" x14ac:dyDescent="0.25">
      <c r="A16" s="58">
        <v>14</v>
      </c>
      <c r="B16" s="59" t="s">
        <v>195</v>
      </c>
      <c r="C16" s="22">
        <v>0</v>
      </c>
      <c r="D16" s="22">
        <v>35000</v>
      </c>
      <c r="E16" s="22">
        <v>1000</v>
      </c>
      <c r="F16" s="22">
        <v>3000</v>
      </c>
      <c r="G16" s="22"/>
      <c r="H16" s="22"/>
      <c r="I16" s="22"/>
      <c r="J16" s="22">
        <f t="shared" ref="J16:J18" si="2">SUM(C16:I16)</f>
        <v>39000</v>
      </c>
      <c r="K16" s="14">
        <v>39000</v>
      </c>
      <c r="L16" s="22">
        <f t="shared" ref="L16:L18" si="3">J16-K16</f>
        <v>0</v>
      </c>
      <c r="M16" s="15">
        <v>43479</v>
      </c>
      <c r="N16" s="55"/>
    </row>
    <row r="17" spans="1:14" x14ac:dyDescent="0.25">
      <c r="A17" s="58">
        <v>15</v>
      </c>
      <c r="B17" s="59" t="s">
        <v>199</v>
      </c>
      <c r="C17" s="22">
        <v>0</v>
      </c>
      <c r="D17" s="22">
        <v>35000</v>
      </c>
      <c r="E17" s="22">
        <v>1000</v>
      </c>
      <c r="F17" s="22">
        <v>3000</v>
      </c>
      <c r="G17" s="22"/>
      <c r="H17" s="22"/>
      <c r="I17" s="22"/>
      <c r="J17" s="22">
        <f t="shared" si="2"/>
        <v>39000</v>
      </c>
      <c r="K17" s="14">
        <f>39000</f>
        <v>39000</v>
      </c>
      <c r="L17" s="22">
        <f t="shared" si="3"/>
        <v>0</v>
      </c>
      <c r="M17" s="15">
        <v>43465</v>
      </c>
      <c r="N17" s="55"/>
    </row>
    <row r="18" spans="1:14" x14ac:dyDescent="0.25">
      <c r="A18" s="58">
        <v>16</v>
      </c>
      <c r="B18" s="59" t="s">
        <v>200</v>
      </c>
      <c r="C18" s="22">
        <v>0</v>
      </c>
      <c r="D18" s="22">
        <v>35000</v>
      </c>
      <c r="E18" s="22">
        <v>1000</v>
      </c>
      <c r="F18" s="22">
        <v>3000</v>
      </c>
      <c r="G18" s="22"/>
      <c r="H18" s="22"/>
      <c r="I18" s="22"/>
      <c r="J18" s="22">
        <f t="shared" si="2"/>
        <v>39000</v>
      </c>
      <c r="K18" s="14">
        <f>30000+1000</f>
        <v>31000</v>
      </c>
      <c r="L18" s="22">
        <f t="shared" si="3"/>
        <v>8000</v>
      </c>
      <c r="M18" s="15">
        <v>43460</v>
      </c>
      <c r="N18" s="55"/>
    </row>
    <row r="19" spans="1:14" s="21" customFormat="1" x14ac:dyDescent="0.25">
      <c r="A19" s="56"/>
      <c r="B19" s="60" t="s">
        <v>69</v>
      </c>
      <c r="C19" s="23">
        <f t="shared" ref="C19:L19" si="4">SUM(C3:C18)</f>
        <v>41950</v>
      </c>
      <c r="D19" s="23">
        <f t="shared" si="4"/>
        <v>560000</v>
      </c>
      <c r="E19" s="23">
        <f t="shared" si="4"/>
        <v>16000</v>
      </c>
      <c r="F19" s="23">
        <f t="shared" si="4"/>
        <v>48000</v>
      </c>
      <c r="G19" s="23">
        <f t="shared" si="4"/>
        <v>0</v>
      </c>
      <c r="H19" s="23">
        <f t="shared" si="4"/>
        <v>0</v>
      </c>
      <c r="I19" s="23">
        <f t="shared" si="4"/>
        <v>15000</v>
      </c>
      <c r="J19" s="23">
        <f t="shared" si="4"/>
        <v>680950</v>
      </c>
      <c r="K19" s="19">
        <f t="shared" si="4"/>
        <v>351000</v>
      </c>
      <c r="L19" s="23">
        <f t="shared" si="4"/>
        <v>329950</v>
      </c>
      <c r="M19" s="10"/>
    </row>
    <row r="21" spans="1:14" x14ac:dyDescent="0.25">
      <c r="N21" s="12">
        <v>60950</v>
      </c>
    </row>
  </sheetData>
  <sheetProtection algorithmName="SHA-512" hashValue="d1ZxmeWftgNycmsPu5T5t5ehBDKR4bcE+PcnxlH5otJw7inXB/03CWcyMszKUIqEnXpuZLqsPWwZOHil3z9AYg==" saltValue="U9EOrwf/BCfUrRVSHIjftQ==" spinCount="100000" sheet="1" objects="1" scenarios="1"/>
  <mergeCells count="1">
    <mergeCell ref="D1:K1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zoomScale="75" zoomScaleNormal="75" workbookViewId="0">
      <selection activeCell="B6" sqref="B6"/>
    </sheetView>
  </sheetViews>
  <sheetFormatPr defaultColWidth="8.85546875" defaultRowHeight="15.75" x14ac:dyDescent="0.25"/>
  <cols>
    <col min="1" max="1" width="5.42578125" style="12" bestFit="1" customWidth="1"/>
    <col min="2" max="2" width="28.7109375" style="12" bestFit="1" customWidth="1"/>
    <col min="3" max="3" width="14.85546875" style="12" bestFit="1" customWidth="1"/>
    <col min="4" max="4" width="12" style="12" customWidth="1"/>
    <col min="5" max="6" width="9.7109375" style="12" customWidth="1"/>
    <col min="7" max="7" width="12" style="12" customWidth="1"/>
    <col min="8" max="8" width="11" style="12" bestFit="1" customWidth="1"/>
    <col min="9" max="9" width="12.42578125" style="12" customWidth="1"/>
    <col min="10" max="10" width="12.85546875" style="12" customWidth="1"/>
    <col min="11" max="11" width="13.42578125" style="12" customWidth="1"/>
    <col min="12" max="12" width="12.140625" style="12" customWidth="1"/>
    <col min="13" max="13" width="34.140625" style="12" customWidth="1"/>
    <col min="14" max="16384" width="8.85546875" style="12"/>
  </cols>
  <sheetData>
    <row r="1" spans="1:13" x14ac:dyDescent="0.25">
      <c r="A1" s="10" t="s">
        <v>100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3" x14ac:dyDescent="0.25">
      <c r="A2" s="11"/>
      <c r="B2" s="11"/>
      <c r="C2" s="11"/>
      <c r="D2" s="90" t="s">
        <v>10</v>
      </c>
      <c r="E2" s="90"/>
      <c r="F2" s="90"/>
      <c r="G2" s="90"/>
      <c r="H2" s="90"/>
      <c r="I2" s="90"/>
      <c r="J2" s="90"/>
      <c r="K2" s="11"/>
      <c r="L2" s="11"/>
    </row>
    <row r="3" spans="1:13" x14ac:dyDescent="0.25">
      <c r="A3" s="56" t="s">
        <v>6</v>
      </c>
      <c r="B3" s="56" t="s">
        <v>0</v>
      </c>
      <c r="C3" s="57" t="s">
        <v>7</v>
      </c>
      <c r="D3" s="56" t="s">
        <v>1</v>
      </c>
      <c r="E3" s="56" t="s">
        <v>2</v>
      </c>
      <c r="F3" s="56" t="s">
        <v>192</v>
      </c>
      <c r="G3" s="56" t="s">
        <v>55</v>
      </c>
      <c r="H3" s="56" t="s">
        <v>3</v>
      </c>
      <c r="I3" s="56" t="s">
        <v>5</v>
      </c>
      <c r="J3" s="56" t="s">
        <v>8</v>
      </c>
      <c r="K3" s="10" t="s">
        <v>9</v>
      </c>
      <c r="L3" s="57" t="s">
        <v>30</v>
      </c>
      <c r="M3" s="10" t="s">
        <v>138</v>
      </c>
    </row>
    <row r="4" spans="1:13" x14ac:dyDescent="0.25">
      <c r="A4" s="58">
        <v>1</v>
      </c>
      <c r="B4" s="59" t="s">
        <v>119</v>
      </c>
      <c r="C4" s="22">
        <v>15550</v>
      </c>
      <c r="D4" s="22">
        <v>35000</v>
      </c>
      <c r="E4" s="22">
        <v>1000</v>
      </c>
      <c r="F4" s="22">
        <v>3000</v>
      </c>
      <c r="G4" s="22"/>
      <c r="H4" s="22"/>
      <c r="I4" s="22"/>
      <c r="J4" s="22">
        <f>SUM(C4:I4)</f>
        <v>54550</v>
      </c>
      <c r="K4" s="14"/>
      <c r="L4" s="22">
        <f>SUM(J4-K4)</f>
        <v>54550</v>
      </c>
      <c r="M4" s="15"/>
    </row>
    <row r="5" spans="1:13" x14ac:dyDescent="0.25">
      <c r="A5" s="58">
        <v>2</v>
      </c>
      <c r="B5" s="59" t="s">
        <v>120</v>
      </c>
      <c r="C5" s="22">
        <v>0</v>
      </c>
      <c r="D5" s="22">
        <v>35000</v>
      </c>
      <c r="E5" s="22">
        <v>1000</v>
      </c>
      <c r="F5" s="22">
        <v>3000</v>
      </c>
      <c r="G5" s="22"/>
      <c r="H5" s="22"/>
      <c r="I5" s="22"/>
      <c r="J5" s="22">
        <f t="shared" ref="J5:J21" si="0">SUM(C5:I5)</f>
        <v>39000</v>
      </c>
      <c r="K5" s="14">
        <f>15000+1000</f>
        <v>16000</v>
      </c>
      <c r="L5" s="22">
        <f t="shared" ref="L5:L11" si="1">SUM(J5-K5)</f>
        <v>23000</v>
      </c>
      <c r="M5" s="15">
        <v>43476</v>
      </c>
    </row>
    <row r="6" spans="1:13" x14ac:dyDescent="0.25">
      <c r="A6" s="58">
        <v>3</v>
      </c>
      <c r="B6" s="59" t="s">
        <v>121</v>
      </c>
      <c r="C6" s="22">
        <v>0</v>
      </c>
      <c r="D6" s="22">
        <v>35000</v>
      </c>
      <c r="E6" s="22">
        <v>1000</v>
      </c>
      <c r="F6" s="22">
        <v>3000</v>
      </c>
      <c r="G6" s="22"/>
      <c r="H6" s="22"/>
      <c r="I6" s="22">
        <v>15000</v>
      </c>
      <c r="J6" s="22">
        <f t="shared" si="0"/>
        <v>54000</v>
      </c>
      <c r="K6" s="14">
        <f>39000+5000</f>
        <v>44000</v>
      </c>
      <c r="L6" s="22">
        <f t="shared" si="1"/>
        <v>10000</v>
      </c>
      <c r="M6" s="15">
        <v>43481</v>
      </c>
    </row>
    <row r="7" spans="1:13" ht="15.6" customHeight="1" x14ac:dyDescent="0.25">
      <c r="A7" s="61">
        <v>4</v>
      </c>
      <c r="B7" s="62" t="s">
        <v>124</v>
      </c>
      <c r="C7" s="48">
        <v>0</v>
      </c>
      <c r="D7" s="48">
        <v>0</v>
      </c>
      <c r="E7" s="48">
        <v>1000</v>
      </c>
      <c r="F7" s="48">
        <v>3000</v>
      </c>
      <c r="G7" s="48"/>
      <c r="H7" s="48"/>
      <c r="I7" s="48"/>
      <c r="J7" s="48">
        <f t="shared" si="0"/>
        <v>4000</v>
      </c>
      <c r="K7" s="47"/>
      <c r="L7" s="48">
        <f t="shared" si="1"/>
        <v>4000</v>
      </c>
      <c r="M7" s="49"/>
    </row>
    <row r="8" spans="1:13" x14ac:dyDescent="0.25">
      <c r="A8" s="58">
        <v>5</v>
      </c>
      <c r="B8" s="59" t="s">
        <v>125</v>
      </c>
      <c r="C8" s="22">
        <v>0</v>
      </c>
      <c r="D8" s="22">
        <v>35000</v>
      </c>
      <c r="E8" s="22">
        <v>1000</v>
      </c>
      <c r="F8" s="22">
        <v>3000</v>
      </c>
      <c r="G8" s="22"/>
      <c r="H8" s="22"/>
      <c r="I8" s="22"/>
      <c r="J8" s="22">
        <f t="shared" si="0"/>
        <v>39000</v>
      </c>
      <c r="K8" s="14"/>
      <c r="L8" s="22">
        <f t="shared" si="1"/>
        <v>39000</v>
      </c>
      <c r="M8" s="15"/>
    </row>
    <row r="9" spans="1:13" x14ac:dyDescent="0.25">
      <c r="A9" s="58">
        <v>6</v>
      </c>
      <c r="B9" s="59" t="s">
        <v>126</v>
      </c>
      <c r="C9" s="22">
        <v>0</v>
      </c>
      <c r="D9" s="22">
        <v>35000</v>
      </c>
      <c r="E9" s="22">
        <v>1000</v>
      </c>
      <c r="F9" s="22">
        <v>3000</v>
      </c>
      <c r="G9" s="22"/>
      <c r="H9" s="22"/>
      <c r="I9" s="22">
        <v>10000</v>
      </c>
      <c r="J9" s="22">
        <f t="shared" si="0"/>
        <v>49000</v>
      </c>
      <c r="K9" s="14">
        <f>49000</f>
        <v>49000</v>
      </c>
      <c r="L9" s="22">
        <f t="shared" si="1"/>
        <v>0</v>
      </c>
      <c r="M9" s="15">
        <v>43472</v>
      </c>
    </row>
    <row r="10" spans="1:13" ht="15.6" customHeight="1" x14ac:dyDescent="0.25">
      <c r="A10" s="58">
        <v>7</v>
      </c>
      <c r="B10" s="59" t="s">
        <v>127</v>
      </c>
      <c r="C10" s="22">
        <v>0</v>
      </c>
      <c r="D10" s="22">
        <v>35000</v>
      </c>
      <c r="E10" s="22">
        <v>1000</v>
      </c>
      <c r="F10" s="22">
        <v>3000</v>
      </c>
      <c r="G10" s="22"/>
      <c r="H10" s="22"/>
      <c r="I10" s="22"/>
      <c r="J10" s="22">
        <f t="shared" si="0"/>
        <v>39000</v>
      </c>
      <c r="K10" s="14">
        <f>38000</f>
        <v>38000</v>
      </c>
      <c r="L10" s="22">
        <f t="shared" si="1"/>
        <v>1000</v>
      </c>
      <c r="M10" s="15">
        <v>43474</v>
      </c>
    </row>
    <row r="11" spans="1:13" x14ac:dyDescent="0.25">
      <c r="A11" s="58">
        <v>8</v>
      </c>
      <c r="B11" s="59" t="s">
        <v>129</v>
      </c>
      <c r="C11" s="22">
        <v>550</v>
      </c>
      <c r="D11" s="22">
        <v>35000</v>
      </c>
      <c r="E11" s="22">
        <v>1000</v>
      </c>
      <c r="F11" s="22">
        <v>3000</v>
      </c>
      <c r="G11" s="22"/>
      <c r="H11" s="22"/>
      <c r="I11" s="22"/>
      <c r="J11" s="22">
        <f t="shared" si="0"/>
        <v>39550</v>
      </c>
      <c r="K11" s="14"/>
      <c r="L11" s="22">
        <f t="shared" si="1"/>
        <v>39550</v>
      </c>
      <c r="M11" s="15"/>
    </row>
    <row r="12" spans="1:13" x14ac:dyDescent="0.25">
      <c r="A12" s="58">
        <v>9</v>
      </c>
      <c r="B12" s="59" t="s">
        <v>130</v>
      </c>
      <c r="C12" s="22">
        <v>0</v>
      </c>
      <c r="D12" s="22">
        <v>35000</v>
      </c>
      <c r="E12" s="22">
        <v>1000</v>
      </c>
      <c r="F12" s="22">
        <v>3000</v>
      </c>
      <c r="G12" s="22"/>
      <c r="H12" s="22"/>
      <c r="I12" s="22"/>
      <c r="J12" s="22">
        <f t="shared" si="0"/>
        <v>39000</v>
      </c>
      <c r="K12" s="14"/>
      <c r="L12" s="22">
        <f>SUM(J12-K12)</f>
        <v>39000</v>
      </c>
      <c r="M12" s="15"/>
    </row>
    <row r="13" spans="1:13" x14ac:dyDescent="0.25">
      <c r="A13" s="58">
        <v>10</v>
      </c>
      <c r="B13" s="59" t="s">
        <v>134</v>
      </c>
      <c r="C13" s="22">
        <v>0</v>
      </c>
      <c r="D13" s="22">
        <v>35000</v>
      </c>
      <c r="E13" s="22">
        <v>1000</v>
      </c>
      <c r="F13" s="22">
        <v>3000</v>
      </c>
      <c r="G13" s="63"/>
      <c r="H13" s="22"/>
      <c r="I13" s="22"/>
      <c r="J13" s="22">
        <f t="shared" si="0"/>
        <v>39000</v>
      </c>
      <c r="K13" s="14"/>
      <c r="L13" s="22">
        <f t="shared" ref="L13:L19" si="2">SUM(J13-K13)</f>
        <v>39000</v>
      </c>
      <c r="M13" s="15"/>
    </row>
    <row r="14" spans="1:13" x14ac:dyDescent="0.25">
      <c r="A14" s="58">
        <v>11</v>
      </c>
      <c r="B14" s="59" t="s">
        <v>139</v>
      </c>
      <c r="C14" s="22">
        <v>15690</v>
      </c>
      <c r="D14" s="22">
        <v>35000</v>
      </c>
      <c r="E14" s="22">
        <v>1000</v>
      </c>
      <c r="F14" s="22">
        <v>3000</v>
      </c>
      <c r="G14" s="63"/>
      <c r="H14" s="22"/>
      <c r="I14" s="22"/>
      <c r="J14" s="22">
        <f t="shared" si="0"/>
        <v>54690</v>
      </c>
      <c r="K14" s="14">
        <f>15690</f>
        <v>15690</v>
      </c>
      <c r="L14" s="22">
        <f t="shared" si="2"/>
        <v>39000</v>
      </c>
      <c r="M14" s="15">
        <v>43473</v>
      </c>
    </row>
    <row r="15" spans="1:13" ht="15.6" customHeight="1" x14ac:dyDescent="0.25">
      <c r="A15" s="58">
        <v>12</v>
      </c>
      <c r="B15" s="59" t="s">
        <v>152</v>
      </c>
      <c r="C15" s="22">
        <v>0</v>
      </c>
      <c r="D15" s="22">
        <v>36000</v>
      </c>
      <c r="E15" s="22">
        <v>1000</v>
      </c>
      <c r="F15" s="22">
        <v>3000</v>
      </c>
      <c r="G15" s="64"/>
      <c r="H15" s="22"/>
      <c r="I15" s="22"/>
      <c r="J15" s="22">
        <f t="shared" si="0"/>
        <v>40000</v>
      </c>
      <c r="K15" s="14">
        <f>13000</f>
        <v>13000</v>
      </c>
      <c r="L15" s="22">
        <f t="shared" si="2"/>
        <v>27000</v>
      </c>
      <c r="M15" s="15">
        <v>43473</v>
      </c>
    </row>
    <row r="16" spans="1:13" x14ac:dyDescent="0.25">
      <c r="A16" s="58">
        <v>13</v>
      </c>
      <c r="B16" s="59" t="s">
        <v>153</v>
      </c>
      <c r="C16" s="22">
        <v>0</v>
      </c>
      <c r="D16" s="22">
        <v>35000</v>
      </c>
      <c r="E16" s="22">
        <v>1000</v>
      </c>
      <c r="F16" s="22">
        <v>3000</v>
      </c>
      <c r="G16" s="64"/>
      <c r="H16" s="22"/>
      <c r="I16" s="22"/>
      <c r="J16" s="22">
        <f t="shared" si="0"/>
        <v>39000</v>
      </c>
      <c r="K16" s="14"/>
      <c r="L16" s="22">
        <f t="shared" si="2"/>
        <v>39000</v>
      </c>
      <c r="M16" s="15"/>
    </row>
    <row r="17" spans="1:13" x14ac:dyDescent="0.25">
      <c r="A17" s="58">
        <v>14</v>
      </c>
      <c r="B17" s="59" t="s">
        <v>154</v>
      </c>
      <c r="C17" s="22">
        <v>0</v>
      </c>
      <c r="D17" s="22">
        <v>35000</v>
      </c>
      <c r="E17" s="22">
        <v>1000</v>
      </c>
      <c r="F17" s="22">
        <v>3000</v>
      </c>
      <c r="G17" s="63"/>
      <c r="H17" s="22"/>
      <c r="I17" s="22"/>
      <c r="J17" s="22">
        <f t="shared" si="0"/>
        <v>39000</v>
      </c>
      <c r="K17" s="14"/>
      <c r="L17" s="22">
        <f t="shared" si="2"/>
        <v>39000</v>
      </c>
      <c r="M17" s="15"/>
    </row>
    <row r="18" spans="1:13" x14ac:dyDescent="0.25">
      <c r="A18" s="58">
        <v>15</v>
      </c>
      <c r="B18" s="59" t="s">
        <v>156</v>
      </c>
      <c r="C18" s="22">
        <v>0</v>
      </c>
      <c r="D18" s="22">
        <v>35000</v>
      </c>
      <c r="E18" s="22">
        <v>1000</v>
      </c>
      <c r="F18" s="22">
        <v>3000</v>
      </c>
      <c r="G18" s="59"/>
      <c r="H18" s="22"/>
      <c r="I18" s="22"/>
      <c r="J18" s="22">
        <f t="shared" si="0"/>
        <v>39000</v>
      </c>
      <c r="K18" s="14"/>
      <c r="L18" s="22">
        <f t="shared" si="2"/>
        <v>39000</v>
      </c>
      <c r="M18" s="15"/>
    </row>
    <row r="19" spans="1:13" x14ac:dyDescent="0.25">
      <c r="A19" s="58">
        <v>16</v>
      </c>
      <c r="B19" s="59" t="s">
        <v>155</v>
      </c>
      <c r="C19" s="22">
        <v>26050</v>
      </c>
      <c r="D19" s="22">
        <v>35000</v>
      </c>
      <c r="E19" s="22">
        <v>1000</v>
      </c>
      <c r="F19" s="22">
        <v>3000</v>
      </c>
      <c r="G19" s="59"/>
      <c r="H19" s="22"/>
      <c r="I19" s="22"/>
      <c r="J19" s="22">
        <f t="shared" si="0"/>
        <v>65050</v>
      </c>
      <c r="K19" s="14"/>
      <c r="L19" s="22">
        <f t="shared" si="2"/>
        <v>65050</v>
      </c>
      <c r="M19" s="15"/>
    </row>
    <row r="20" spans="1:13" x14ac:dyDescent="0.25">
      <c r="A20" s="58">
        <v>17</v>
      </c>
      <c r="B20" s="59" t="s">
        <v>141</v>
      </c>
      <c r="C20" s="22">
        <v>0</v>
      </c>
      <c r="D20" s="22">
        <v>35000</v>
      </c>
      <c r="E20" s="22">
        <v>1000</v>
      </c>
      <c r="F20" s="22">
        <v>3000</v>
      </c>
      <c r="G20" s="59"/>
      <c r="H20" s="22"/>
      <c r="I20" s="22"/>
      <c r="J20" s="22">
        <f t="shared" si="0"/>
        <v>39000</v>
      </c>
      <c r="K20" s="14"/>
      <c r="L20" s="22">
        <f t="shared" ref="L20:L21" si="3">SUM(J20-K20)</f>
        <v>39000</v>
      </c>
      <c r="M20" s="15"/>
    </row>
    <row r="21" spans="1:13" x14ac:dyDescent="0.25">
      <c r="A21" s="58">
        <v>18</v>
      </c>
      <c r="B21" s="65" t="s">
        <v>198</v>
      </c>
      <c r="C21" s="22">
        <v>0</v>
      </c>
      <c r="D21" s="22">
        <v>35000</v>
      </c>
      <c r="E21" s="22">
        <v>1000</v>
      </c>
      <c r="F21" s="22">
        <v>3000</v>
      </c>
      <c r="G21" s="59"/>
      <c r="H21" s="22"/>
      <c r="I21" s="22">
        <v>15000</v>
      </c>
      <c r="J21" s="22">
        <f t="shared" si="0"/>
        <v>54000</v>
      </c>
      <c r="K21" s="14">
        <f>61000</f>
        <v>61000</v>
      </c>
      <c r="L21" s="22">
        <f t="shared" si="3"/>
        <v>-7000</v>
      </c>
      <c r="M21" s="15">
        <v>43465</v>
      </c>
    </row>
    <row r="22" spans="1:13" s="21" customFormat="1" x14ac:dyDescent="0.25">
      <c r="A22" s="66"/>
      <c r="B22" s="56" t="s">
        <v>69</v>
      </c>
      <c r="C22" s="23">
        <f t="shared" ref="C22:K22" si="4">SUM(C4:C21)</f>
        <v>57840</v>
      </c>
      <c r="D22" s="23">
        <f t="shared" si="4"/>
        <v>596000</v>
      </c>
      <c r="E22" s="23">
        <f t="shared" si="4"/>
        <v>18000</v>
      </c>
      <c r="F22" s="23">
        <f t="shared" si="4"/>
        <v>54000</v>
      </c>
      <c r="G22" s="23">
        <f t="shared" si="4"/>
        <v>0</v>
      </c>
      <c r="H22" s="23">
        <f t="shared" si="4"/>
        <v>0</v>
      </c>
      <c r="I22" s="23">
        <f t="shared" si="4"/>
        <v>40000</v>
      </c>
      <c r="J22" s="23">
        <f t="shared" si="4"/>
        <v>765840</v>
      </c>
      <c r="K22" s="19">
        <f t="shared" si="4"/>
        <v>236690</v>
      </c>
      <c r="L22" s="23">
        <f>SUM(L4:L21)</f>
        <v>529150</v>
      </c>
      <c r="M22" s="20"/>
    </row>
  </sheetData>
  <sheetProtection algorithmName="SHA-512" hashValue="b+Ea3TDsBwPtkfttwIbpoLWYO+TfG1vj/+0WOhisBSfD6qccImfLe9gcmsvV8QKS6S3vWyEH1WUjelftmYntwA==" saltValue="AwCy+pfqc+KPtYjQIWUmsQ==" spinCount="100000" sheet="1" objects="1" scenarios="1"/>
  <mergeCells count="1">
    <mergeCell ref="D2:J2"/>
  </mergeCells>
  <pageMargins left="0.7" right="0.7" top="0.75" bottom="0.75" header="0.3" footer="0.3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topLeftCell="B1" zoomScale="75" zoomScaleNormal="75" workbookViewId="0">
      <pane xSplit="15135" topLeftCell="N1"/>
      <selection activeCell="M5" sqref="M5"/>
      <selection pane="topRight" activeCell="N1" sqref="N1"/>
    </sheetView>
  </sheetViews>
  <sheetFormatPr defaultColWidth="8.85546875" defaultRowHeight="15.75" x14ac:dyDescent="0.25"/>
  <cols>
    <col min="1" max="1" width="5.5703125" style="12" bestFit="1" customWidth="1"/>
    <col min="2" max="2" width="30.85546875" style="12" customWidth="1"/>
    <col min="3" max="3" width="14.85546875" style="12" bestFit="1" customWidth="1"/>
    <col min="4" max="4" width="22" style="12" bestFit="1" customWidth="1"/>
    <col min="5" max="6" width="9" style="12" customWidth="1"/>
    <col min="7" max="7" width="11.7109375" style="12" customWidth="1"/>
    <col min="8" max="8" width="10.140625" style="12" customWidth="1"/>
    <col min="9" max="9" width="11.5703125" style="12" bestFit="1" customWidth="1"/>
    <col min="10" max="10" width="12.7109375" style="12" customWidth="1"/>
    <col min="11" max="11" width="12.85546875" style="12" customWidth="1"/>
    <col min="12" max="12" width="15.140625" style="12" customWidth="1"/>
    <col min="13" max="13" width="21.28515625" style="12" customWidth="1"/>
    <col min="14" max="14" width="4.85546875" style="12" customWidth="1"/>
    <col min="15" max="15" width="14.85546875" style="12" customWidth="1"/>
    <col min="16" max="16384" width="8.85546875" style="12"/>
  </cols>
  <sheetData>
    <row r="1" spans="1:15" x14ac:dyDescent="0.25">
      <c r="A1" s="10" t="s">
        <v>22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5" x14ac:dyDescent="0.25">
      <c r="A2" s="11"/>
      <c r="B2" s="11"/>
      <c r="C2" s="67"/>
      <c r="D2" s="67" t="s">
        <v>10</v>
      </c>
      <c r="E2" s="67"/>
      <c r="F2" s="67"/>
      <c r="G2" s="67"/>
      <c r="H2" s="67"/>
      <c r="I2" s="67"/>
      <c r="J2" s="67"/>
      <c r="K2" s="11"/>
      <c r="L2" s="11"/>
      <c r="M2" s="11"/>
    </row>
    <row r="3" spans="1:15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55</v>
      </c>
      <c r="H3" s="56" t="s">
        <v>3</v>
      </c>
      <c r="I3" s="56" t="s">
        <v>5</v>
      </c>
      <c r="J3" s="56" t="s">
        <v>8</v>
      </c>
      <c r="K3" s="10" t="s">
        <v>9</v>
      </c>
      <c r="L3" s="57" t="s">
        <v>30</v>
      </c>
      <c r="M3" s="10" t="s">
        <v>138</v>
      </c>
    </row>
    <row r="4" spans="1:15" x14ac:dyDescent="0.25">
      <c r="A4" s="70">
        <v>1</v>
      </c>
      <c r="B4" s="59" t="s">
        <v>137</v>
      </c>
      <c r="C4" s="22">
        <v>0</v>
      </c>
      <c r="D4" s="22">
        <v>35000</v>
      </c>
      <c r="E4" s="22">
        <v>1000</v>
      </c>
      <c r="F4" s="22">
        <v>3000</v>
      </c>
      <c r="G4" s="22"/>
      <c r="H4" s="22"/>
      <c r="I4" s="22"/>
      <c r="J4" s="22">
        <f t="shared" ref="J4:J20" si="0">SUM(C4:I4)</f>
        <v>39000</v>
      </c>
      <c r="K4" s="14"/>
      <c r="L4" s="22">
        <f t="shared" ref="L4:L5" si="1">J4-K4</f>
        <v>39000</v>
      </c>
      <c r="M4" s="15"/>
    </row>
    <row r="5" spans="1:15" x14ac:dyDescent="0.25">
      <c r="A5" s="70">
        <v>2</v>
      </c>
      <c r="B5" s="59" t="s">
        <v>102</v>
      </c>
      <c r="C5" s="22">
        <v>36000</v>
      </c>
      <c r="D5" s="22">
        <v>35000</v>
      </c>
      <c r="E5" s="22">
        <v>1000</v>
      </c>
      <c r="F5" s="22">
        <v>3000</v>
      </c>
      <c r="G5" s="22"/>
      <c r="H5" s="22"/>
      <c r="I5" s="22"/>
      <c r="J5" s="22">
        <f t="shared" si="0"/>
        <v>75000</v>
      </c>
      <c r="K5" s="14">
        <f>36000+23050</f>
        <v>59050</v>
      </c>
      <c r="L5" s="22">
        <f t="shared" si="1"/>
        <v>15950</v>
      </c>
      <c r="M5" s="15" t="s">
        <v>208</v>
      </c>
    </row>
    <row r="6" spans="1:15" x14ac:dyDescent="0.25">
      <c r="A6" s="70">
        <v>3</v>
      </c>
      <c r="B6" s="59" t="s">
        <v>107</v>
      </c>
      <c r="C6" s="22">
        <v>0</v>
      </c>
      <c r="D6" s="22">
        <v>35000</v>
      </c>
      <c r="E6" s="22">
        <v>1000</v>
      </c>
      <c r="F6" s="22">
        <v>3000</v>
      </c>
      <c r="G6" s="22"/>
      <c r="H6" s="22"/>
      <c r="I6" s="22"/>
      <c r="J6" s="22">
        <f t="shared" si="0"/>
        <v>39000</v>
      </c>
      <c r="K6" s="14"/>
      <c r="L6" s="22">
        <f>J6-K6</f>
        <v>39000</v>
      </c>
      <c r="M6" s="15"/>
    </row>
    <row r="7" spans="1:15" x14ac:dyDescent="0.25">
      <c r="A7" s="70">
        <v>4</v>
      </c>
      <c r="B7" s="59" t="s">
        <v>106</v>
      </c>
      <c r="C7" s="22">
        <v>0</v>
      </c>
      <c r="D7" s="22">
        <v>35000</v>
      </c>
      <c r="E7" s="22">
        <v>1000</v>
      </c>
      <c r="F7" s="22">
        <v>3000</v>
      </c>
      <c r="G7" s="22"/>
      <c r="H7" s="22"/>
      <c r="I7" s="22"/>
      <c r="J7" s="22">
        <f t="shared" si="0"/>
        <v>39000</v>
      </c>
      <c r="K7" s="14">
        <f>39000</f>
        <v>39000</v>
      </c>
      <c r="L7" s="22">
        <f>J7-K7</f>
        <v>0</v>
      </c>
      <c r="M7" s="13">
        <v>43483</v>
      </c>
    </row>
    <row r="8" spans="1:15" x14ac:dyDescent="0.25">
      <c r="A8" s="70">
        <v>5</v>
      </c>
      <c r="B8" s="59" t="s">
        <v>78</v>
      </c>
      <c r="C8" s="22">
        <v>0</v>
      </c>
      <c r="D8" s="22">
        <v>35000</v>
      </c>
      <c r="E8" s="22">
        <v>1000</v>
      </c>
      <c r="F8" s="22">
        <v>3000</v>
      </c>
      <c r="G8" s="22"/>
      <c r="H8" s="22"/>
      <c r="I8" s="22"/>
      <c r="J8" s="22">
        <f t="shared" si="0"/>
        <v>39000</v>
      </c>
      <c r="K8" s="14"/>
      <c r="L8" s="22">
        <f t="shared" ref="L8:L14" si="2">J8-K8</f>
        <v>39000</v>
      </c>
      <c r="M8" s="15"/>
    </row>
    <row r="9" spans="1:15" x14ac:dyDescent="0.25">
      <c r="A9" s="70">
        <v>6</v>
      </c>
      <c r="B9" s="59" t="s">
        <v>77</v>
      </c>
      <c r="C9" s="22">
        <v>0</v>
      </c>
      <c r="D9" s="22">
        <v>35000</v>
      </c>
      <c r="E9" s="22">
        <v>1000</v>
      </c>
      <c r="F9" s="22">
        <v>3000</v>
      </c>
      <c r="G9" s="22"/>
      <c r="H9" s="22"/>
      <c r="I9" s="22"/>
      <c r="J9" s="22">
        <f t="shared" si="0"/>
        <v>39000</v>
      </c>
      <c r="K9" s="14"/>
      <c r="L9" s="22">
        <f t="shared" si="2"/>
        <v>39000</v>
      </c>
      <c r="M9" s="15"/>
    </row>
    <row r="10" spans="1:15" x14ac:dyDescent="0.25">
      <c r="A10" s="70">
        <v>7</v>
      </c>
      <c r="B10" s="59" t="s">
        <v>94</v>
      </c>
      <c r="C10" s="22">
        <v>2500</v>
      </c>
      <c r="D10" s="22">
        <v>35000</v>
      </c>
      <c r="E10" s="22">
        <v>1000</v>
      </c>
      <c r="F10" s="22">
        <v>3000</v>
      </c>
      <c r="G10" s="22"/>
      <c r="H10" s="22"/>
      <c r="I10" s="22">
        <v>7500</v>
      </c>
      <c r="J10" s="22">
        <f t="shared" si="0"/>
        <v>49000</v>
      </c>
      <c r="K10" s="14">
        <f>45500+1000</f>
        <v>46500</v>
      </c>
      <c r="L10" s="22">
        <f t="shared" si="2"/>
        <v>2500</v>
      </c>
      <c r="M10" s="15">
        <v>43479</v>
      </c>
      <c r="O10" s="16"/>
    </row>
    <row r="11" spans="1:15" x14ac:dyDescent="0.25">
      <c r="A11" s="70">
        <v>8</v>
      </c>
      <c r="B11" s="59" t="s">
        <v>97</v>
      </c>
      <c r="C11" s="22">
        <v>0</v>
      </c>
      <c r="D11" s="22">
        <v>35000</v>
      </c>
      <c r="E11" s="22">
        <v>1000</v>
      </c>
      <c r="F11" s="22">
        <v>3000</v>
      </c>
      <c r="G11" s="22"/>
      <c r="H11" s="22"/>
      <c r="I11" s="22">
        <v>15000</v>
      </c>
      <c r="J11" s="22">
        <f t="shared" si="0"/>
        <v>54000</v>
      </c>
      <c r="K11" s="14">
        <f>39000</f>
        <v>39000</v>
      </c>
      <c r="L11" s="22">
        <f t="shared" si="2"/>
        <v>15000</v>
      </c>
      <c r="M11" s="15">
        <v>43475</v>
      </c>
    </row>
    <row r="12" spans="1:15" x14ac:dyDescent="0.25">
      <c r="A12" s="70">
        <v>9</v>
      </c>
      <c r="B12" s="59" t="s">
        <v>96</v>
      </c>
      <c r="C12" s="22">
        <v>0</v>
      </c>
      <c r="D12" s="22">
        <v>35000</v>
      </c>
      <c r="E12" s="22">
        <v>1000</v>
      </c>
      <c r="F12" s="22">
        <v>3000</v>
      </c>
      <c r="G12" s="22"/>
      <c r="H12" s="22"/>
      <c r="I12" s="22"/>
      <c r="J12" s="22">
        <f t="shared" si="0"/>
        <v>39000</v>
      </c>
      <c r="K12" s="14">
        <v>39000</v>
      </c>
      <c r="L12" s="22">
        <f t="shared" si="2"/>
        <v>0</v>
      </c>
      <c r="M12" s="15">
        <v>43472</v>
      </c>
    </row>
    <row r="13" spans="1:15" x14ac:dyDescent="0.25">
      <c r="A13" s="70">
        <v>10</v>
      </c>
      <c r="B13" s="59" t="s">
        <v>108</v>
      </c>
      <c r="C13" s="22">
        <v>48450</v>
      </c>
      <c r="D13" s="22">
        <v>35000</v>
      </c>
      <c r="E13" s="22">
        <v>1000</v>
      </c>
      <c r="F13" s="22">
        <v>3000</v>
      </c>
      <c r="G13" s="22"/>
      <c r="H13" s="22"/>
      <c r="I13" s="22"/>
      <c r="J13" s="22">
        <f t="shared" si="0"/>
        <v>87450</v>
      </c>
      <c r="K13" s="14">
        <v>48450</v>
      </c>
      <c r="L13" s="22">
        <f t="shared" si="2"/>
        <v>39000</v>
      </c>
      <c r="M13" s="15">
        <v>43479</v>
      </c>
    </row>
    <row r="14" spans="1:15" x14ac:dyDescent="0.25">
      <c r="A14" s="71">
        <v>11</v>
      </c>
      <c r="B14" s="62" t="s">
        <v>109</v>
      </c>
      <c r="C14" s="48">
        <v>0</v>
      </c>
      <c r="D14" s="48">
        <v>0</v>
      </c>
      <c r="E14" s="48">
        <v>1000</v>
      </c>
      <c r="F14" s="48">
        <v>3000</v>
      </c>
      <c r="G14" s="48"/>
      <c r="H14" s="48"/>
      <c r="I14" s="48"/>
      <c r="J14" s="48">
        <f t="shared" si="0"/>
        <v>4000</v>
      </c>
      <c r="K14" s="47"/>
      <c r="L14" s="48">
        <f t="shared" si="2"/>
        <v>4000</v>
      </c>
      <c r="M14" s="46"/>
    </row>
    <row r="15" spans="1:15" x14ac:dyDescent="0.25">
      <c r="A15" s="70">
        <v>12</v>
      </c>
      <c r="B15" s="59" t="s">
        <v>114</v>
      </c>
      <c r="C15" s="22">
        <v>0</v>
      </c>
      <c r="D15" s="22">
        <v>35000</v>
      </c>
      <c r="E15" s="22">
        <v>1000</v>
      </c>
      <c r="F15" s="22">
        <v>3000</v>
      </c>
      <c r="G15" s="22"/>
      <c r="H15" s="22"/>
      <c r="I15" s="22"/>
      <c r="J15" s="22">
        <f t="shared" si="0"/>
        <v>39000</v>
      </c>
      <c r="K15" s="68"/>
      <c r="L15" s="22">
        <f>J15-K15</f>
        <v>39000</v>
      </c>
      <c r="M15" s="11"/>
    </row>
    <row r="16" spans="1:15" x14ac:dyDescent="0.25">
      <c r="A16" s="70">
        <v>13</v>
      </c>
      <c r="B16" s="59" t="s">
        <v>122</v>
      </c>
      <c r="C16" s="22">
        <v>0</v>
      </c>
      <c r="D16" s="22">
        <v>35000</v>
      </c>
      <c r="E16" s="22">
        <v>1000</v>
      </c>
      <c r="F16" s="22">
        <v>3000</v>
      </c>
      <c r="G16" s="22"/>
      <c r="H16" s="22"/>
      <c r="I16" s="22"/>
      <c r="J16" s="22">
        <f t="shared" si="0"/>
        <v>39000</v>
      </c>
      <c r="K16" s="14"/>
      <c r="L16" s="22">
        <f t="shared" ref="L16:L20" si="3">J16-K16</f>
        <v>39000</v>
      </c>
      <c r="M16" s="15"/>
    </row>
    <row r="17" spans="1:13" x14ac:dyDescent="0.25">
      <c r="A17" s="70">
        <v>14</v>
      </c>
      <c r="B17" s="59" t="s">
        <v>128</v>
      </c>
      <c r="C17" s="22">
        <v>0</v>
      </c>
      <c r="D17" s="22">
        <v>35000</v>
      </c>
      <c r="E17" s="22">
        <v>1000</v>
      </c>
      <c r="F17" s="22">
        <v>3000</v>
      </c>
      <c r="G17" s="22"/>
      <c r="H17" s="22"/>
      <c r="I17" s="22"/>
      <c r="J17" s="22">
        <f t="shared" si="0"/>
        <v>39000</v>
      </c>
      <c r="K17" s="14">
        <f>39000</f>
        <v>39000</v>
      </c>
      <c r="L17" s="22">
        <f t="shared" si="3"/>
        <v>0</v>
      </c>
      <c r="M17" s="15">
        <v>43474</v>
      </c>
    </row>
    <row r="18" spans="1:13" x14ac:dyDescent="0.25">
      <c r="A18" s="70">
        <v>15</v>
      </c>
      <c r="B18" s="59" t="s">
        <v>113</v>
      </c>
      <c r="C18" s="22">
        <v>0</v>
      </c>
      <c r="D18" s="22">
        <v>35000</v>
      </c>
      <c r="E18" s="22">
        <v>1000</v>
      </c>
      <c r="F18" s="22">
        <v>3000</v>
      </c>
      <c r="G18" s="22"/>
      <c r="H18" s="22"/>
      <c r="I18" s="22"/>
      <c r="J18" s="22">
        <f t="shared" si="0"/>
        <v>39000</v>
      </c>
      <c r="K18" s="14"/>
      <c r="L18" s="22">
        <f t="shared" si="3"/>
        <v>39000</v>
      </c>
      <c r="M18" s="15"/>
    </row>
    <row r="19" spans="1:13" x14ac:dyDescent="0.25">
      <c r="A19" s="70">
        <v>16</v>
      </c>
      <c r="B19" s="59" t="s">
        <v>157</v>
      </c>
      <c r="C19" s="22">
        <v>0</v>
      </c>
      <c r="D19" s="22">
        <v>35000</v>
      </c>
      <c r="E19" s="22">
        <v>1000</v>
      </c>
      <c r="F19" s="22">
        <v>3000</v>
      </c>
      <c r="G19" s="22"/>
      <c r="H19" s="22"/>
      <c r="I19" s="22"/>
      <c r="J19" s="22">
        <f t="shared" si="0"/>
        <v>39000</v>
      </c>
      <c r="K19" s="69"/>
      <c r="L19" s="22">
        <f t="shared" si="3"/>
        <v>39000</v>
      </c>
      <c r="M19" s="15"/>
    </row>
    <row r="20" spans="1:13" x14ac:dyDescent="0.25">
      <c r="A20" s="70">
        <v>17</v>
      </c>
      <c r="B20" s="59" t="s">
        <v>158</v>
      </c>
      <c r="C20" s="22">
        <v>0</v>
      </c>
      <c r="D20" s="22">
        <v>35000</v>
      </c>
      <c r="E20" s="22">
        <v>1000</v>
      </c>
      <c r="F20" s="22">
        <v>3000</v>
      </c>
      <c r="G20" s="22"/>
      <c r="H20" s="22"/>
      <c r="I20" s="22"/>
      <c r="J20" s="22">
        <f t="shared" si="0"/>
        <v>39000</v>
      </c>
      <c r="K20" s="14">
        <f>45500+Preschool!K183</f>
        <v>45500</v>
      </c>
      <c r="L20" s="22">
        <f t="shared" si="3"/>
        <v>-6500</v>
      </c>
      <c r="M20" s="15">
        <v>43474</v>
      </c>
    </row>
    <row r="21" spans="1:13" x14ac:dyDescent="0.25">
      <c r="A21" s="70">
        <v>18</v>
      </c>
      <c r="B21" s="65" t="s">
        <v>197</v>
      </c>
      <c r="C21" s="22">
        <v>0</v>
      </c>
      <c r="D21" s="22">
        <v>35000</v>
      </c>
      <c r="E21" s="22">
        <v>1000</v>
      </c>
      <c r="F21" s="22">
        <v>3000</v>
      </c>
      <c r="G21" s="22"/>
      <c r="H21" s="22"/>
      <c r="I21" s="22">
        <v>7500</v>
      </c>
      <c r="J21" s="22">
        <f t="shared" ref="J21" si="4">SUM(C21:I21)</f>
        <v>46500</v>
      </c>
      <c r="K21" s="14">
        <f>73450+100</f>
        <v>73550</v>
      </c>
      <c r="L21" s="22">
        <f t="shared" ref="L21" si="5">J21-K21</f>
        <v>-27050</v>
      </c>
      <c r="M21" s="15">
        <v>43473</v>
      </c>
    </row>
    <row r="22" spans="1:13" x14ac:dyDescent="0.25">
      <c r="A22" s="70"/>
      <c r="B22" s="59"/>
      <c r="C22" s="22">
        <f>SUM(C4:C21)</f>
        <v>86950</v>
      </c>
      <c r="D22" s="22">
        <f t="shared" ref="D22:K22" si="6">SUM(D4:D21)</f>
        <v>595000</v>
      </c>
      <c r="E22" s="22">
        <f t="shared" si="6"/>
        <v>18000</v>
      </c>
      <c r="F22" s="22">
        <f t="shared" si="6"/>
        <v>54000</v>
      </c>
      <c r="G22" s="22">
        <f t="shared" si="6"/>
        <v>0</v>
      </c>
      <c r="H22" s="22">
        <f t="shared" si="6"/>
        <v>0</v>
      </c>
      <c r="I22" s="22">
        <f t="shared" si="6"/>
        <v>30000</v>
      </c>
      <c r="J22" s="22">
        <f>SUM(J4:J21)</f>
        <v>783950</v>
      </c>
      <c r="K22" s="14">
        <f t="shared" si="6"/>
        <v>429050</v>
      </c>
      <c r="L22" s="22">
        <f>SUM(L4:L21)</f>
        <v>354900</v>
      </c>
      <c r="M22" s="15"/>
    </row>
  </sheetData>
  <sheetProtection algorithmName="SHA-512" hashValue="M+qcEOlCUj1xFjYSCSlzYthFv87LjcXI07IDdOZgrc/8GaZ2zif2fb9NAiV30ZiOqQ6QnYq+NNvkDjyOgRZ8Cg==" saltValue="kUjHyislg+Qpmxbl1ZTqlA==" spinCount="100000" sheet="1" objects="1" scenarios="1"/>
  <pageMargins left="0.7" right="0.7" top="0.75" bottom="0.75" header="0.3" footer="0.3"/>
  <pageSetup orientation="landscape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75" zoomScaleNormal="75" workbookViewId="0">
      <selection activeCell="B11" sqref="B11"/>
    </sheetView>
  </sheetViews>
  <sheetFormatPr defaultColWidth="8.85546875" defaultRowHeight="15.75" x14ac:dyDescent="0.25"/>
  <cols>
    <col min="1" max="1" width="5.7109375" style="12" bestFit="1" customWidth="1"/>
    <col min="2" max="2" width="32.140625" style="12" customWidth="1"/>
    <col min="3" max="3" width="15" style="12" bestFit="1" customWidth="1"/>
    <col min="4" max="4" width="14.28515625" style="12" bestFit="1" customWidth="1"/>
    <col min="5" max="5" width="11.140625" style="12" bestFit="1" customWidth="1"/>
    <col min="6" max="6" width="11.140625" style="12" customWidth="1"/>
    <col min="7" max="7" width="18.7109375" style="12" bestFit="1" customWidth="1"/>
    <col min="8" max="8" width="12.42578125" style="12" bestFit="1" customWidth="1"/>
    <col min="9" max="9" width="14" style="12" bestFit="1" customWidth="1"/>
    <col min="10" max="10" width="11.140625" style="12" bestFit="1" customWidth="1"/>
    <col min="11" max="11" width="13.28515625" style="12" bestFit="1" customWidth="1"/>
    <col min="12" max="12" width="14.7109375" style="12" customWidth="1"/>
    <col min="13" max="13" width="12.42578125" style="12" bestFit="1" customWidth="1"/>
    <col min="14" max="14" width="15" style="12" bestFit="1" customWidth="1"/>
    <col min="15" max="15" width="19.140625" style="12" customWidth="1"/>
    <col min="16" max="16384" width="8.85546875" style="12"/>
  </cols>
  <sheetData>
    <row r="1" spans="1:19" x14ac:dyDescent="0.25">
      <c r="A1" s="10" t="s">
        <v>101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72"/>
      <c r="P1" s="73"/>
      <c r="Q1" s="73"/>
      <c r="R1" s="73"/>
      <c r="S1" s="73"/>
    </row>
    <row r="2" spans="1:19" x14ac:dyDescent="0.25">
      <c r="A2" s="72"/>
      <c r="B2" s="11"/>
      <c r="C2" s="11"/>
      <c r="D2" s="11"/>
      <c r="E2" s="90" t="s">
        <v>10</v>
      </c>
      <c r="F2" s="90"/>
      <c r="G2" s="90"/>
      <c r="H2" s="90"/>
      <c r="I2" s="90"/>
      <c r="J2" s="90"/>
      <c r="K2" s="90"/>
      <c r="L2" s="90"/>
      <c r="M2" s="11"/>
      <c r="N2" s="11"/>
      <c r="O2" s="72"/>
      <c r="P2" s="74"/>
      <c r="Q2" s="74"/>
      <c r="R2" s="73"/>
      <c r="S2" s="73"/>
    </row>
    <row r="3" spans="1:19" x14ac:dyDescent="0.25">
      <c r="A3" s="56" t="s">
        <v>6</v>
      </c>
      <c r="B3" s="56" t="s">
        <v>0</v>
      </c>
      <c r="C3" s="57" t="s">
        <v>7</v>
      </c>
      <c r="D3" s="56" t="s">
        <v>1</v>
      </c>
      <c r="E3" s="56" t="s">
        <v>2</v>
      </c>
      <c r="F3" s="56" t="s">
        <v>193</v>
      </c>
      <c r="G3" s="56" t="s">
        <v>194</v>
      </c>
      <c r="H3" s="56" t="s">
        <v>55</v>
      </c>
      <c r="I3" s="56" t="s">
        <v>3</v>
      </c>
      <c r="J3" s="56" t="s">
        <v>31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  <c r="P3" s="74"/>
      <c r="Q3" s="75"/>
      <c r="R3" s="73"/>
      <c r="S3" s="73"/>
    </row>
    <row r="4" spans="1:19" x14ac:dyDescent="0.25">
      <c r="A4" s="70">
        <v>1</v>
      </c>
      <c r="B4" s="59" t="s">
        <v>89</v>
      </c>
      <c r="C4" s="22">
        <v>29450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>
        <v>3500</v>
      </c>
      <c r="K4" s="22"/>
      <c r="L4" s="22">
        <f>SUM(C4:K4)</f>
        <v>76650</v>
      </c>
      <c r="M4" s="14">
        <f>29450</f>
        <v>29450</v>
      </c>
      <c r="N4" s="22">
        <f>L4-M4</f>
        <v>47200</v>
      </c>
      <c r="O4" s="76">
        <v>43479</v>
      </c>
      <c r="P4" s="75"/>
      <c r="Q4" s="73"/>
      <c r="R4" s="73"/>
      <c r="S4" s="73"/>
    </row>
    <row r="5" spans="1:19" x14ac:dyDescent="0.25">
      <c r="A5" s="70">
        <v>2</v>
      </c>
      <c r="B5" s="59" t="s">
        <v>84</v>
      </c>
      <c r="C5" s="22">
        <v>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>
        <v>3500</v>
      </c>
      <c r="K5" s="22"/>
      <c r="L5" s="22">
        <f t="shared" ref="L5:L12" si="0">SUM(C5:K5)</f>
        <v>47200</v>
      </c>
      <c r="M5" s="14"/>
      <c r="N5" s="22">
        <f t="shared" ref="N5:N12" si="1">L5-M5</f>
        <v>47200</v>
      </c>
      <c r="O5" s="76"/>
      <c r="P5" s="75"/>
      <c r="Q5" s="73"/>
      <c r="R5" s="73"/>
      <c r="S5" s="73"/>
    </row>
    <row r="6" spans="1:19" x14ac:dyDescent="0.25">
      <c r="A6" s="70">
        <v>3</v>
      </c>
      <c r="B6" s="59" t="s">
        <v>83</v>
      </c>
      <c r="C6" s="22">
        <v>0</v>
      </c>
      <c r="D6" s="22">
        <v>36500</v>
      </c>
      <c r="E6" s="22">
        <v>1000</v>
      </c>
      <c r="F6" s="22">
        <v>3000</v>
      </c>
      <c r="G6" s="22">
        <v>3200</v>
      </c>
      <c r="H6" s="22"/>
      <c r="I6" s="22"/>
      <c r="J6" s="22">
        <v>3500</v>
      </c>
      <c r="K6" s="22">
        <v>15000</v>
      </c>
      <c r="L6" s="22">
        <f t="shared" si="0"/>
        <v>62200</v>
      </c>
      <c r="M6" s="14">
        <f>58000</f>
        <v>58000</v>
      </c>
      <c r="N6" s="22">
        <f t="shared" si="1"/>
        <v>4200</v>
      </c>
      <c r="O6" s="17">
        <v>43472</v>
      </c>
      <c r="P6" s="75"/>
      <c r="Q6" s="75"/>
      <c r="R6" s="73"/>
      <c r="S6" s="73"/>
    </row>
    <row r="7" spans="1:19" ht="15.6" customHeight="1" x14ac:dyDescent="0.25">
      <c r="A7" s="70">
        <v>4</v>
      </c>
      <c r="B7" s="59" t="s">
        <v>76</v>
      </c>
      <c r="C7" s="22">
        <v>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>
        <v>3500</v>
      </c>
      <c r="K7" s="22"/>
      <c r="L7" s="22">
        <f t="shared" si="0"/>
        <v>47200</v>
      </c>
      <c r="M7" s="14"/>
      <c r="N7" s="22">
        <f t="shared" si="1"/>
        <v>47200</v>
      </c>
      <c r="O7" s="76"/>
      <c r="P7" s="73"/>
      <c r="Q7" s="75"/>
      <c r="R7" s="73"/>
      <c r="S7" s="73"/>
    </row>
    <row r="8" spans="1:19" x14ac:dyDescent="0.25">
      <c r="A8" s="70">
        <v>5</v>
      </c>
      <c r="B8" s="59" t="s">
        <v>75</v>
      </c>
      <c r="C8" s="22">
        <v>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>
        <v>3500</v>
      </c>
      <c r="K8" s="22"/>
      <c r="L8" s="22">
        <f t="shared" si="0"/>
        <v>47200</v>
      </c>
      <c r="M8" s="14"/>
      <c r="N8" s="22">
        <f t="shared" si="1"/>
        <v>47200</v>
      </c>
      <c r="O8" s="76"/>
      <c r="P8" s="75"/>
      <c r="Q8" s="75"/>
      <c r="R8" s="73"/>
      <c r="S8" s="73"/>
    </row>
    <row r="9" spans="1:19" x14ac:dyDescent="0.25">
      <c r="A9" s="70">
        <v>6</v>
      </c>
      <c r="B9" s="59" t="s">
        <v>103</v>
      </c>
      <c r="C9" s="22">
        <v>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>
        <v>3500</v>
      </c>
      <c r="K9" s="22"/>
      <c r="L9" s="22">
        <f t="shared" si="0"/>
        <v>47200</v>
      </c>
      <c r="M9" s="14"/>
      <c r="N9" s="22">
        <f t="shared" si="1"/>
        <v>47200</v>
      </c>
      <c r="O9" s="76"/>
      <c r="P9" s="73"/>
      <c r="Q9" s="73"/>
      <c r="R9" s="73"/>
      <c r="S9" s="73"/>
    </row>
    <row r="10" spans="1:19" x14ac:dyDescent="0.25">
      <c r="A10" s="70">
        <v>7</v>
      </c>
      <c r="B10" s="59" t="s">
        <v>140</v>
      </c>
      <c r="C10" s="22">
        <v>49450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>
        <v>3500</v>
      </c>
      <c r="K10" s="22"/>
      <c r="L10" s="22">
        <f t="shared" si="0"/>
        <v>96650</v>
      </c>
      <c r="M10" s="14">
        <f>34310</f>
        <v>34310</v>
      </c>
      <c r="N10" s="22">
        <f t="shared" si="1"/>
        <v>62340</v>
      </c>
      <c r="O10" s="76">
        <v>43473</v>
      </c>
      <c r="P10" s="73"/>
      <c r="Q10" s="73"/>
      <c r="R10" s="73"/>
      <c r="S10" s="73"/>
    </row>
    <row r="11" spans="1:19" x14ac:dyDescent="0.25">
      <c r="A11" s="70">
        <v>8</v>
      </c>
      <c r="B11" s="59" t="s">
        <v>116</v>
      </c>
      <c r="C11" s="22">
        <v>10000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>
        <v>3500</v>
      </c>
      <c r="K11" s="22"/>
      <c r="L11" s="22">
        <f t="shared" si="0"/>
        <v>57200</v>
      </c>
      <c r="M11" s="14">
        <f>52200</f>
        <v>52200</v>
      </c>
      <c r="N11" s="22">
        <f t="shared" si="1"/>
        <v>5000</v>
      </c>
      <c r="O11" s="76">
        <v>43481</v>
      </c>
      <c r="P11" s="75"/>
      <c r="Q11" s="73"/>
      <c r="R11" s="73"/>
      <c r="S11" s="73"/>
    </row>
    <row r="12" spans="1:19" ht="15.6" customHeight="1" x14ac:dyDescent="0.25">
      <c r="A12" s="70">
        <v>9</v>
      </c>
      <c r="B12" s="59" t="s">
        <v>190</v>
      </c>
      <c r="C12" s="22">
        <v>400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>
        <v>3500</v>
      </c>
      <c r="K12" s="22"/>
      <c r="L12" s="22">
        <f t="shared" si="0"/>
        <v>47600</v>
      </c>
      <c r="M12" s="14"/>
      <c r="N12" s="22">
        <f t="shared" si="1"/>
        <v>47600</v>
      </c>
      <c r="O12" s="76"/>
      <c r="P12" s="75"/>
      <c r="Q12" s="73"/>
      <c r="R12" s="73"/>
      <c r="S12" s="73"/>
    </row>
    <row r="13" spans="1:19" s="21" customFormat="1" x14ac:dyDescent="0.25">
      <c r="A13" s="78"/>
      <c r="B13" s="56" t="s">
        <v>191</v>
      </c>
      <c r="C13" s="23">
        <f>SUM(C4:C12)</f>
        <v>89300</v>
      </c>
      <c r="D13" s="23">
        <f t="shared" ref="D13:N13" si="2">SUM(D4:D12)</f>
        <v>328500</v>
      </c>
      <c r="E13" s="23">
        <f t="shared" si="2"/>
        <v>9000</v>
      </c>
      <c r="F13" s="23">
        <f t="shared" si="2"/>
        <v>27000</v>
      </c>
      <c r="G13" s="23">
        <f t="shared" si="2"/>
        <v>28800</v>
      </c>
      <c r="H13" s="23">
        <f t="shared" si="2"/>
        <v>0</v>
      </c>
      <c r="I13" s="23">
        <f t="shared" si="2"/>
        <v>0</v>
      </c>
      <c r="J13" s="23">
        <f t="shared" si="2"/>
        <v>31500</v>
      </c>
      <c r="K13" s="23">
        <f t="shared" si="2"/>
        <v>15000</v>
      </c>
      <c r="L13" s="23">
        <f>SUM(L4:L12)</f>
        <v>529100</v>
      </c>
      <c r="M13" s="19">
        <f t="shared" si="2"/>
        <v>173960</v>
      </c>
      <c r="N13" s="23">
        <f t="shared" si="2"/>
        <v>355140</v>
      </c>
      <c r="O13" s="10"/>
      <c r="P13" s="74"/>
      <c r="Q13" s="74"/>
      <c r="R13" s="74"/>
      <c r="S13" s="74"/>
    </row>
    <row r="14" spans="1:19" x14ac:dyDescent="0.25">
      <c r="O14" s="75"/>
      <c r="P14" s="73"/>
      <c r="Q14" s="73"/>
      <c r="R14" s="73"/>
      <c r="S14" s="73"/>
    </row>
    <row r="15" spans="1:19" ht="15.6" customHeight="1" x14ac:dyDescent="0.25">
      <c r="O15" s="75"/>
      <c r="P15" s="73"/>
      <c r="Q15" s="73"/>
      <c r="R15" s="73"/>
      <c r="S15" s="73"/>
    </row>
    <row r="16" spans="1:19" x14ac:dyDescent="0.25">
      <c r="O16" s="75"/>
      <c r="P16" s="73"/>
      <c r="Q16" s="73"/>
      <c r="R16" s="73"/>
      <c r="S16" s="73"/>
    </row>
    <row r="17" spans="1:19" x14ac:dyDescent="0.25">
      <c r="O17" s="73"/>
      <c r="P17" s="73"/>
      <c r="Q17" s="73"/>
      <c r="R17" s="73"/>
      <c r="S17" s="73"/>
    </row>
    <row r="18" spans="1:19" x14ac:dyDescent="0.25">
      <c r="A18" s="77"/>
      <c r="P18" s="73"/>
      <c r="Q18" s="73"/>
      <c r="R18" s="73"/>
      <c r="S18" s="73"/>
    </row>
    <row r="19" spans="1:19" x14ac:dyDescent="0.25">
      <c r="A19" s="77"/>
      <c r="P19" s="73"/>
      <c r="Q19" s="73"/>
      <c r="R19" s="73"/>
      <c r="S19" s="73"/>
    </row>
    <row r="20" spans="1:19" x14ac:dyDescent="0.25">
      <c r="P20" s="73"/>
      <c r="Q20" s="73"/>
      <c r="R20" s="73"/>
      <c r="S20" s="73"/>
    </row>
    <row r="21" spans="1:19" x14ac:dyDescent="0.25">
      <c r="J21" s="16"/>
      <c r="L21" s="16"/>
      <c r="P21" s="73"/>
      <c r="Q21" s="73"/>
      <c r="R21" s="73"/>
      <c r="S21" s="73"/>
    </row>
    <row r="22" spans="1:19" x14ac:dyDescent="0.25">
      <c r="D22" s="16"/>
      <c r="P22" s="73"/>
      <c r="Q22" s="73"/>
      <c r="R22" s="73"/>
      <c r="S22" s="73"/>
    </row>
    <row r="23" spans="1:19" x14ac:dyDescent="0.25">
      <c r="P23" s="73"/>
      <c r="Q23" s="73"/>
      <c r="R23" s="73"/>
      <c r="S23" s="73"/>
    </row>
  </sheetData>
  <sheetProtection algorithmName="SHA-512" hashValue="LtZujg1dRLy7dwGvD2e60wFHQsd+IZeWCTJuNQbZgVCSf7v/pVzlno001i4igd5VHJtS8MIhyfSnGGciWtsIPg==" saltValue="JQpDy6G6uSCxWPQF7+KmLw==" spinCount="100000" sheet="1" objects="1" scenarios="1"/>
  <mergeCells count="1">
    <mergeCell ref="E2:L2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="75" zoomScaleNormal="75" workbookViewId="0">
      <selection activeCell="M5" sqref="M5"/>
    </sheetView>
  </sheetViews>
  <sheetFormatPr defaultColWidth="8.85546875" defaultRowHeight="15.75" x14ac:dyDescent="0.25"/>
  <cols>
    <col min="1" max="1" width="6.5703125" style="12" customWidth="1"/>
    <col min="2" max="2" width="29.42578125" style="12" customWidth="1"/>
    <col min="3" max="3" width="14.85546875" style="12" bestFit="1" customWidth="1"/>
    <col min="4" max="4" width="13.7109375" style="12" bestFit="1" customWidth="1"/>
    <col min="5" max="7" width="15" style="12" customWidth="1"/>
    <col min="8" max="8" width="9.5703125" style="12" customWidth="1"/>
    <col min="9" max="9" width="11.140625" style="12" customWidth="1"/>
    <col min="10" max="10" width="12.7109375" style="12" customWidth="1"/>
    <col min="11" max="11" width="11.5703125" style="12" bestFit="1" customWidth="1"/>
    <col min="12" max="12" width="12.42578125" style="12" customWidth="1"/>
    <col min="13" max="13" width="12.7109375" style="12" customWidth="1"/>
    <col min="14" max="14" width="11.140625" style="12" bestFit="1" customWidth="1"/>
    <col min="15" max="15" width="22.140625" style="12" customWidth="1"/>
    <col min="16" max="16" width="13.140625" style="12" customWidth="1"/>
    <col min="17" max="16384" width="8.85546875" style="12"/>
  </cols>
  <sheetData>
    <row r="1" spans="1:16" x14ac:dyDescent="0.25">
      <c r="A1" s="10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6" x14ac:dyDescent="0.25">
      <c r="A2" s="11"/>
      <c r="B2" s="11"/>
      <c r="C2" s="11"/>
      <c r="D2" s="11"/>
      <c r="E2" s="90" t="s">
        <v>10</v>
      </c>
      <c r="F2" s="90"/>
      <c r="G2" s="90"/>
      <c r="H2" s="90"/>
      <c r="I2" s="90"/>
      <c r="J2" s="90"/>
      <c r="K2" s="90"/>
      <c r="L2" s="90"/>
      <c r="M2" s="90"/>
      <c r="N2" s="11"/>
      <c r="O2" s="11"/>
    </row>
    <row r="3" spans="1:16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194</v>
      </c>
      <c r="H3" s="56" t="s">
        <v>55</v>
      </c>
      <c r="I3" s="56" t="s">
        <v>3</v>
      </c>
      <c r="J3" s="56" t="s">
        <v>31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</row>
    <row r="4" spans="1:16" x14ac:dyDescent="0.25">
      <c r="A4" s="58">
        <v>1</v>
      </c>
      <c r="B4" s="59" t="s">
        <v>70</v>
      </c>
      <c r="C4" s="22">
        <v>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>
        <v>3500</v>
      </c>
      <c r="K4" s="22"/>
      <c r="L4" s="22">
        <f>SUM(C4:K4)</f>
        <v>47200</v>
      </c>
      <c r="M4" s="14"/>
      <c r="N4" s="22">
        <f>L4-M4</f>
        <v>47200</v>
      </c>
      <c r="O4" s="76"/>
      <c r="P4" s="16"/>
    </row>
    <row r="5" spans="1:16" ht="15.6" customHeight="1" x14ac:dyDescent="0.25">
      <c r="A5" s="58">
        <v>2</v>
      </c>
      <c r="B5" s="59" t="s">
        <v>58</v>
      </c>
      <c r="C5" s="22">
        <v>3690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>
        <v>3500</v>
      </c>
      <c r="K5" s="22"/>
      <c r="L5" s="22">
        <f t="shared" ref="L5:L11" si="0">SUM(C5:K5)</f>
        <v>50890</v>
      </c>
      <c r="M5" s="14">
        <f>3690</f>
        <v>3690</v>
      </c>
      <c r="N5" s="22">
        <f t="shared" ref="N5:N12" si="1">L5-M5</f>
        <v>47200</v>
      </c>
      <c r="O5" s="76">
        <v>43481</v>
      </c>
      <c r="P5" s="16"/>
    </row>
    <row r="6" spans="1:16" x14ac:dyDescent="0.25">
      <c r="A6" s="58">
        <v>3</v>
      </c>
      <c r="B6" s="59" t="s">
        <v>56</v>
      </c>
      <c r="C6" s="22">
        <v>4450</v>
      </c>
      <c r="D6" s="22">
        <v>36500</v>
      </c>
      <c r="E6" s="22">
        <v>1000</v>
      </c>
      <c r="F6" s="22">
        <v>3000</v>
      </c>
      <c r="G6" s="22">
        <v>3200</v>
      </c>
      <c r="H6" s="22"/>
      <c r="I6" s="22"/>
      <c r="J6" s="22">
        <v>3500</v>
      </c>
      <c r="K6" s="22"/>
      <c r="L6" s="22">
        <f t="shared" si="0"/>
        <v>51650</v>
      </c>
      <c r="M6" s="14"/>
      <c r="N6" s="22">
        <f t="shared" si="1"/>
        <v>51650</v>
      </c>
      <c r="O6" s="76"/>
    </row>
    <row r="7" spans="1:16" x14ac:dyDescent="0.25">
      <c r="A7" s="58">
        <v>4</v>
      </c>
      <c r="B7" s="59" t="s">
        <v>59</v>
      </c>
      <c r="C7" s="22">
        <v>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>
        <v>3500</v>
      </c>
      <c r="K7" s="22"/>
      <c r="L7" s="22">
        <f t="shared" si="0"/>
        <v>47200</v>
      </c>
      <c r="M7" s="14"/>
      <c r="N7" s="22">
        <f t="shared" si="1"/>
        <v>47200</v>
      </c>
      <c r="O7" s="76"/>
    </row>
    <row r="8" spans="1:16" x14ac:dyDescent="0.25">
      <c r="A8" s="58">
        <v>5</v>
      </c>
      <c r="B8" s="59" t="s">
        <v>60</v>
      </c>
      <c r="C8" s="22">
        <v>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>
        <v>3500</v>
      </c>
      <c r="K8" s="22"/>
      <c r="L8" s="22">
        <f t="shared" si="0"/>
        <v>47200</v>
      </c>
      <c r="M8" s="14">
        <f>43000+1000</f>
        <v>44000</v>
      </c>
      <c r="N8" s="22">
        <f t="shared" si="1"/>
        <v>3200</v>
      </c>
      <c r="O8" s="76">
        <v>43472</v>
      </c>
    </row>
    <row r="9" spans="1:16" x14ac:dyDescent="0.25">
      <c r="A9" s="58">
        <v>6</v>
      </c>
      <c r="B9" s="59" t="s">
        <v>90</v>
      </c>
      <c r="C9" s="22">
        <v>21250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>
        <v>3500</v>
      </c>
      <c r="K9" s="22"/>
      <c r="L9" s="22">
        <f t="shared" si="0"/>
        <v>68450</v>
      </c>
      <c r="M9" s="14"/>
      <c r="N9" s="22">
        <f t="shared" si="1"/>
        <v>68450</v>
      </c>
      <c r="O9" s="76"/>
      <c r="P9" s="16"/>
    </row>
    <row r="10" spans="1:16" x14ac:dyDescent="0.25">
      <c r="A10" s="58">
        <v>7</v>
      </c>
      <c r="B10" s="59" t="s">
        <v>95</v>
      </c>
      <c r="C10" s="22">
        <v>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>
        <v>3500</v>
      </c>
      <c r="K10" s="22"/>
      <c r="L10" s="22">
        <f t="shared" si="0"/>
        <v>47200</v>
      </c>
      <c r="M10" s="14"/>
      <c r="N10" s="22">
        <f t="shared" si="1"/>
        <v>47200</v>
      </c>
      <c r="O10" s="76"/>
    </row>
    <row r="11" spans="1:16" ht="15.6" customHeight="1" x14ac:dyDescent="0.25">
      <c r="A11" s="58">
        <v>8</v>
      </c>
      <c r="B11" s="59" t="s">
        <v>123</v>
      </c>
      <c r="C11" s="22">
        <v>1000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>
        <v>3500</v>
      </c>
      <c r="K11" s="22"/>
      <c r="L11" s="22">
        <f t="shared" si="0"/>
        <v>48200</v>
      </c>
      <c r="M11" s="14"/>
      <c r="N11" s="22">
        <f t="shared" si="1"/>
        <v>48200</v>
      </c>
      <c r="O11" s="76"/>
    </row>
    <row r="12" spans="1:16" x14ac:dyDescent="0.25">
      <c r="A12" s="58">
        <v>9</v>
      </c>
      <c r="B12" s="59" t="s">
        <v>132</v>
      </c>
      <c r="C12" s="22">
        <v>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>
        <v>3500</v>
      </c>
      <c r="K12" s="22"/>
      <c r="L12" s="22">
        <f>SUM(C12:K12)</f>
        <v>47200</v>
      </c>
      <c r="M12" s="14"/>
      <c r="N12" s="22">
        <f t="shared" si="1"/>
        <v>47200</v>
      </c>
      <c r="O12" s="76"/>
    </row>
    <row r="13" spans="1:16" ht="15.6" customHeight="1" x14ac:dyDescent="0.25">
      <c r="A13" s="58"/>
      <c r="B13" s="59"/>
      <c r="C13" s="22">
        <f t="shared" ref="C13:M13" si="2">SUM(C4:C12)</f>
        <v>30390</v>
      </c>
      <c r="D13" s="22">
        <f t="shared" si="2"/>
        <v>328500</v>
      </c>
      <c r="E13" s="22">
        <f>SUM(E4:E12)</f>
        <v>9000</v>
      </c>
      <c r="F13" s="22">
        <f t="shared" si="2"/>
        <v>27000</v>
      </c>
      <c r="G13" s="22">
        <f t="shared" si="2"/>
        <v>28800</v>
      </c>
      <c r="H13" s="22">
        <f t="shared" si="2"/>
        <v>0</v>
      </c>
      <c r="I13" s="22">
        <f t="shared" si="2"/>
        <v>0</v>
      </c>
      <c r="J13" s="22">
        <f t="shared" si="2"/>
        <v>31500</v>
      </c>
      <c r="K13" s="22">
        <f t="shared" si="2"/>
        <v>0</v>
      </c>
      <c r="L13" s="22">
        <f t="shared" si="2"/>
        <v>455190</v>
      </c>
      <c r="M13" s="14">
        <f t="shared" si="2"/>
        <v>47690</v>
      </c>
      <c r="N13" s="22">
        <f>SUM(N4:N12)</f>
        <v>407500</v>
      </c>
      <c r="O13" s="11"/>
    </row>
    <row r="17" spans="5:15" x14ac:dyDescent="0.25">
      <c r="E17" s="12" t="s">
        <v>98</v>
      </c>
    </row>
    <row r="22" spans="5:15" x14ac:dyDescent="0.25">
      <c r="O22" s="12" t="s">
        <v>98</v>
      </c>
    </row>
  </sheetData>
  <sheetProtection algorithmName="SHA-512" hashValue="on4zTmTkSBIPcKZyNG/T6W/Us3Bu1mOfBicdbwhjryEpQb609Uvs34nyz5sDg7Eu9CpBl6/A+wTMdkPQFWGAUw==" saltValue="XRubUsy3/cEGMfMbkvDneQ==" spinCount="100000" sheet="1" objects="1" scenarios="1"/>
  <mergeCells count="1">
    <mergeCell ref="E2:M2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zoomScale="75" zoomScaleNormal="75" workbookViewId="0">
      <selection activeCell="K12" sqref="K12"/>
    </sheetView>
  </sheetViews>
  <sheetFormatPr defaultColWidth="8.85546875" defaultRowHeight="15.75" x14ac:dyDescent="0.25"/>
  <cols>
    <col min="1" max="1" width="5.5703125" style="12" bestFit="1" customWidth="1"/>
    <col min="2" max="2" width="34.7109375" style="12" customWidth="1"/>
    <col min="3" max="3" width="14.42578125" style="12" bestFit="1" customWidth="1"/>
    <col min="4" max="4" width="12.7109375" style="12" bestFit="1" customWidth="1"/>
    <col min="5" max="7" width="12.140625" style="12" customWidth="1"/>
    <col min="8" max="8" width="10.140625" style="12" customWidth="1"/>
    <col min="9" max="9" width="12.5703125" style="12" customWidth="1"/>
    <col min="10" max="10" width="10.42578125" style="12" customWidth="1"/>
    <col min="11" max="11" width="11.28515625" style="12" bestFit="1" customWidth="1"/>
    <col min="12" max="12" width="11.42578125" style="12" customWidth="1"/>
    <col min="13" max="13" width="12.7109375" style="12" bestFit="1" customWidth="1"/>
    <col min="14" max="14" width="13" style="12" bestFit="1" customWidth="1"/>
    <col min="15" max="15" width="25.28515625" style="12" customWidth="1"/>
    <col min="16" max="16" width="10.5703125" style="12" bestFit="1" customWidth="1"/>
    <col min="17" max="17" width="10.7109375" style="12" bestFit="1" customWidth="1"/>
    <col min="18" max="16384" width="8.85546875" style="12"/>
  </cols>
  <sheetData>
    <row r="1" spans="1:15" x14ac:dyDescent="0.25">
      <c r="A1" s="10" t="s">
        <v>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x14ac:dyDescent="0.25">
      <c r="A2" s="11"/>
      <c r="B2" s="11"/>
      <c r="C2" s="11"/>
      <c r="D2" s="11"/>
      <c r="E2" s="90" t="s">
        <v>10</v>
      </c>
      <c r="F2" s="90"/>
      <c r="G2" s="90"/>
      <c r="H2" s="90"/>
      <c r="I2" s="90"/>
      <c r="J2" s="90"/>
      <c r="K2" s="90"/>
      <c r="L2" s="90"/>
      <c r="M2" s="90"/>
      <c r="N2" s="11"/>
      <c r="O2" s="11"/>
    </row>
    <row r="3" spans="1:15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194</v>
      </c>
      <c r="H3" s="56" t="s">
        <v>55</v>
      </c>
      <c r="I3" s="56" t="s">
        <v>3</v>
      </c>
      <c r="J3" s="56" t="s">
        <v>31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</row>
    <row r="4" spans="1:15" x14ac:dyDescent="0.25">
      <c r="A4" s="58">
        <v>1</v>
      </c>
      <c r="B4" s="31" t="s">
        <v>11</v>
      </c>
      <c r="C4" s="22">
        <v>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>
        <v>3500</v>
      </c>
      <c r="K4" s="22"/>
      <c r="L4" s="22">
        <f>SUM(C4:K4)</f>
        <v>47200</v>
      </c>
      <c r="M4" s="14"/>
      <c r="N4" s="22">
        <f>L4-M4</f>
        <v>47200</v>
      </c>
      <c r="O4" s="76"/>
    </row>
    <row r="5" spans="1:15" x14ac:dyDescent="0.25">
      <c r="A5" s="58">
        <v>2</v>
      </c>
      <c r="B5" s="31" t="s">
        <v>12</v>
      </c>
      <c r="C5" s="22">
        <v>1000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>
        <v>3500</v>
      </c>
      <c r="K5" s="22"/>
      <c r="L5" s="22">
        <f t="shared" ref="L5:L14" si="0">SUM(C5:K5)</f>
        <v>48200</v>
      </c>
      <c r="M5" s="14">
        <f>1000</f>
        <v>1000</v>
      </c>
      <c r="N5" s="22">
        <f t="shared" ref="N5:N14" si="1">L5-M5</f>
        <v>47200</v>
      </c>
      <c r="O5" s="76">
        <v>43813</v>
      </c>
    </row>
    <row r="6" spans="1:15" x14ac:dyDescent="0.25">
      <c r="A6" s="61">
        <v>3</v>
      </c>
      <c r="B6" s="80" t="s">
        <v>13</v>
      </c>
      <c r="C6" s="48">
        <v>0</v>
      </c>
      <c r="D6" s="48">
        <v>0</v>
      </c>
      <c r="E6" s="48">
        <v>1000</v>
      </c>
      <c r="F6" s="48">
        <v>3000</v>
      </c>
      <c r="G6" s="48">
        <v>3200</v>
      </c>
      <c r="H6" s="48"/>
      <c r="I6" s="48"/>
      <c r="J6" s="48">
        <v>3500</v>
      </c>
      <c r="K6" s="48"/>
      <c r="L6" s="48">
        <f t="shared" si="0"/>
        <v>10700</v>
      </c>
      <c r="M6" s="47"/>
      <c r="N6" s="48">
        <f t="shared" si="1"/>
        <v>10700</v>
      </c>
      <c r="O6" s="79"/>
    </row>
    <row r="7" spans="1:15" x14ac:dyDescent="0.25">
      <c r="A7" s="58">
        <v>4</v>
      </c>
      <c r="B7" s="31" t="s">
        <v>14</v>
      </c>
      <c r="C7" s="22">
        <v>32400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>
        <v>3500</v>
      </c>
      <c r="K7" s="22"/>
      <c r="L7" s="22">
        <f t="shared" si="0"/>
        <v>79600</v>
      </c>
      <c r="M7" s="14">
        <f>36000</f>
        <v>36000</v>
      </c>
      <c r="N7" s="22">
        <f t="shared" si="1"/>
        <v>43600</v>
      </c>
      <c r="O7" s="76">
        <v>43473</v>
      </c>
    </row>
    <row r="8" spans="1:15" x14ac:dyDescent="0.25">
      <c r="A8" s="58">
        <v>5</v>
      </c>
      <c r="B8" s="31" t="s">
        <v>81</v>
      </c>
      <c r="C8" s="22">
        <v>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>
        <v>3500</v>
      </c>
      <c r="K8" s="22"/>
      <c r="L8" s="22">
        <f t="shared" si="0"/>
        <v>47200</v>
      </c>
      <c r="M8" s="14"/>
      <c r="N8" s="22">
        <f t="shared" si="1"/>
        <v>47200</v>
      </c>
      <c r="O8" s="76"/>
    </row>
    <row r="9" spans="1:15" ht="15.6" customHeight="1" x14ac:dyDescent="0.25">
      <c r="A9" s="58">
        <v>6</v>
      </c>
      <c r="B9" s="31" t="s">
        <v>82</v>
      </c>
      <c r="C9" s="22">
        <v>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>
        <v>3500</v>
      </c>
      <c r="K9" s="22"/>
      <c r="L9" s="22">
        <f t="shared" si="0"/>
        <v>47200</v>
      </c>
      <c r="M9" s="14"/>
      <c r="N9" s="22">
        <f t="shared" si="1"/>
        <v>47200</v>
      </c>
      <c r="O9" s="76"/>
    </row>
    <row r="10" spans="1:15" x14ac:dyDescent="0.25">
      <c r="A10" s="58">
        <v>7</v>
      </c>
      <c r="B10" s="31" t="s">
        <v>91</v>
      </c>
      <c r="C10" s="22">
        <v>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>
        <v>3500</v>
      </c>
      <c r="K10" s="22"/>
      <c r="L10" s="22">
        <f t="shared" si="0"/>
        <v>47200</v>
      </c>
      <c r="M10" s="14"/>
      <c r="N10" s="22">
        <f t="shared" si="1"/>
        <v>47200</v>
      </c>
      <c r="O10" s="76"/>
    </row>
    <row r="11" spans="1:15" x14ac:dyDescent="0.25">
      <c r="A11" s="58">
        <v>8</v>
      </c>
      <c r="B11" s="31" t="s">
        <v>112</v>
      </c>
      <c r="C11" s="22">
        <v>-2740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>
        <v>3500</v>
      </c>
      <c r="K11" s="22"/>
      <c r="L11" s="22">
        <f t="shared" si="0"/>
        <v>44460</v>
      </c>
      <c r="M11" s="14"/>
      <c r="N11" s="22">
        <f t="shared" si="1"/>
        <v>44460</v>
      </c>
      <c r="O11" s="76"/>
    </row>
    <row r="12" spans="1:15" ht="15.6" customHeight="1" x14ac:dyDescent="0.25">
      <c r="A12" s="58">
        <v>9</v>
      </c>
      <c r="B12" s="31" t="s">
        <v>131</v>
      </c>
      <c r="C12" s="22">
        <v>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>
        <v>3500</v>
      </c>
      <c r="K12" s="22">
        <v>7500</v>
      </c>
      <c r="L12" s="22">
        <f t="shared" si="0"/>
        <v>54700</v>
      </c>
      <c r="M12" s="14"/>
      <c r="N12" s="22">
        <f t="shared" si="1"/>
        <v>54700</v>
      </c>
      <c r="O12" s="76"/>
    </row>
    <row r="13" spans="1:15" x14ac:dyDescent="0.25">
      <c r="A13" s="58">
        <v>10</v>
      </c>
      <c r="B13" s="31" t="s">
        <v>159</v>
      </c>
      <c r="C13" s="22">
        <v>0</v>
      </c>
      <c r="D13" s="22">
        <v>36500</v>
      </c>
      <c r="E13" s="22">
        <v>1000</v>
      </c>
      <c r="F13" s="22">
        <v>3000</v>
      </c>
      <c r="G13" s="22">
        <v>3200</v>
      </c>
      <c r="H13" s="22"/>
      <c r="I13" s="22"/>
      <c r="J13" s="22">
        <v>3500</v>
      </c>
      <c r="K13" s="22"/>
      <c r="L13" s="22">
        <f t="shared" si="0"/>
        <v>47200</v>
      </c>
      <c r="M13" s="14"/>
      <c r="N13" s="22">
        <f t="shared" si="1"/>
        <v>47200</v>
      </c>
      <c r="O13" s="76"/>
    </row>
    <row r="14" spans="1:15" x14ac:dyDescent="0.25">
      <c r="A14" s="58">
        <v>11</v>
      </c>
      <c r="B14" s="31" t="s">
        <v>160</v>
      </c>
      <c r="C14" s="22">
        <v>0</v>
      </c>
      <c r="D14" s="22">
        <v>36500</v>
      </c>
      <c r="E14" s="22">
        <v>1000</v>
      </c>
      <c r="F14" s="22">
        <v>3000</v>
      </c>
      <c r="G14" s="22">
        <v>3200</v>
      </c>
      <c r="H14" s="22"/>
      <c r="I14" s="22"/>
      <c r="J14" s="22">
        <v>3500</v>
      </c>
      <c r="K14" s="59"/>
      <c r="L14" s="22">
        <f t="shared" si="0"/>
        <v>47200</v>
      </c>
      <c r="M14" s="14"/>
      <c r="N14" s="22">
        <f t="shared" si="1"/>
        <v>47200</v>
      </c>
      <c r="O14" s="76"/>
    </row>
    <row r="15" spans="1:15" x14ac:dyDescent="0.25">
      <c r="A15" s="58"/>
      <c r="B15" s="31" t="s">
        <v>191</v>
      </c>
      <c r="C15" s="22">
        <f>SUM(C4:C14)</f>
        <v>30660</v>
      </c>
      <c r="D15" s="22">
        <f t="shared" ref="D15:N15" si="2">SUM(D4:D14)</f>
        <v>365000</v>
      </c>
      <c r="E15" s="22">
        <f>SUM(E4:E14)</f>
        <v>11000</v>
      </c>
      <c r="F15" s="22">
        <f t="shared" si="2"/>
        <v>33000</v>
      </c>
      <c r="G15" s="22">
        <f t="shared" si="2"/>
        <v>35200</v>
      </c>
      <c r="H15" s="22">
        <f t="shared" si="2"/>
        <v>0</v>
      </c>
      <c r="I15" s="22">
        <f t="shared" si="2"/>
        <v>0</v>
      </c>
      <c r="J15" s="22">
        <f t="shared" si="2"/>
        <v>38500</v>
      </c>
      <c r="K15" s="59">
        <f t="shared" si="2"/>
        <v>7500</v>
      </c>
      <c r="L15" s="22">
        <f t="shared" si="2"/>
        <v>520860</v>
      </c>
      <c r="M15" s="14">
        <f t="shared" si="2"/>
        <v>37000</v>
      </c>
      <c r="N15" s="22">
        <f t="shared" si="2"/>
        <v>483860</v>
      </c>
      <c r="O15" s="76"/>
    </row>
    <row r="22" spans="9:9" x14ac:dyDescent="0.25">
      <c r="I22" s="12" t="s">
        <v>92</v>
      </c>
    </row>
  </sheetData>
  <sheetProtection algorithmName="SHA-512" hashValue="c4rWUdahTK4RqbzqTqPooArtL1MKYRCVbelw7Uf0l+OwyvMRu7oIhVytETTuA6Zpw0zydxDKUJP94f2Sq3dk2w==" saltValue="CKAKVGwQmvP7RBUKP3RNGQ==" spinCount="100000" sheet="1" objects="1" scenarios="1"/>
  <mergeCells count="1">
    <mergeCell ref="E2:M2"/>
  </mergeCells>
  <pageMargins left="0.7" right="0.7" top="0.75" bottom="0.75" header="0.3" footer="0.3"/>
  <pageSetup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topLeftCell="C1" zoomScale="75" zoomScaleNormal="75" workbookViewId="0">
      <selection activeCell="O11" sqref="O11"/>
    </sheetView>
  </sheetViews>
  <sheetFormatPr defaultColWidth="8.85546875" defaultRowHeight="15.75" x14ac:dyDescent="0.25"/>
  <cols>
    <col min="1" max="1" width="5.42578125" style="12" bestFit="1" customWidth="1"/>
    <col min="2" max="2" width="31" style="12" bestFit="1" customWidth="1"/>
    <col min="3" max="4" width="12.7109375" style="12" customWidth="1"/>
    <col min="5" max="7" width="11.85546875" style="12" customWidth="1"/>
    <col min="8" max="8" width="9" style="12" bestFit="1" customWidth="1"/>
    <col min="9" max="9" width="6.85546875" style="12" bestFit="1" customWidth="1"/>
    <col min="10" max="10" width="10.28515625" style="12" customWidth="1"/>
    <col min="11" max="11" width="11.28515625" style="12" bestFit="1" customWidth="1"/>
    <col min="12" max="12" width="11.140625" style="12" customWidth="1"/>
    <col min="13" max="13" width="12.28515625" style="12" customWidth="1"/>
    <col min="14" max="14" width="14.42578125" style="12" customWidth="1"/>
    <col min="15" max="15" width="26.7109375" style="12" customWidth="1"/>
    <col min="16" max="16" width="10.5703125" style="12" bestFit="1" customWidth="1"/>
    <col min="17" max="17" width="10.7109375" style="12" bestFit="1" customWidth="1"/>
    <col min="18" max="16384" width="8.85546875" style="12"/>
  </cols>
  <sheetData>
    <row r="1" spans="1:15" x14ac:dyDescent="0.25">
      <c r="A1" s="10" t="s">
        <v>36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x14ac:dyDescent="0.25">
      <c r="A2" s="11"/>
      <c r="B2" s="11"/>
      <c r="C2" s="11"/>
      <c r="D2" s="90" t="s">
        <v>10</v>
      </c>
      <c r="E2" s="90"/>
      <c r="F2" s="90"/>
      <c r="G2" s="90"/>
      <c r="H2" s="90"/>
      <c r="I2" s="90"/>
      <c r="J2" s="90"/>
      <c r="K2" s="90"/>
      <c r="L2" s="90"/>
      <c r="M2" s="11"/>
      <c r="N2" s="11"/>
      <c r="O2" s="11"/>
    </row>
    <row r="3" spans="1:15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194</v>
      </c>
      <c r="H3" s="56" t="s">
        <v>55</v>
      </c>
      <c r="I3" s="56" t="s">
        <v>3</v>
      </c>
      <c r="J3" s="56" t="s">
        <v>31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</row>
    <row r="4" spans="1:15" ht="15.6" customHeight="1" x14ac:dyDescent="0.25">
      <c r="A4" s="58">
        <v>1</v>
      </c>
      <c r="B4" s="59" t="s">
        <v>15</v>
      </c>
      <c r="C4" s="22">
        <v>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>
        <v>3500</v>
      </c>
      <c r="K4" s="22"/>
      <c r="L4" s="22">
        <f>SUM(C4:K4)</f>
        <v>47200</v>
      </c>
      <c r="M4" s="14">
        <f>24000+23200</f>
        <v>47200</v>
      </c>
      <c r="N4" s="22">
        <f>L4-M4</f>
        <v>0</v>
      </c>
      <c r="O4" s="13" t="s">
        <v>209</v>
      </c>
    </row>
    <row r="5" spans="1:15" x14ac:dyDescent="0.25">
      <c r="A5" s="58">
        <v>2</v>
      </c>
      <c r="B5" s="59" t="s">
        <v>16</v>
      </c>
      <c r="C5" s="22">
        <v>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>
        <v>3500</v>
      </c>
      <c r="K5" s="22"/>
      <c r="L5" s="22">
        <f t="shared" ref="L5:L15" si="0">SUM(C5:K5)</f>
        <v>47200</v>
      </c>
      <c r="M5" s="14"/>
      <c r="N5" s="22">
        <f t="shared" ref="N5:N15" si="1">L5-M5</f>
        <v>47200</v>
      </c>
      <c r="O5" s="15"/>
    </row>
    <row r="6" spans="1:15" x14ac:dyDescent="0.25">
      <c r="A6" s="58">
        <v>3</v>
      </c>
      <c r="B6" s="59" t="s">
        <v>17</v>
      </c>
      <c r="C6" s="22">
        <v>1000</v>
      </c>
      <c r="D6" s="22">
        <v>36500</v>
      </c>
      <c r="E6" s="22">
        <v>1000</v>
      </c>
      <c r="F6" s="22">
        <v>3000</v>
      </c>
      <c r="G6" s="22">
        <v>3200</v>
      </c>
      <c r="H6" s="22"/>
      <c r="I6" s="22"/>
      <c r="J6" s="22">
        <v>3500</v>
      </c>
      <c r="K6" s="22"/>
      <c r="L6" s="22">
        <f t="shared" si="0"/>
        <v>48200</v>
      </c>
      <c r="M6" s="14">
        <f>46200+1000+1000</f>
        <v>48200</v>
      </c>
      <c r="N6" s="22">
        <f t="shared" si="1"/>
        <v>0</v>
      </c>
      <c r="O6" s="15" t="s">
        <v>207</v>
      </c>
    </row>
    <row r="7" spans="1:15" x14ac:dyDescent="0.25">
      <c r="A7" s="58">
        <v>4</v>
      </c>
      <c r="B7" s="59" t="s">
        <v>18</v>
      </c>
      <c r="C7" s="22">
        <v>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>
        <v>3500</v>
      </c>
      <c r="K7" s="22"/>
      <c r="L7" s="22">
        <f t="shared" si="0"/>
        <v>47200</v>
      </c>
      <c r="M7" s="14"/>
      <c r="N7" s="22">
        <f t="shared" si="1"/>
        <v>47200</v>
      </c>
      <c r="O7" s="15"/>
    </row>
    <row r="8" spans="1:15" x14ac:dyDescent="0.25">
      <c r="A8" s="58">
        <v>5</v>
      </c>
      <c r="B8" s="59" t="s">
        <v>19</v>
      </c>
      <c r="C8" s="22">
        <v>8810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>
        <v>3500</v>
      </c>
      <c r="K8" s="22"/>
      <c r="L8" s="22">
        <f t="shared" si="0"/>
        <v>56010</v>
      </c>
      <c r="M8" s="14">
        <f>8810+20250+26950</f>
        <v>56010</v>
      </c>
      <c r="N8" s="22">
        <f t="shared" si="1"/>
        <v>0</v>
      </c>
      <c r="O8" s="15" t="s">
        <v>208</v>
      </c>
    </row>
    <row r="9" spans="1:15" ht="15.6" customHeight="1" x14ac:dyDescent="0.25">
      <c r="A9" s="58">
        <v>6</v>
      </c>
      <c r="B9" s="59" t="s">
        <v>20</v>
      </c>
      <c r="C9" s="22">
        <v>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>
        <v>3500</v>
      </c>
      <c r="K9" s="22"/>
      <c r="L9" s="22">
        <f t="shared" si="0"/>
        <v>47200</v>
      </c>
      <c r="M9" s="14">
        <f>47200</f>
        <v>47200</v>
      </c>
      <c r="N9" s="22">
        <f t="shared" si="1"/>
        <v>0</v>
      </c>
      <c r="O9" s="15">
        <v>43474</v>
      </c>
    </row>
    <row r="10" spans="1:15" x14ac:dyDescent="0.25">
      <c r="A10" s="58">
        <v>7</v>
      </c>
      <c r="B10" s="59" t="s">
        <v>111</v>
      </c>
      <c r="C10" s="22">
        <v>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>
        <v>3500</v>
      </c>
      <c r="K10" s="22"/>
      <c r="L10" s="22">
        <f t="shared" si="0"/>
        <v>47200</v>
      </c>
      <c r="M10" s="14">
        <f>26800</f>
        <v>26800</v>
      </c>
      <c r="N10" s="22">
        <f t="shared" si="1"/>
        <v>20400</v>
      </c>
      <c r="O10" s="15">
        <v>43480</v>
      </c>
    </row>
    <row r="11" spans="1:15" x14ac:dyDescent="0.25">
      <c r="A11" s="58">
        <v>8</v>
      </c>
      <c r="B11" s="59" t="s">
        <v>21</v>
      </c>
      <c r="C11" s="22">
        <v>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>
        <v>3500</v>
      </c>
      <c r="K11" s="22"/>
      <c r="L11" s="22">
        <f t="shared" si="0"/>
        <v>47200</v>
      </c>
      <c r="M11" s="14"/>
      <c r="N11" s="22">
        <f t="shared" si="1"/>
        <v>47200</v>
      </c>
      <c r="O11" s="15"/>
    </row>
    <row r="12" spans="1:15" ht="15.6" customHeight="1" x14ac:dyDescent="0.25">
      <c r="A12" s="58">
        <v>9</v>
      </c>
      <c r="B12" s="59" t="s">
        <v>61</v>
      </c>
      <c r="C12" s="22">
        <v>2810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>
        <v>3500</v>
      </c>
      <c r="K12" s="22"/>
      <c r="L12" s="22">
        <f t="shared" si="0"/>
        <v>50010</v>
      </c>
      <c r="M12" s="14">
        <f>10000</f>
        <v>10000</v>
      </c>
      <c r="N12" s="22">
        <f t="shared" si="1"/>
        <v>40010</v>
      </c>
      <c r="O12" s="15">
        <v>43432</v>
      </c>
    </row>
    <row r="13" spans="1:15" x14ac:dyDescent="0.25">
      <c r="A13" s="58">
        <v>10</v>
      </c>
      <c r="B13" s="59" t="s">
        <v>133</v>
      </c>
      <c r="C13" s="22">
        <v>0</v>
      </c>
      <c r="D13" s="22">
        <v>36500</v>
      </c>
      <c r="E13" s="22">
        <v>1000</v>
      </c>
      <c r="F13" s="22">
        <v>3000</v>
      </c>
      <c r="G13" s="22">
        <v>3200</v>
      </c>
      <c r="H13" s="22"/>
      <c r="I13" s="22"/>
      <c r="J13" s="22">
        <v>3500</v>
      </c>
      <c r="K13" s="22"/>
      <c r="L13" s="22">
        <f t="shared" si="0"/>
        <v>47200</v>
      </c>
      <c r="M13" s="14"/>
      <c r="N13" s="22">
        <f t="shared" si="1"/>
        <v>47200</v>
      </c>
      <c r="O13" s="15"/>
    </row>
    <row r="14" spans="1:15" x14ac:dyDescent="0.25">
      <c r="A14" s="58">
        <v>11</v>
      </c>
      <c r="B14" s="59" t="s">
        <v>135</v>
      </c>
      <c r="C14" s="22">
        <v>0</v>
      </c>
      <c r="D14" s="22">
        <v>36500</v>
      </c>
      <c r="E14" s="22">
        <v>1000</v>
      </c>
      <c r="F14" s="22">
        <v>3000</v>
      </c>
      <c r="G14" s="22">
        <v>3200</v>
      </c>
      <c r="H14" s="22"/>
      <c r="I14" s="22"/>
      <c r="J14" s="22">
        <v>3500</v>
      </c>
      <c r="K14" s="22"/>
      <c r="L14" s="22">
        <f t="shared" si="0"/>
        <v>47200</v>
      </c>
      <c r="M14" s="14"/>
      <c r="N14" s="22">
        <f t="shared" si="1"/>
        <v>47200</v>
      </c>
      <c r="O14" s="15"/>
    </row>
    <row r="15" spans="1:15" x14ac:dyDescent="0.25">
      <c r="A15" s="58">
        <v>12</v>
      </c>
      <c r="B15" s="59" t="s">
        <v>202</v>
      </c>
      <c r="C15" s="22">
        <v>310</v>
      </c>
      <c r="D15" s="22">
        <v>36500</v>
      </c>
      <c r="E15" s="22">
        <v>1000</v>
      </c>
      <c r="F15" s="22">
        <v>3000</v>
      </c>
      <c r="G15" s="22">
        <v>3200</v>
      </c>
      <c r="H15" s="22"/>
      <c r="I15" s="22"/>
      <c r="J15" s="22">
        <v>3500</v>
      </c>
      <c r="K15" s="22">
        <v>15000</v>
      </c>
      <c r="L15" s="22">
        <f t="shared" si="0"/>
        <v>62510</v>
      </c>
      <c r="M15" s="14"/>
      <c r="N15" s="22">
        <f t="shared" si="1"/>
        <v>62510</v>
      </c>
      <c r="O15" s="15"/>
    </row>
    <row r="16" spans="1:15" s="21" customFormat="1" ht="15.6" customHeight="1" x14ac:dyDescent="0.25">
      <c r="A16" s="66"/>
      <c r="B16" s="60" t="s">
        <v>69</v>
      </c>
      <c r="C16" s="23">
        <f t="shared" ref="C16:N16" si="2">SUM(C4:C15)</f>
        <v>12930</v>
      </c>
      <c r="D16" s="23">
        <f t="shared" si="2"/>
        <v>438000</v>
      </c>
      <c r="E16" s="23">
        <f t="shared" si="2"/>
        <v>12000</v>
      </c>
      <c r="F16" s="23">
        <f t="shared" si="2"/>
        <v>36000</v>
      </c>
      <c r="G16" s="23">
        <f t="shared" si="2"/>
        <v>38400</v>
      </c>
      <c r="H16" s="23">
        <f t="shared" si="2"/>
        <v>0</v>
      </c>
      <c r="I16" s="23">
        <f t="shared" si="2"/>
        <v>0</v>
      </c>
      <c r="J16" s="23">
        <f t="shared" si="2"/>
        <v>42000</v>
      </c>
      <c r="K16" s="23">
        <f t="shared" si="2"/>
        <v>15000</v>
      </c>
      <c r="L16" s="23">
        <f t="shared" si="2"/>
        <v>594330</v>
      </c>
      <c r="M16" s="19">
        <f t="shared" si="2"/>
        <v>235410</v>
      </c>
      <c r="N16" s="23">
        <f t="shared" si="2"/>
        <v>358920</v>
      </c>
      <c r="O16" s="20"/>
    </row>
    <row r="22" spans="9:9" x14ac:dyDescent="0.25">
      <c r="I22" s="12" t="s">
        <v>99</v>
      </c>
    </row>
  </sheetData>
  <sheetProtection algorithmName="SHA-512" hashValue="XfCNY1MXniI8FN90EJHYjAJLYSr60seEJrIN6orY1MyOJJAums15sVK8D+luBQRvOAD7hWUgEoeySuqzF0pdWQ==" saltValue="Y5bdnQ8wXx8jjxLq1WPy2A==" spinCount="100000" sheet="1" objects="1" scenarios="1"/>
  <mergeCells count="1">
    <mergeCell ref="D2:L2"/>
  </mergeCells>
  <pageMargins left="0.7" right="0.7" top="0.75" bottom="0.75" header="0.3" footer="0.3"/>
  <pageSetup orientation="landscape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Summary Page</vt:lpstr>
      <vt:lpstr>Expected income</vt:lpstr>
      <vt:lpstr>Preschool</vt:lpstr>
      <vt:lpstr>Nur 1</vt:lpstr>
      <vt:lpstr>Nur 2</vt:lpstr>
      <vt:lpstr>Pry 1</vt:lpstr>
      <vt:lpstr>Pry 2</vt:lpstr>
      <vt:lpstr>Pry 3</vt:lpstr>
      <vt:lpstr>Pry 4</vt:lpstr>
      <vt:lpstr>Pry 5</vt:lpstr>
      <vt:lpstr>JSS 1</vt:lpstr>
      <vt:lpstr>JSS 2</vt:lpstr>
      <vt:lpstr>Chart1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 Iso</dc:creator>
  <cp:lastModifiedBy>Springfield</cp:lastModifiedBy>
  <cp:lastPrinted>2006-12-31T23:16:03Z</cp:lastPrinted>
  <dcterms:created xsi:type="dcterms:W3CDTF">2014-10-16T20:20:28Z</dcterms:created>
  <dcterms:modified xsi:type="dcterms:W3CDTF">2019-01-18T12:12:02Z</dcterms:modified>
</cp:coreProperties>
</file>