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 tabRatio="871" firstSheet="1" activeTab="10"/>
  </bookViews>
  <sheets>
    <sheet name="Summary Page" sheetId="10" state="hidden" r:id="rId1"/>
    <sheet name="Expected income" sheetId="11" r:id="rId2"/>
    <sheet name="Preschool" sheetId="8" r:id="rId3"/>
    <sheet name="Nur 1" sheetId="9" r:id="rId4"/>
    <sheet name="Chart1" sheetId="12" state="hidden" r:id="rId5"/>
    <sheet name="Nur 2" sheetId="1" r:id="rId6"/>
    <sheet name="Pry 1" sheetId="2" r:id="rId7"/>
    <sheet name="Pry 2" sheetId="3" r:id="rId8"/>
    <sheet name="Pry 3" sheetId="4" r:id="rId9"/>
    <sheet name="Pry 4" sheetId="5" r:id="rId10"/>
    <sheet name="Pry 5" sheetId="6" r:id="rId11"/>
    <sheet name="Chart2" sheetId="13" state="hidden" r:id="rId12"/>
    <sheet name="JSS 1" sheetId="7" r:id="rId13"/>
    <sheet name="JSS 2" sheetId="15" r:id="rId1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6" l="1"/>
  <c r="O8" i="2"/>
  <c r="O12" i="4" l="1"/>
  <c r="M12" i="9"/>
  <c r="M14" i="6"/>
  <c r="M17" i="6"/>
  <c r="M9" i="1"/>
  <c r="M8" i="1"/>
  <c r="M18" i="1"/>
  <c r="C22" i="9" l="1"/>
  <c r="D22" i="9"/>
  <c r="E22" i="9"/>
  <c r="F22" i="9"/>
  <c r="G22" i="9"/>
  <c r="H22" i="9"/>
  <c r="I22" i="9"/>
  <c r="J22" i="9"/>
  <c r="K22" i="9"/>
  <c r="L22" i="9"/>
  <c r="M22" i="9"/>
  <c r="L21" i="9"/>
  <c r="N21" i="9" s="1"/>
  <c r="D21" i="9"/>
  <c r="F21" i="15"/>
  <c r="G21" i="15"/>
  <c r="H21" i="15"/>
  <c r="I21" i="15"/>
  <c r="J21" i="15"/>
  <c r="K21" i="15"/>
  <c r="L21" i="15"/>
  <c r="E16" i="4"/>
  <c r="F16" i="4"/>
  <c r="G16" i="4"/>
  <c r="H16" i="4"/>
  <c r="I16" i="4"/>
  <c r="J16" i="4"/>
  <c r="K16" i="4"/>
  <c r="L16" i="4"/>
  <c r="M16" i="4"/>
  <c r="N16" i="4"/>
  <c r="D14" i="3"/>
  <c r="E14" i="3"/>
  <c r="F14" i="3"/>
  <c r="G14" i="3"/>
  <c r="H14" i="3"/>
  <c r="I14" i="3"/>
  <c r="J14" i="3"/>
  <c r="K14" i="3"/>
  <c r="L14" i="3"/>
  <c r="M14" i="3"/>
  <c r="O14" i="3"/>
  <c r="C14" i="3"/>
  <c r="I14" i="2"/>
  <c r="J14" i="2"/>
  <c r="K14" i="2"/>
  <c r="E23" i="1"/>
  <c r="F23" i="1"/>
  <c r="G23" i="1"/>
  <c r="H23" i="1"/>
  <c r="I23" i="1"/>
  <c r="J23" i="1"/>
  <c r="K23" i="1"/>
  <c r="M23" i="1"/>
  <c r="D23" i="8"/>
  <c r="E23" i="8"/>
  <c r="F23" i="8"/>
  <c r="G23" i="8"/>
  <c r="H23" i="8"/>
  <c r="I23" i="8"/>
  <c r="J23" i="8"/>
  <c r="K23" i="8"/>
  <c r="M23" i="8"/>
  <c r="M13" i="9" l="1"/>
  <c r="O13" i="3"/>
  <c r="O4" i="4"/>
  <c r="M6" i="6"/>
  <c r="L6" i="7"/>
  <c r="M20" i="8"/>
  <c r="O14" i="4"/>
  <c r="N20" i="15"/>
  <c r="M18" i="8"/>
  <c r="M16" i="9"/>
  <c r="L10" i="7" l="1"/>
  <c r="M8" i="5"/>
  <c r="M11" i="8"/>
  <c r="O7" i="3"/>
  <c r="M12" i="5"/>
  <c r="M15" i="1"/>
  <c r="M15" i="5"/>
  <c r="M19" i="6"/>
  <c r="L21" i="7"/>
  <c r="L5" i="7"/>
  <c r="N14" i="15"/>
  <c r="M13" i="8" l="1"/>
  <c r="M21" i="1"/>
  <c r="M11" i="5"/>
  <c r="M10" i="5"/>
  <c r="M7" i="1"/>
  <c r="M10" i="8"/>
  <c r="M6" i="5"/>
  <c r="N10" i="15"/>
  <c r="N11" i="15"/>
  <c r="M5" i="6" l="1"/>
  <c r="N8" i="15"/>
  <c r="M9" i="5"/>
  <c r="M7" i="6"/>
  <c r="M10" i="9"/>
  <c r="L11" i="7"/>
  <c r="M8" i="9"/>
  <c r="O8" i="4" l="1"/>
  <c r="M19" i="8" l="1"/>
  <c r="M5" i="8"/>
  <c r="O13" i="2"/>
  <c r="O15" i="4"/>
  <c r="O10" i="3"/>
  <c r="C21" i="15" l="1"/>
  <c r="D21" i="15"/>
  <c r="E21" i="15"/>
  <c r="M20" i="15"/>
  <c r="O20" i="15" s="1"/>
  <c r="C16" i="4"/>
  <c r="D16" i="4"/>
  <c r="N15" i="4"/>
  <c r="P15" i="4" s="1"/>
  <c r="D14" i="2"/>
  <c r="E14" i="2"/>
  <c r="F14" i="2"/>
  <c r="G14" i="2"/>
  <c r="H14" i="2"/>
  <c r="L14" i="2"/>
  <c r="M14" i="2"/>
  <c r="N13" i="3"/>
  <c r="P13" i="3" s="1"/>
  <c r="C14" i="2"/>
  <c r="N13" i="2"/>
  <c r="P13" i="2" s="1"/>
  <c r="C23" i="8"/>
  <c r="L19" i="8"/>
  <c r="L20" i="8"/>
  <c r="N20" i="8" s="1"/>
  <c r="L21" i="8"/>
  <c r="N21" i="8" s="1"/>
  <c r="L22" i="8"/>
  <c r="N22" i="8" s="1"/>
  <c r="N19" i="8" l="1"/>
  <c r="D23" i="1"/>
  <c r="C23" i="1"/>
  <c r="L22" i="1"/>
  <c r="N22" i="1" s="1"/>
  <c r="M11" i="9" l="1"/>
  <c r="L7" i="7" l="1"/>
  <c r="L13" i="7"/>
  <c r="L14" i="7"/>
  <c r="O11" i="3" l="1"/>
  <c r="O9" i="4"/>
  <c r="M18" i="9" l="1"/>
  <c r="O4" i="3"/>
  <c r="M8" i="8"/>
  <c r="M9" i="8"/>
  <c r="L15" i="7" l="1"/>
  <c r="M14" i="8"/>
  <c r="M16" i="1" l="1"/>
  <c r="M15" i="8" l="1"/>
  <c r="M6" i="8"/>
  <c r="M9" i="6" l="1"/>
  <c r="M10" i="6"/>
  <c r="N19" i="15" l="1"/>
  <c r="L9" i="7" l="1"/>
  <c r="L8" i="7"/>
  <c r="M4" i="5" l="1"/>
  <c r="M5" i="1" l="1"/>
  <c r="O5" i="3" l="1"/>
  <c r="O11" i="2"/>
  <c r="M6" i="9"/>
  <c r="N15" i="15" l="1"/>
  <c r="M7" i="8" l="1"/>
  <c r="N16" i="15" l="1"/>
  <c r="M4" i="6"/>
  <c r="M10" i="1"/>
  <c r="O5" i="4"/>
  <c r="L4" i="7"/>
  <c r="O4" i="2"/>
  <c r="M20" i="1" l="1"/>
  <c r="M11" i="1"/>
  <c r="O10" i="2"/>
  <c r="M14" i="9"/>
  <c r="O7" i="4"/>
  <c r="O16" i="4" s="1"/>
  <c r="O6" i="2"/>
  <c r="O14" i="2" s="1"/>
  <c r="M9" i="9"/>
  <c r="N18" i="15"/>
  <c r="M20" i="9"/>
  <c r="M17" i="8"/>
  <c r="N4" i="15"/>
  <c r="M4" i="8"/>
  <c r="M11" i="6"/>
  <c r="O8" i="3"/>
  <c r="N17" i="15"/>
  <c r="M5" i="9"/>
  <c r="M15" i="6"/>
  <c r="M15" i="9"/>
  <c r="M17" i="1"/>
  <c r="N21" i="15" l="1"/>
  <c r="K15" i="7"/>
  <c r="L16" i="8"/>
  <c r="N16" i="8" s="1"/>
  <c r="L17" i="8"/>
  <c r="L18" i="8"/>
  <c r="N18" i="8" s="1"/>
  <c r="J20" i="6"/>
  <c r="C20" i="6"/>
  <c r="F20" i="6"/>
  <c r="C22" i="7"/>
  <c r="D22" i="7"/>
  <c r="E22" i="7"/>
  <c r="F22" i="7"/>
  <c r="K21" i="7"/>
  <c r="M21" i="7" s="1"/>
  <c r="H22" i="7"/>
  <c r="G22" i="7"/>
  <c r="I22" i="7"/>
  <c r="J22" i="7"/>
  <c r="L22" i="7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N20" i="9" s="1"/>
  <c r="N17" i="8" l="1"/>
  <c r="N23" i="8" s="1"/>
  <c r="L23" i="8"/>
  <c r="N4" i="1"/>
  <c r="D9" i="11"/>
  <c r="L4" i="11"/>
  <c r="K4" i="11"/>
  <c r="J4" i="11"/>
  <c r="D4" i="11"/>
  <c r="C4" i="11"/>
  <c r="G20" i="6" l="1"/>
  <c r="J5" i="11" s="1"/>
  <c r="F16" i="5"/>
  <c r="I4" i="11" s="1"/>
  <c r="G16" i="5"/>
  <c r="I5" i="11" s="1"/>
  <c r="H4" i="11"/>
  <c r="H5" i="11"/>
  <c r="G4" i="11"/>
  <c r="G5" i="11"/>
  <c r="N4" i="2"/>
  <c r="F4" i="11"/>
  <c r="F5" i="11"/>
  <c r="E4" i="11"/>
  <c r="M5" i="11" l="1"/>
  <c r="M4" i="11"/>
  <c r="L9" i="11"/>
  <c r="K9" i="11"/>
  <c r="J9" i="11"/>
  <c r="C16" i="5"/>
  <c r="I9" i="11" s="1"/>
  <c r="H9" i="11"/>
  <c r="G9" i="11"/>
  <c r="E9" i="11"/>
  <c r="M5" i="15"/>
  <c r="M6" i="15"/>
  <c r="O6" i="15" s="1"/>
  <c r="M7" i="15"/>
  <c r="O7" i="15" s="1"/>
  <c r="M8" i="15"/>
  <c r="O8" i="15" s="1"/>
  <c r="M9" i="15"/>
  <c r="O9" i="15" s="1"/>
  <c r="M10" i="15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4" i="15"/>
  <c r="O5" i="15"/>
  <c r="O10" i="15"/>
  <c r="K4" i="7"/>
  <c r="K5" i="7"/>
  <c r="K6" i="7"/>
  <c r="K7" i="7"/>
  <c r="K8" i="7"/>
  <c r="K9" i="7"/>
  <c r="K10" i="7"/>
  <c r="K11" i="7"/>
  <c r="K12" i="7"/>
  <c r="K13" i="7"/>
  <c r="K14" i="7"/>
  <c r="K16" i="7"/>
  <c r="K17" i="7"/>
  <c r="M17" i="7" s="1"/>
  <c r="K18" i="7"/>
  <c r="K19" i="7"/>
  <c r="M19" i="7" s="1"/>
  <c r="K20" i="7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4" i="5"/>
  <c r="N5" i="4"/>
  <c r="N6" i="4"/>
  <c r="N7" i="4"/>
  <c r="N8" i="4"/>
  <c r="N9" i="4"/>
  <c r="N10" i="4"/>
  <c r="N11" i="4"/>
  <c r="N12" i="4"/>
  <c r="N13" i="4"/>
  <c r="N14" i="4"/>
  <c r="N4" i="4"/>
  <c r="N4" i="3"/>
  <c r="N12" i="3"/>
  <c r="N5" i="2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P4" i="2"/>
  <c r="L21" i="1"/>
  <c r="L23" i="1" s="1"/>
  <c r="L4" i="9"/>
  <c r="L3" i="8"/>
  <c r="L4" i="8"/>
  <c r="N4" i="8" s="1"/>
  <c r="L5" i="8"/>
  <c r="N5" i="8" s="1"/>
  <c r="L6" i="8"/>
  <c r="N6" i="8" s="1"/>
  <c r="L7" i="8"/>
  <c r="N7" i="8" s="1"/>
  <c r="L8" i="8"/>
  <c r="N8" i="8" s="1"/>
  <c r="L9" i="8"/>
  <c r="N9" i="8" s="1"/>
  <c r="L10" i="8"/>
  <c r="N10" i="8" s="1"/>
  <c r="L11" i="8"/>
  <c r="N11" i="8" s="1"/>
  <c r="L12" i="8"/>
  <c r="N12" i="8" s="1"/>
  <c r="L13" i="8"/>
  <c r="N13" i="8" s="1"/>
  <c r="L14" i="8"/>
  <c r="N14" i="8" s="1"/>
  <c r="L15" i="8"/>
  <c r="N15" i="8" s="1"/>
  <c r="N5" i="3"/>
  <c r="N6" i="3"/>
  <c r="N7" i="3"/>
  <c r="N8" i="3"/>
  <c r="N9" i="3"/>
  <c r="N10" i="3"/>
  <c r="N11" i="3"/>
  <c r="N14" i="3" l="1"/>
  <c r="P14" i="2"/>
  <c r="M21" i="15"/>
  <c r="N14" i="2"/>
  <c r="O4" i="15"/>
  <c r="O21" i="15" s="1"/>
  <c r="L20" i="6"/>
  <c r="N3" i="8"/>
  <c r="M18" i="7" l="1"/>
  <c r="M11" i="7"/>
  <c r="N17" i="9" l="1"/>
  <c r="M12" i="7" l="1"/>
  <c r="M20" i="7" l="1"/>
  <c r="P5" i="3" l="1"/>
  <c r="P6" i="3"/>
  <c r="P7" i="3"/>
  <c r="P8" i="3"/>
  <c r="P9" i="3"/>
  <c r="P10" i="3"/>
  <c r="P11" i="3"/>
  <c r="P12" i="3"/>
  <c r="P4" i="3"/>
  <c r="F9" i="11"/>
  <c r="C9" i="11"/>
  <c r="N4" i="9"/>
  <c r="N9" i="9"/>
  <c r="N12" i="9"/>
  <c r="N22" i="9" s="1"/>
  <c r="N13" i="9"/>
  <c r="N14" i="9"/>
  <c r="N16" i="9"/>
  <c r="N18" i="9"/>
  <c r="N19" i="9"/>
  <c r="L6" i="11"/>
  <c r="L7" i="11"/>
  <c r="L8" i="11"/>
  <c r="L3" i="11"/>
  <c r="P14" i="3" l="1"/>
  <c r="M9" i="11"/>
  <c r="L10" i="11"/>
  <c r="L11" i="11"/>
  <c r="L12" i="11" l="1"/>
  <c r="K6" i="11" l="1"/>
  <c r="K7" i="11"/>
  <c r="K8" i="11"/>
  <c r="K11" i="11"/>
  <c r="M5" i="7"/>
  <c r="M6" i="7"/>
  <c r="M7" i="7"/>
  <c r="M8" i="7"/>
  <c r="M9" i="7"/>
  <c r="M10" i="7"/>
  <c r="M13" i="7"/>
  <c r="M14" i="7"/>
  <c r="M16" i="7"/>
  <c r="E20" i="6"/>
  <c r="J6" i="11" s="1"/>
  <c r="H20" i="6"/>
  <c r="I20" i="6"/>
  <c r="J7" i="11"/>
  <c r="K20" i="6"/>
  <c r="J8" i="11" s="1"/>
  <c r="M20" i="6"/>
  <c r="D20" i="6"/>
  <c r="J3" i="11" s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D16" i="5"/>
  <c r="I3" i="11" s="1"/>
  <c r="E16" i="5"/>
  <c r="I6" i="11" s="1"/>
  <c r="H16" i="5"/>
  <c r="I16" i="5"/>
  <c r="J16" i="5"/>
  <c r="I7" i="11" s="1"/>
  <c r="K16" i="5"/>
  <c r="I8" i="11" s="1"/>
  <c r="M16" i="5"/>
  <c r="I11" i="11" s="1"/>
  <c r="N5" i="5"/>
  <c r="N6" i="5"/>
  <c r="N7" i="5"/>
  <c r="N8" i="5"/>
  <c r="N9" i="5"/>
  <c r="N10" i="5"/>
  <c r="N11" i="5"/>
  <c r="N12" i="5"/>
  <c r="N13" i="5"/>
  <c r="N14" i="5"/>
  <c r="N15" i="5"/>
  <c r="N4" i="5"/>
  <c r="P5" i="4"/>
  <c r="P6" i="4"/>
  <c r="P7" i="4"/>
  <c r="P8" i="4"/>
  <c r="P9" i="4"/>
  <c r="P10" i="4"/>
  <c r="P11" i="4"/>
  <c r="P12" i="4"/>
  <c r="P13" i="4"/>
  <c r="H11" i="11"/>
  <c r="H6" i="11"/>
  <c r="H7" i="11"/>
  <c r="H8" i="11"/>
  <c r="H3" i="11"/>
  <c r="P4" i="4"/>
  <c r="G6" i="11"/>
  <c r="G7" i="11"/>
  <c r="G8" i="11"/>
  <c r="F11" i="11"/>
  <c r="F7" i="11"/>
  <c r="F8" i="11"/>
  <c r="F3" i="11"/>
  <c r="E6" i="11"/>
  <c r="E8" i="11"/>
  <c r="E3" i="11"/>
  <c r="N21" i="1"/>
  <c r="N23" i="1" s="1"/>
  <c r="N11" i="9"/>
  <c r="N10" i="9"/>
  <c r="N8" i="9"/>
  <c r="N7" i="9"/>
  <c r="N6" i="9"/>
  <c r="N5" i="9"/>
  <c r="N20" i="6" l="1"/>
  <c r="M7" i="11"/>
  <c r="K3" i="11"/>
  <c r="J11" i="11"/>
  <c r="M4" i="7"/>
  <c r="L16" i="5"/>
  <c r="N16" i="5"/>
  <c r="D11" i="11"/>
  <c r="N15" i="9"/>
  <c r="P14" i="4"/>
  <c r="P16" i="4" s="1"/>
  <c r="E11" i="11" l="1"/>
  <c r="G3" i="11"/>
  <c r="F6" i="11" l="1"/>
  <c r="D3" i="11" l="1"/>
  <c r="D6" i="11"/>
  <c r="D8" i="11"/>
  <c r="G11" i="11" l="1"/>
  <c r="C11" i="11" l="1"/>
  <c r="M11" i="11" l="1"/>
  <c r="C3" i="11" l="1"/>
  <c r="M3" i="11" s="1"/>
  <c r="C6" i="11"/>
  <c r="M6" i="11" s="1"/>
  <c r="C8" i="11"/>
  <c r="M8" i="11" s="1"/>
  <c r="M10" i="11" l="1"/>
  <c r="M12" i="11" s="1"/>
  <c r="G10" i="11" l="1"/>
  <c r="G12" i="11" s="1"/>
  <c r="F10" i="11"/>
  <c r="F12" i="11" s="1"/>
  <c r="D10" i="11"/>
  <c r="D12" i="11" s="1"/>
  <c r="C10" i="11"/>
  <c r="C12" i="11" s="1"/>
  <c r="K10" i="11" l="1"/>
  <c r="K12" i="11" s="1"/>
  <c r="J10" i="11"/>
  <c r="J12" i="11" s="1"/>
  <c r="I10" i="11"/>
  <c r="I12" i="11" s="1"/>
  <c r="H10" i="11"/>
  <c r="H12" i="11" s="1"/>
  <c r="E10" i="11"/>
  <c r="E12" i="11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  <c r="K22" i="7"/>
  <c r="M15" i="7"/>
  <c r="M22" i="7" s="1"/>
</calcChain>
</file>

<file path=xl/comments1.xml><?xml version="1.0" encoding="utf-8"?>
<comments xmlns="http://schemas.openxmlformats.org/spreadsheetml/2006/main">
  <authors>
    <author>tc={F324C181-EFCB-4C6F-9C84-5B6115C89DCB}</author>
  </authors>
  <commentList>
    <comment ref="D2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25% discount for 3 children</t>
        </r>
      </text>
    </comment>
  </commentList>
</comments>
</file>

<file path=xl/sharedStrings.xml><?xml version="1.0" encoding="utf-8"?>
<sst xmlns="http://schemas.openxmlformats.org/spreadsheetml/2006/main" count="412" uniqueCount="227">
  <si>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</si>
  <si>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</si>
  <si>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</si>
  <si>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</si>
  <si>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</si>
  <si>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</si>
  <si>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</si>
  <si>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</si>
  <si>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</si>
  <si>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</si>
  <si>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</si>
  <si>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</si>
  <si>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</si>
  <si>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</si>
  <si>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</si>
  <si>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</si>
  <si>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</si>
  <si>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</si>
  <si>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</si>
  <si>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</si>
  <si>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</si>
  <si>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</si>
  <si>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</si>
  <si>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</si>
  <si>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</si>
  <si>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</si>
  <si>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</si>
  <si>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</si>
  <si>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</si>
  <si>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</si>
  <si>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</si>
  <si>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</si>
  <si>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</si>
  <si>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</si>
  <si>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</si>
  <si>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</si>
  <si>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</si>
  <si>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</si>
  <si>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</si>
  <si>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</si>
  <si>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</si>
  <si>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</si>
  <si>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</si>
  <si>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</si>
  <si>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</si>
  <si>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</si>
  <si>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</si>
  <si>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</si>
  <si>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</si>
  <si>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</si>
  <si>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</si>
  <si>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</si>
  <si>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</si>
  <si>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</si>
  <si>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</si>
  <si>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</si>
  <si>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</si>
  <si>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</si>
  <si>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</si>
  <si>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</si>
  <si>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</si>
  <si>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</si>
  <si>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</si>
  <si>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</si>
  <si>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</si>
  <si>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</si>
  <si>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</si>
  <si>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</si>
  <si>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</si>
  <si>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</si>
  <si>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</si>
  <si>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</si>
  <si>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</si>
  <si>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</si>
  <si>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</si>
  <si>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</si>
  <si>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</si>
  <si>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</si>
  <si>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</si>
  <si>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</si>
  <si>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</si>
  <si>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</si>
  <si>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</si>
  <si>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</si>
  <si>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</si>
  <si>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</si>
  <si>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</si>
  <si>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</si>
  <si>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</si>
  <si>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</si>
  <si>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</si>
  <si>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</si>
  <si>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</si>
  <si>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</si>
  <si>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</si>
  <si>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</si>
  <si>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</si>
  <si>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</si>
  <si>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</si>
  <si>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</si>
  <si>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</si>
  <si>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</si>
  <si>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</si>
  <si>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</si>
  <si>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</si>
  <si>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</si>
  <si>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</si>
  <si>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</si>
  <si>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</si>
  <si>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</si>
  <si>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</si>
  <si>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</si>
  <si>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</si>
  <si>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</si>
  <si>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</si>
  <si>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</si>
  <si>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</si>
  <si>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</si>
  <si>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</si>
  <si>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</si>
  <si>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</si>
  <si>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</si>
  <si>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</si>
  <si>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</si>
  <si>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</si>
  <si>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</si>
  <si>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</si>
  <si>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</si>
  <si>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</si>
  <si>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</si>
  <si>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</si>
  <si>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</si>
  <si>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</si>
  <si>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</si>
  <si>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</si>
  <si>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</si>
  <si>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</si>
  <si>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</si>
  <si>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</si>
  <si>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Amasiah Living-Stone</t>
  </si>
  <si>
    <t>Cardinal David LivingStone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</si>
  <si>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</si>
  <si>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</si>
  <si>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</si>
  <si>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</si>
  <si>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</si>
  <si>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</si>
  <si>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</si>
  <si>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</si>
  <si>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</si>
  <si>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</si>
  <si>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</si>
  <si>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</si>
  <si>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Godswill Victor</t>
  </si>
  <si>
    <t>Favour Tamunopriye Jidechi</t>
  </si>
  <si>
    <t>Caroline Fubara Odeyh Princess</t>
  </si>
  <si>
    <t>Desmond Nemi Benson-Iwo</t>
  </si>
  <si>
    <t>Tamunodamiekaibioforice Dokubo</t>
  </si>
  <si>
    <t>Precious Oluwa Kemi</t>
  </si>
  <si>
    <t>Jesse Lawson</t>
  </si>
  <si>
    <t>Victor I.K Omughelle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</si>
  <si>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</si>
  <si>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</si>
  <si>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</si>
  <si>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</si>
  <si>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</si>
  <si>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</si>
  <si>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</si>
  <si>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</si>
  <si>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</si>
  <si>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</si>
  <si>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</si>
  <si>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</si>
  <si>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</si>
  <si>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</si>
  <si>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</si>
  <si>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</si>
  <si>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</si>
  <si>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</si>
  <si>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</si>
  <si>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</si>
  <si>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</si>
  <si>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</si>
  <si>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Ebiwanri Jasper Preye</t>
  </si>
  <si>
    <t>Isreal Ebibiete Ryan</t>
  </si>
  <si>
    <t>Evon Austeen</t>
  </si>
  <si>
    <t>Loveday Prudence</t>
  </si>
  <si>
    <t>Igbikiyemieari Trust Obelemabo-Oforiye</t>
  </si>
  <si>
    <t>Tamunoseimiebie ExcellentGod</t>
  </si>
  <si>
    <t>TOTAL</t>
  </si>
  <si>
    <t>Cultural Day</t>
  </si>
  <si>
    <t>Cultrual Day</t>
  </si>
  <si>
    <t>Book Supplement</t>
  </si>
  <si>
    <t>Praise Okosi</t>
  </si>
  <si>
    <t>Abiye Iyaye Precious</t>
  </si>
  <si>
    <t>Miracle Asonna</t>
  </si>
  <si>
    <t>Delightsom Rogbuwa</t>
  </si>
  <si>
    <t>Mavelous Rogbuwa</t>
  </si>
  <si>
    <t>Flourish George</t>
  </si>
  <si>
    <t>Victor Imabibo</t>
  </si>
  <si>
    <t>Benson Belema</t>
  </si>
  <si>
    <t>Kio-jack Olivia</t>
  </si>
  <si>
    <t>09/01/2019 07/01/2019</t>
  </si>
  <si>
    <t>04/01/2019 07/01/2019</t>
  </si>
  <si>
    <t xml:space="preserve"> 04/01/2019 14/01/2019</t>
  </si>
  <si>
    <t xml:space="preserve"> 14/12/2018 07/01/2019 </t>
  </si>
  <si>
    <t>16/01/2019 17/01/2019</t>
  </si>
  <si>
    <t>09/01/2019 15/01/2019</t>
  </si>
  <si>
    <t>06/12/2018 10/01/2019 31/012019</t>
  </si>
  <si>
    <t>Ibifubara Pollyn Stanley</t>
  </si>
  <si>
    <t>Ibifiniwari Pollyn Stanley</t>
  </si>
  <si>
    <t>Peter Chizi Ereh</t>
  </si>
  <si>
    <t>Tehela Ugwuadu</t>
  </si>
  <si>
    <t>Camila Timinieperemo</t>
  </si>
  <si>
    <t>Fluorish Solomon</t>
  </si>
  <si>
    <t>Dienye Pepple</t>
  </si>
  <si>
    <t>Cherish Solomon</t>
  </si>
  <si>
    <t>Tovia Osuonokien Brown Jim</t>
  </si>
  <si>
    <t xml:space="preserve">  Date</t>
  </si>
  <si>
    <t>14/01/2019 29/01/2019</t>
  </si>
  <si>
    <t>09/01/2019 04/02/2019</t>
  </si>
  <si>
    <t>10/01/2019 04/02/2019</t>
  </si>
  <si>
    <t>PE Kit</t>
  </si>
  <si>
    <t>Cardigan</t>
  </si>
  <si>
    <t>Solomon Richmond</t>
  </si>
  <si>
    <t>Nengi Maxwell Igbanibo</t>
  </si>
  <si>
    <t>08/02/2019 11/02/2019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</si>
</sst>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0" fontId="1" fillId="0" borderId="7" xfId="0" applyFont="1" applyBorder="1"/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3" fontId="2" fillId="0" borderId="1" xfId="0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14" fontId="2" fillId="0" borderId="0" xfId="0" applyNumberFormat="1" applyFont="1" applyProtection="1">
      <protection locked="0"/>
    </xf>
    <xf numFmtId="4" fontId="2" fillId="2" borderId="1" xfId="0" applyNumberFormat="1" applyFont="1" applyFill="1" applyBorder="1" applyProtection="1">
      <protection locked="0"/>
    </xf>
    <xf numFmtId="3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4" fontId="2" fillId="0" borderId="1" xfId="0" applyNumberFormat="1" applyFont="1" applyBorder="1" applyProtection="1"/>
    <xf numFmtId="164" fontId="3" fillId="0" borderId="1" xfId="0" applyNumberFormat="1" applyFont="1" applyBorder="1" applyProtection="1"/>
    <xf numFmtId="0" fontId="1" fillId="0" borderId="4" xfId="0" applyFont="1" applyBorder="1" applyProtection="1"/>
    <xf numFmtId="0" fontId="1" fillId="0" borderId="5" xfId="0" applyFont="1" applyBorder="1" applyProtection="1"/>
    <xf numFmtId="0" fontId="1" fillId="0" borderId="5" xfId="0" applyFont="1" applyFill="1" applyBorder="1" applyProtection="1"/>
    <xf numFmtId="0" fontId="1" fillId="0" borderId="8" xfId="0" applyFont="1" applyFill="1" applyBorder="1" applyProtection="1"/>
    <xf numFmtId="0" fontId="1" fillId="0" borderId="15" xfId="0" applyFont="1" applyFill="1" applyBorder="1" applyProtection="1"/>
    <xf numFmtId="0" fontId="1" fillId="0" borderId="9" xfId="0" applyFont="1" applyFill="1" applyBorder="1" applyProtection="1"/>
    <xf numFmtId="3" fontId="1" fillId="0" borderId="10" xfId="0" applyNumberFormat="1" applyFont="1" applyBorder="1" applyProtection="1"/>
    <xf numFmtId="0" fontId="0" fillId="0" borderId="1" xfId="0" applyBorder="1" applyProtection="1"/>
    <xf numFmtId="0" fontId="0" fillId="0" borderId="6" xfId="0" applyFont="1" applyBorder="1" applyProtection="1"/>
    <xf numFmtId="3" fontId="0" fillId="0" borderId="1" xfId="0" applyNumberFormat="1" applyFont="1" applyBorder="1" applyProtection="1"/>
    <xf numFmtId="3" fontId="0" fillId="0" borderId="2" xfId="0" applyNumberFormat="1" applyFont="1" applyBorder="1" applyProtection="1"/>
    <xf numFmtId="3" fontId="0" fillId="0" borderId="16" xfId="0" applyNumberFormat="1" applyFont="1" applyBorder="1" applyProtection="1"/>
    <xf numFmtId="0" fontId="0" fillId="0" borderId="13" xfId="0" applyFont="1" applyBorder="1" applyProtection="1"/>
    <xf numFmtId="3" fontId="0" fillId="0" borderId="7" xfId="0" applyNumberFormat="1" applyFont="1" applyBorder="1" applyProtection="1"/>
    <xf numFmtId="3" fontId="0" fillId="0" borderId="12" xfId="0" applyNumberFormat="1" applyFont="1" applyBorder="1" applyProtection="1"/>
    <xf numFmtId="3" fontId="0" fillId="0" borderId="17" xfId="0" applyNumberFormat="1" applyFont="1" applyBorder="1" applyProtection="1"/>
    <xf numFmtId="0" fontId="1" fillId="0" borderId="13" xfId="0" applyFont="1" applyFill="1" applyBorder="1" applyProtection="1"/>
    <xf numFmtId="3" fontId="1" fillId="0" borderId="7" xfId="0" applyNumberFormat="1" applyFont="1" applyBorder="1" applyProtection="1"/>
    <xf numFmtId="3" fontId="1" fillId="0" borderId="12" xfId="0" applyNumberFormat="1" applyFont="1" applyBorder="1" applyProtection="1"/>
    <xf numFmtId="3" fontId="1" fillId="0" borderId="14" xfId="0" applyNumberFormat="1" applyFont="1" applyBorder="1" applyProtection="1"/>
    <xf numFmtId="0" fontId="0" fillId="0" borderId="1" xfId="0" applyFont="1" applyFill="1" applyBorder="1" applyProtection="1"/>
    <xf numFmtId="3" fontId="4" fillId="0" borderId="1" xfId="0" applyNumberFormat="1" applyFont="1" applyBorder="1" applyProtection="1"/>
    <xf numFmtId="0" fontId="2" fillId="3" borderId="1" xfId="0" applyFont="1" applyFill="1" applyBorder="1" applyProtection="1">
      <protection locked="0"/>
    </xf>
    <xf numFmtId="164" fontId="2" fillId="3" borderId="1" xfId="0" applyNumberFormat="1" applyFont="1" applyFill="1" applyBorder="1" applyProtection="1">
      <protection locked="0"/>
    </xf>
    <xf numFmtId="164" fontId="2" fillId="3" borderId="1" xfId="0" applyNumberFormat="1" applyFont="1" applyFill="1" applyBorder="1" applyProtection="1"/>
    <xf numFmtId="14" fontId="2" fillId="3" borderId="1" xfId="0" applyNumberFormat="1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/>
    <xf numFmtId="4" fontId="0" fillId="0" borderId="1" xfId="0" applyNumberFormat="1" applyFont="1" applyBorder="1" applyProtection="1"/>
    <xf numFmtId="0" fontId="0" fillId="0" borderId="1" xfId="0" applyFont="1" applyBorder="1" applyProtection="1"/>
    <xf numFmtId="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0" fontId="3" fillId="0" borderId="1" xfId="0" applyFont="1" applyBorder="1" applyProtection="1"/>
    <xf numFmtId="4" fontId="3" fillId="0" borderId="1" xfId="0" applyNumberFormat="1" applyFont="1" applyBorder="1" applyProtection="1"/>
    <xf numFmtId="3" fontId="2" fillId="0" borderId="1" xfId="0" applyNumberFormat="1" applyFont="1" applyBorder="1" applyProtection="1"/>
    <xf numFmtId="0" fontId="2" fillId="0" borderId="1" xfId="0" applyFont="1" applyBorder="1" applyProtection="1"/>
    <xf numFmtId="0" fontId="3" fillId="0" borderId="1" xfId="0" applyFont="1" applyFill="1" applyBorder="1" applyProtection="1"/>
    <xf numFmtId="3" fontId="2" fillId="3" borderId="1" xfId="0" applyNumberFormat="1" applyFont="1" applyFill="1" applyBorder="1" applyProtection="1"/>
    <xf numFmtId="0" fontId="2" fillId="3" borderId="1" xfId="0" applyFont="1" applyFill="1" applyBorder="1" applyProtection="1"/>
    <xf numFmtId="0" fontId="2" fillId="2" borderId="1" xfId="0" applyFont="1" applyFill="1" applyBorder="1" applyProtection="1"/>
    <xf numFmtId="4" fontId="2" fillId="2" borderId="1" xfId="0" applyNumberFormat="1" applyFont="1" applyFill="1" applyBorder="1" applyProtection="1"/>
    <xf numFmtId="0" fontId="2" fillId="0" borderId="0" xfId="0" applyFont="1" applyProtection="1"/>
    <xf numFmtId="3" fontId="3" fillId="0" borderId="1" xfId="0" applyNumberFormat="1" applyFont="1" applyBorder="1" applyProtection="1"/>
    <xf numFmtId="0" fontId="3" fillId="0" borderId="1" xfId="0" applyFont="1" applyBorder="1" applyAlignment="1" applyProtection="1">
      <protection locked="0"/>
    </xf>
    <xf numFmtId="164" fontId="6" fillId="0" borderId="1" xfId="0" applyNumberFormat="1" applyFont="1" applyBorder="1" applyProtection="1">
      <protection locked="0"/>
    </xf>
    <xf numFmtId="164" fontId="0" fillId="0" borderId="1" xfId="0" applyNumberFormat="1" applyFont="1" applyBorder="1" applyProtection="1">
      <protection locked="0"/>
    </xf>
    <xf numFmtId="3" fontId="2" fillId="0" borderId="2" xfId="0" applyNumberFormat="1" applyFont="1" applyBorder="1" applyProtection="1"/>
    <xf numFmtId="0" fontId="2" fillId="0" borderId="2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4" fontId="2" fillId="0" borderId="0" xfId="0" applyNumberFormat="1" applyFont="1" applyBorder="1" applyProtection="1">
      <protection locked="0"/>
    </xf>
    <xf numFmtId="4" fontId="2" fillId="0" borderId="1" xfId="0" applyNumberFormat="1" applyFont="1" applyBorder="1" applyProtection="1">
      <protection locked="0"/>
    </xf>
    <xf numFmtId="0" fontId="2" fillId="0" borderId="11" xfId="0" applyFont="1" applyFill="1" applyBorder="1" applyProtection="1">
      <protection locked="0"/>
    </xf>
    <xf numFmtId="0" fontId="3" fillId="0" borderId="2" xfId="0" applyFont="1" applyBorder="1" applyProtection="1"/>
    <xf numFmtId="4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/>
    <xf numFmtId="0" fontId="3" fillId="0" borderId="0" xfId="0" applyFont="1" applyFill="1" applyBorder="1" applyProtection="1">
      <protection locked="0"/>
    </xf>
    <xf numFmtId="14" fontId="2" fillId="0" borderId="0" xfId="0" applyNumberFormat="1" applyFont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164" fontId="5" fillId="0" borderId="1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2" fillId="0" borderId="18" xfId="0" applyFont="1" applyBorder="1" applyProtection="1"/>
    <xf numFmtId="0" fontId="3" fillId="0" borderId="18" xfId="0" applyFont="1" applyBorder="1" applyProtection="1"/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64" fontId="7" fillId="0" borderId="1" xfId="0" applyNumberFormat="1" applyFont="1" applyBorder="1" applyProtection="1"/>
    <xf numFmtId="0" fontId="3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FC-4FF1-AA25-FB793BB1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92864"/>
        <c:axId val="83494400"/>
      </c:barChart>
      <c:catAx>
        <c:axId val="834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4400"/>
        <c:crosses val="autoZero"/>
        <c:auto val="1"/>
        <c:lblAlgn val="ctr"/>
        <c:lblOffset val="100"/>
        <c:noMultiLvlLbl val="0"/>
      </c:catAx>
      <c:valAx>
        <c:axId val="834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7-42B3-AEFD-3270D364863E}"/>
            </c:ext>
          </c:extLst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7-42B3-AEFD-3270D364863E}"/>
            </c:ext>
          </c:extLst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87-42B3-AEFD-3270D364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54304"/>
        <c:axId val="83555840"/>
      </c:barChart>
      <c:catAx>
        <c:axId val="835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5840"/>
        <c:crosses val="autoZero"/>
        <c:auto val="1"/>
        <c:lblAlgn val="ctr"/>
        <c:lblOffset val="100"/>
        <c:noMultiLvlLbl val="0"/>
      </c:catAx>
      <c:valAx>
        <c:axId val="83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1B-4267-A830-81DCE0F56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1B-4267-A830-81DCE0F56E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91B-4267-A830-81DCE0F56E4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Fee Payment</a:t>
            </a:r>
            <a:r>
              <a:rPr lang="en-GB" baseline="0"/>
              <a:t> Status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7"/>
          <c:order val="0"/>
          <c:tx>
            <c:strRef>
              <c:f>'Expected income'!$B$10</c:f>
              <c:strCache>
                <c:ptCount val="1"/>
                <c:pt idx="0">
                  <c:v>Total 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'Expected income'!$C$10:$L$10</c:f>
              <c:numCache>
                <c:formatCode>#,##0</c:formatCode>
                <c:ptCount val="10"/>
                <c:pt idx="0">
                  <c:v>851950</c:v>
                </c:pt>
                <c:pt idx="1">
                  <c:v>757090</c:v>
                </c:pt>
                <c:pt idx="2">
                  <c:v>837950</c:v>
                </c:pt>
                <c:pt idx="3">
                  <c:v>576300</c:v>
                </c:pt>
                <c:pt idx="4">
                  <c:v>509890</c:v>
                </c:pt>
                <c:pt idx="5">
                  <c:v>568060</c:v>
                </c:pt>
                <c:pt idx="6">
                  <c:v>594330</c:v>
                </c:pt>
                <c:pt idx="7">
                  <c:v>793630</c:v>
                </c:pt>
                <c:pt idx="8">
                  <c:v>990060</c:v>
                </c:pt>
                <c:pt idx="9">
                  <c:v>766270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7-B772-4332-BFC6-BBB58EA07EAD}"/>
            </c:ext>
          </c:extLst>
        </c:ser>
        <c:ser>
          <c:idx val="8"/>
          <c:order val="1"/>
          <c:tx>
            <c:strRef>
              <c:f>'Expected income'!$B$11</c:f>
              <c:strCache>
                <c:ptCount val="1"/>
                <c:pt idx="0">
                  <c:v>Total Received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'Expected income'!$C$2:$L$2</c:f>
              <c:strCache>
                <c:ptCount val="10"/>
                <c:pt idx="0">
                  <c:v>KG</c:v>
                </c:pt>
                <c:pt idx="1">
                  <c:v>Nursery 1</c:v>
                </c:pt>
                <c:pt idx="2">
                  <c:v>Nursery 2</c:v>
                </c:pt>
                <c:pt idx="3">
                  <c:v>Primary 1</c:v>
                </c:pt>
                <c:pt idx="4">
                  <c:v>Primary 2</c:v>
                </c:pt>
                <c:pt idx="5">
                  <c:v>Primary 3</c:v>
                </c:pt>
                <c:pt idx="6">
                  <c:v>Primary 4</c:v>
                </c:pt>
                <c:pt idx="7">
                  <c:v>Primary 5</c:v>
                </c:pt>
                <c:pt idx="8">
                  <c:v>JSS 1</c:v>
                </c:pt>
                <c:pt idx="9">
                  <c:v>JSS 2</c:v>
                </c:pt>
              </c:strCache>
            </c:strRef>
          </c:cat>
          <c:val>
            <c:numRef>
              <c:f>'Expected income'!$C$11:$L$11</c:f>
              <c:numCache>
                <c:formatCode>General</c:formatCode>
                <c:ptCount val="10"/>
                <c:pt idx="0">
                  <c:v>627000</c:v>
                </c:pt>
                <c:pt idx="1">
                  <c:v>475490</c:v>
                </c:pt>
                <c:pt idx="2">
                  <c:v>475490</c:v>
                </c:pt>
                <c:pt idx="3">
                  <c:v>266760</c:v>
                </c:pt>
                <c:pt idx="4">
                  <c:v>319040</c:v>
                </c:pt>
                <c:pt idx="5">
                  <c:v>314800</c:v>
                </c:pt>
                <c:pt idx="6">
                  <c:v>283210</c:v>
                </c:pt>
                <c:pt idx="7">
                  <c:v>523800</c:v>
                </c:pt>
                <c:pt idx="8">
                  <c:v>657100</c:v>
                </c:pt>
                <c:pt idx="9">
                  <c:v>473340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72-4332-BFC6-BBB58EA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05472"/>
        <c:axId val="84111360"/>
        <c:axId val="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'Expected income'!$B$3</c15:sqref>
                        </c15:formulaRef>
                      </c:ext>
                    </c:extLst>
                    <c:strCache>
                      <c:ptCount val="1"/>
                      <c:pt idx="0">
                        <c:v>Tuition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'Expected income'!$C$3:$L$3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700000</c:v>
                      </c:pt>
                      <c:pt idx="1">
                        <c:v>587250</c:v>
                      </c:pt>
                      <c:pt idx="2">
                        <c:v>630000</c:v>
                      </c:pt>
                      <c:pt idx="3">
                        <c:v>365000</c:v>
                      </c:pt>
                      <c:pt idx="4">
                        <c:v>365000</c:v>
                      </c:pt>
                      <c:pt idx="5" formatCode="#,##0.00">
                        <c:v>401500</c:v>
                      </c:pt>
                      <c:pt idx="6">
                        <c:v>438000</c:v>
                      </c:pt>
                      <c:pt idx="7">
                        <c:v>584000</c:v>
                      </c:pt>
                      <c:pt idx="8">
                        <c:v>693000</c:v>
                      </c:pt>
                      <c:pt idx="9">
                        <c:v>616000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72-4332-BFC6-BBB58EA07EA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income'!$B$4</c15:sqref>
                        </c15:formulaRef>
                      </c:ext>
                    </c:extLst>
                    <c:strCache>
                      <c:ptCount val="1"/>
                      <c:pt idx="0">
                        <c:v>Cultural Day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income'!$C$4:$L$4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60000</c:v>
                      </c:pt>
                      <c:pt idx="1">
                        <c:v>54000</c:v>
                      </c:pt>
                      <c:pt idx="2">
                        <c:v>57000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 formatCode="#,##0.00">
                        <c:v>36000</c:v>
                      </c:pt>
                      <c:pt idx="6">
                        <c:v>36000</c:v>
                      </c:pt>
                      <c:pt idx="7">
                        <c:v>48000</c:v>
                      </c:pt>
                      <c:pt idx="8">
                        <c:v>54000</c:v>
                      </c:pt>
                      <c:pt idx="9">
                        <c:v>51000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72-4332-BFC6-BBB58EA07EA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income'!$B$5</c15:sqref>
                        </c15:formulaRef>
                      </c:ext>
                    </c:extLst>
                    <c:strCache>
                      <c:ptCount val="1"/>
                      <c:pt idx="0">
                        <c:v>Book Supplement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income'!$C$5:$L$5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32000</c:v>
                      </c:pt>
                      <c:pt idx="4">
                        <c:v>32000</c:v>
                      </c:pt>
                      <c:pt idx="5" formatCode="#,##0.00">
                        <c:v>38400</c:v>
                      </c:pt>
                      <c:pt idx="6">
                        <c:v>38400</c:v>
                      </c:pt>
                      <c:pt idx="7">
                        <c:v>51200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72-4332-BFC6-BBB58EA07EA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income'!$B$6</c15:sqref>
                        </c15:formulaRef>
                      </c:ext>
                    </c:extLst>
                    <c:strCache>
                      <c:ptCount val="1"/>
                      <c:pt idx="0">
                        <c:v>PTA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income'!$C$6:$L$6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20000</c:v>
                      </c:pt>
                      <c:pt idx="1">
                        <c:v>18000</c:v>
                      </c:pt>
                      <c:pt idx="2">
                        <c:v>19000</c:v>
                      </c:pt>
                      <c:pt idx="3">
                        <c:v>10000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12000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17000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72-4332-BFC6-BBB58EA07EA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income'!$B$7</c15:sqref>
                        </c15:formulaRef>
                      </c:ext>
                    </c:extLst>
                    <c:strCache>
                      <c:ptCount val="1"/>
                      <c:pt idx="0">
                        <c:v>ICT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income'!$C$7:$L$7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 formatCode="#,##0">
                        <c:v>0</c:v>
                      </c:pt>
                      <c:pt idx="3" formatCode="#,##0">
                        <c:v>35000</c:v>
                      </c:pt>
                      <c:pt idx="4" formatCode="#,##0">
                        <c:v>35000</c:v>
                      </c:pt>
                      <c:pt idx="5" formatCode="#,##0">
                        <c:v>42000</c:v>
                      </c:pt>
                      <c:pt idx="6" formatCode="#,##0">
                        <c:v>42000</c:v>
                      </c:pt>
                      <c:pt idx="7" formatCode="#,##0">
                        <c:v>56000</c:v>
                      </c:pt>
                      <c:pt idx="8" formatCode="#,##0">
                        <c:v>63000</c:v>
                      </c:pt>
                      <c:pt idx="9" formatCode="#,##0">
                        <c:v>59500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72-4332-BFC6-BBB58EA07EA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income'!$B$8</c15:sqref>
                        </c15:formulaRef>
                      </c:ext>
                    </c:extLst>
                    <c:strCache>
                      <c:ptCount val="1"/>
                      <c:pt idx="0">
                        <c:v>School Bus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income'!$C$8:$L$8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30000</c:v>
                      </c:pt>
                      <c:pt idx="1">
                        <c:v>40000</c:v>
                      </c:pt>
                      <c:pt idx="2">
                        <c:v>45000</c:v>
                      </c:pt>
                      <c:pt idx="3">
                        <c:v>15000</c:v>
                      </c:pt>
                      <c:pt idx="4">
                        <c:v>7500</c:v>
                      </c:pt>
                      <c:pt idx="5">
                        <c:v>7500</c:v>
                      </c:pt>
                      <c:pt idx="6">
                        <c:v>15000</c:v>
                      </c:pt>
                      <c:pt idx="7">
                        <c:v>37500</c:v>
                      </c:pt>
                      <c:pt idx="8">
                        <c:v>15000</c:v>
                      </c:pt>
                      <c:pt idx="9">
                        <c:v>22500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72-4332-BFC6-BBB58EA07EA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income'!$B$9</c15:sqref>
                        </c15:formulaRef>
                      </c:ext>
                    </c:extLst>
                    <c:strCache>
                      <c:ptCount val="1"/>
                      <c:pt idx="0">
                        <c:v>Previous Debt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income'!$C$9:$L$9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41950</c:v>
                      </c:pt>
                      <c:pt idx="1">
                        <c:v>57840</c:v>
                      </c:pt>
                      <c:pt idx="2">
                        <c:v>86950</c:v>
                      </c:pt>
                      <c:pt idx="3">
                        <c:v>89300</c:v>
                      </c:pt>
                      <c:pt idx="4">
                        <c:v>30390</c:v>
                      </c:pt>
                      <c:pt idx="5">
                        <c:v>30660</c:v>
                      </c:pt>
                      <c:pt idx="6">
                        <c:v>12930</c:v>
                      </c:pt>
                      <c:pt idx="7">
                        <c:v>930</c:v>
                      </c:pt>
                      <c:pt idx="8">
                        <c:v>147060</c:v>
                      </c:pt>
                      <c:pt idx="9">
                        <c:v>270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72-4332-BFC6-BBB58EA07EA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income'!$B$12</c15:sqref>
                        </c15:formulaRef>
                      </c:ext>
                    </c:extLst>
                    <c:strCache>
                      <c:ptCount val="1"/>
                      <c:pt idx="0">
                        <c:v>Outstanding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income'!$C$2:$L$2</c15:sqref>
                        </c15:formulaRef>
                      </c:ext>
                    </c:extLst>
                    <c:strCache>
                      <c:ptCount val="10"/>
                      <c:pt idx="0">
                        <c:v>KG</c:v>
                      </c:pt>
                      <c:pt idx="1">
                        <c:v>Nursery 1</c:v>
                      </c:pt>
                      <c:pt idx="2">
                        <c:v>Nursery 2</c:v>
                      </c:pt>
                      <c:pt idx="3">
                        <c:v>Primary 1</c:v>
                      </c:pt>
                      <c:pt idx="4">
                        <c:v>Primary 2</c:v>
                      </c:pt>
                      <c:pt idx="5">
                        <c:v>Primary 3</c:v>
                      </c:pt>
                      <c:pt idx="6">
                        <c:v>Primary 4</c:v>
                      </c:pt>
                      <c:pt idx="7">
                        <c:v>Primary 5</c:v>
                      </c:pt>
                      <c:pt idx="8">
                        <c:v>JSS 1</c:v>
                      </c:pt>
                      <c:pt idx="9">
                        <c:v>JSS 2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'Expected income'!$C$12:$L$12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224950</c:v>
                      </c:pt>
                      <c:pt idx="1">
                        <c:v>320600</c:v>
                      </c:pt>
                      <c:pt idx="2">
                        <c:v>401460</c:v>
                      </c:pt>
                      <c:pt idx="3">
                        <c:v>349540</c:v>
                      </c:pt>
                      <c:pt idx="4">
                        <c:v>190850</c:v>
                      </c:pt>
                      <c:pt idx="5">
                        <c:v>304260</c:v>
                      </c:pt>
                      <c:pt idx="6">
                        <c:v>311120</c:v>
                      </c:pt>
                      <c:pt idx="7">
                        <c:v>364230</c:v>
                      </c:pt>
                      <c:pt idx="8">
                        <c:v>332960</c:v>
                      </c:pt>
                      <c:pt idx="9">
                        <c:v>292930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72-4332-BFC6-BBB58EA07EAD}"/>
                  </c:ext>
                </c:extLst>
              </c15:ser>
            </c15:filteredBarSeries>
          </c:ext>
        </c:extLst>
      </c:bar3DChart>
      <c:catAx>
        <c:axId val="841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360"/>
        <c:crosses val="autoZero"/>
        <c:auto val="1"/>
        <c:lblAlgn val="ctr"/>
        <c:lblOffset val="100"/>
        <c:noMultiLvlLbl val="0"/>
      </c:catAx>
      <c:valAx>
        <c:axId val="84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'Nur 2'!$A$1:$A$3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'Nur 2'!$A$4:$A$17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5-4490-BBDB-055145F04DCA}"/>
            </c:ext>
          </c:extLst>
        </c:ser>
        <c:ser>
          <c:idx val="1"/>
          <c:order val="1"/>
          <c:tx>
            <c:strRef>
              <c:f>'Nur 2'!$B$1:$B$3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'Nur 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5-4490-BBDB-055145F04DCA}"/>
            </c:ext>
          </c:extLst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5-4490-BBDB-055145F04DCA}"/>
            </c:ext>
          </c:extLst>
        </c:ser>
        <c:ser>
          <c:idx val="3"/>
          <c:order val="3"/>
          <c:tx>
            <c:strRef>
              <c:f>'Nur 2'!$D$1:$D$3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'Nur 2'!$D$4:$D$12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5-4490-BBDB-055145F04DCA}"/>
            </c:ext>
          </c:extLst>
        </c:ser>
        <c:ser>
          <c:idx val="4"/>
          <c:order val="4"/>
          <c:tx>
            <c:strRef>
              <c:f>'Nur 2'!$E$1:$E$3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'Nur 2'!$E$4:$E$12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5-4490-BBDB-055145F04DCA}"/>
            </c:ext>
          </c:extLst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5-4490-BBDB-055145F04DCA}"/>
            </c:ext>
          </c:extLst>
        </c:ser>
        <c:ser>
          <c:idx val="6"/>
          <c:order val="6"/>
          <c:tx>
            <c:strRef>
              <c:f>'Nur 2'!$J$1:$J$3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'Nur 2'!$J$4:$J$12</c:f>
              <c:numCache>
                <c:formatCode>[$₦-46A]\ #,##0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5-4490-BBDB-055145F04DCA}"/>
            </c:ext>
          </c:extLst>
        </c:ser>
        <c:ser>
          <c:idx val="7"/>
          <c:order val="7"/>
          <c:tx>
            <c:strRef>
              <c:f>'Nur 2'!$K$1:$K$3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'Nur 2'!$K$4:$K$12</c:f>
              <c:numCache>
                <c:formatCode>[$₦-46A]\ #,##0</c:formatCode>
                <c:ptCount val="9"/>
                <c:pt idx="6">
                  <c:v>7500</c:v>
                </c:pt>
                <c:pt idx="7">
                  <c:v>15000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5-4490-BBDB-055145F04DCA}"/>
            </c:ext>
          </c:extLst>
        </c:ser>
        <c:ser>
          <c:idx val="8"/>
          <c:order val="8"/>
          <c:tx>
            <c:strRef>
              <c:f>'Nur 2'!$L$1:$L$3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'Nur 2'!$L$4:$L$12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75000</c:v>
                </c:pt>
                <c:pt idx="2">
                  <c:v>39000</c:v>
                </c:pt>
                <c:pt idx="3">
                  <c:v>39000</c:v>
                </c:pt>
                <c:pt idx="4">
                  <c:v>39000</c:v>
                </c:pt>
                <c:pt idx="5">
                  <c:v>39000</c:v>
                </c:pt>
                <c:pt idx="6">
                  <c:v>49000</c:v>
                </c:pt>
                <c:pt idx="7">
                  <c:v>54000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5-4490-BBDB-055145F04DCA}"/>
            </c:ext>
          </c:extLst>
        </c:ser>
        <c:ser>
          <c:idx val="9"/>
          <c:order val="9"/>
          <c:tx>
            <c:strRef>
              <c:f>'Nur 2'!$M$1:$M$3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'Nur 2'!$M$4:$M$12</c:f>
              <c:numCache>
                <c:formatCode>[$₦-46A]\ #,##0</c:formatCode>
                <c:ptCount val="9"/>
                <c:pt idx="1">
                  <c:v>59050</c:v>
                </c:pt>
                <c:pt idx="3">
                  <c:v>39000</c:v>
                </c:pt>
                <c:pt idx="4">
                  <c:v>20000</c:v>
                </c:pt>
                <c:pt idx="5">
                  <c:v>20000</c:v>
                </c:pt>
                <c:pt idx="6">
                  <c:v>46500</c:v>
                </c:pt>
                <c:pt idx="7">
                  <c:v>39000</c:v>
                </c:pt>
                <c:pt idx="8">
                  <c:v>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5-4490-BBDB-055145F04DCA}"/>
            </c:ext>
          </c:extLst>
        </c:ser>
        <c:ser>
          <c:idx val="10"/>
          <c:order val="10"/>
          <c:tx>
            <c:strRef>
              <c:f>'Nur 2'!$N$1:$N$3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'Nur 2'!$N$4:$N$12</c:f>
              <c:numCache>
                <c:formatCode>[$₦-46A]\ #,##0</c:formatCode>
                <c:ptCount val="9"/>
                <c:pt idx="0">
                  <c:v>39000</c:v>
                </c:pt>
                <c:pt idx="1">
                  <c:v>15950</c:v>
                </c:pt>
                <c:pt idx="2">
                  <c:v>39000</c:v>
                </c:pt>
                <c:pt idx="3">
                  <c:v>0</c:v>
                </c:pt>
                <c:pt idx="4">
                  <c:v>19000</c:v>
                </c:pt>
                <c:pt idx="5">
                  <c:v>19000</c:v>
                </c:pt>
                <c:pt idx="6">
                  <c:v>2500</c:v>
                </c:pt>
                <c:pt idx="7">
                  <c:v>15000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5-4490-BBDB-055145F0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296448"/>
        <c:axId val="84297984"/>
      </c:barChart>
      <c:catAx>
        <c:axId val="8429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84297984"/>
        <c:crosses val="autoZero"/>
        <c:auto val="1"/>
        <c:lblAlgn val="ctr"/>
        <c:lblOffset val="100"/>
        <c:noMultiLvlLbl val="0"/>
      </c:catAx>
      <c:valAx>
        <c:axId val="84297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29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17-42D9-A5F7-117C46B54842}"/>
            </c:ext>
          </c:extLst>
        </c:ser>
        <c:ser>
          <c:idx val="1"/>
          <c:order val="1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17-42D9-A5F7-117C46B54842}"/>
            </c:ext>
          </c:extLst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17-42D9-A5F7-117C46B54842}"/>
            </c:ext>
          </c:extLst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17-42D9-A5F7-117C46B54842}"/>
            </c:ext>
          </c:extLst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F17-42D9-A5F7-117C46B54842}"/>
            </c:ext>
          </c:extLst>
        </c:ser>
        <c:ser>
          <c:idx val="5"/>
          <c:order val="5"/>
          <c:tx>
            <c:strRef>
              <c:f>'JSS 1'!$H$1:$H$2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1'!$H$3:$H$5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F17-42D9-A5F7-117C46B54842}"/>
            </c:ext>
          </c:extLst>
        </c:ser>
        <c:ser>
          <c:idx val="6"/>
          <c:order val="6"/>
          <c:tx>
            <c:strRef>
              <c:f>'JSS 1'!$J$1:$J$2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17-42D9-A5F7-117C46B54842}"/>
            </c:ext>
          </c:extLst>
        </c:ser>
        <c:ser>
          <c:idx val="7"/>
          <c:order val="7"/>
          <c:tx>
            <c:strRef>
              <c:f>'JSS 1'!$K$1:$K$2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135740</c:v>
                </c:pt>
                <c:pt idx="2">
                  <c:v>46000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F17-42D9-A5F7-117C46B54842}"/>
            </c:ext>
          </c:extLst>
        </c:ser>
        <c:ser>
          <c:idx val="8"/>
          <c:order val="8"/>
          <c:tx>
            <c:strRef>
              <c:f>'JSS 1'!$L$1:$L$2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133100</c:v>
                </c:pt>
                <c:pt idx="2">
                  <c:v>24000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F17-42D9-A5F7-117C46B54842}"/>
            </c:ext>
          </c:extLst>
        </c:ser>
        <c:ser>
          <c:idx val="9"/>
          <c:order val="9"/>
          <c:tx>
            <c:strRef>
              <c:f>'JSS 1'!$M$1:$M$2</c:f>
              <c:strCache>
                <c:ptCount val="1"/>
                <c:pt idx="0">
                  <c:v>JSS 1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1'!$M$3:$M$5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2640</c:v>
                </c:pt>
                <c:pt idx="2">
                  <c:v>22000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F17-42D9-A5F7-117C46B54842}"/>
            </c:ext>
          </c:extLst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F17-42D9-A5F7-117C46B54842}"/>
            </c:ext>
          </c:extLst>
        </c:ser>
        <c:ser>
          <c:idx val="11"/>
          <c:order val="11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F17-42D9-A5F7-117C46B54842}"/>
            </c:ext>
          </c:extLst>
        </c:ser>
        <c:ser>
          <c:idx val="12"/>
          <c:order val="12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F17-42D9-A5F7-117C46B54842}"/>
            </c:ext>
          </c:extLst>
        </c:ser>
        <c:ser>
          <c:idx val="13"/>
          <c:order val="13"/>
          <c:tx>
            <c:strRef>
              <c:f>'JSS 1'!$P$1:$P$1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F17-42D9-A5F7-117C46B5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55168"/>
        <c:axId val="86061056"/>
      </c:barChart>
      <c:catAx>
        <c:axId val="8605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61056"/>
        <c:crosses val="autoZero"/>
        <c:auto val="1"/>
        <c:lblAlgn val="ctr"/>
        <c:lblOffset val="100"/>
        <c:noMultiLvlLbl val="0"/>
      </c:catAx>
      <c:valAx>
        <c:axId val="860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5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33337</xdr:rowOff>
    </xdr:from>
    <xdr:to>
      <xdr:col>6</xdr:col>
      <xdr:colOff>561975</xdr:colOff>
      <xdr:row>27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8E276BE-F6A7-4F43-A2E2-E204E68E3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u18011 - Enareasi Bassey" id="{8725FAAD-EDCA-4BED-ACCF-B2261816AB16}" userId="stu18011 - Enareasi Bass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19-02-11T11:19:39.90" personId="{8725FAAD-EDCA-4BED-ACCF-B2261816AB16}" id="{F324C181-EFCB-4C6F-9C84-5B6115C89DCB}">
    <text>25% discount for 3 children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'Nur 2'!#REF!</f>
        <v>#REF!</v>
      </c>
      <c r="F4" s="2">
        <f>'Nur 2'!D10</f>
        <v>35000</v>
      </c>
      <c r="G4" s="2">
        <f>'Nur 2'!E10</f>
        <v>1000</v>
      </c>
      <c r="H4" s="2" t="e">
        <f>'Nur 2'!#REF!</f>
        <v>#REF!</v>
      </c>
      <c r="I4" s="2">
        <f>'Nur 2'!J10</f>
        <v>0</v>
      </c>
      <c r="J4" s="2"/>
      <c r="K4" s="2">
        <f>'Nur 2'!K10</f>
        <v>7500</v>
      </c>
      <c r="L4" s="2">
        <f>'Nur 2'!L10</f>
        <v>49000</v>
      </c>
      <c r="M4" s="2">
        <f>'Nur 2'!M10</f>
        <v>46500</v>
      </c>
      <c r="N4" s="2">
        <f>'Nur 2'!N10</f>
        <v>2500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'Pry 1'!#REF!</f>
        <v>#REF!</v>
      </c>
      <c r="F5" s="3" t="e">
        <f>'Pry 1'!#REF!</f>
        <v>#REF!</v>
      </c>
      <c r="G5" s="3" t="e">
        <f>'Pry 1'!#REF!</f>
        <v>#REF!</v>
      </c>
      <c r="H5" s="3" t="e">
        <f>'Pry 1'!#REF!</f>
        <v>#REF!</v>
      </c>
      <c r="I5" s="3" t="e">
        <f>'Pry 1'!#REF!</f>
        <v>#REF!</v>
      </c>
      <c r="J5" s="3"/>
      <c r="K5" s="3" t="e">
        <f>'Pry 1'!#REF!</f>
        <v>#REF!</v>
      </c>
      <c r="L5" s="3" t="e">
        <f>'Pry 1'!#REF!</f>
        <v>#REF!</v>
      </c>
      <c r="M5" s="3" t="e">
        <f>'Pry 1'!#REF!</f>
        <v>#REF!</v>
      </c>
      <c r="N5" s="3" t="e">
        <f>'Pry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'Pry 2'!#REF!</f>
        <v>#REF!</v>
      </c>
      <c r="F6" s="3" t="e">
        <f>'Pry 2'!#REF!</f>
        <v>#REF!</v>
      </c>
      <c r="G6" s="3" t="e">
        <f>'Pry 2'!#REF!</f>
        <v>#REF!</v>
      </c>
      <c r="H6" s="3" t="e">
        <f>'Pry 2'!#REF!</f>
        <v>#REF!</v>
      </c>
      <c r="I6" s="3" t="e">
        <f>'Pry 2'!#REF!</f>
        <v>#REF!</v>
      </c>
      <c r="J6" s="3"/>
      <c r="K6" s="3" t="e">
        <f>'Pry 2'!#REF!</f>
        <v>#REF!</v>
      </c>
      <c r="L6" s="3" t="e">
        <f>'Pry 2'!#REF!</f>
        <v>#REF!</v>
      </c>
      <c r="M6" s="3" t="e">
        <f>'Pry 2'!#REF!</f>
        <v>#REF!</v>
      </c>
      <c r="N6" s="3" t="e">
        <f>'Pry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'Pry 3'!#REF!</f>
        <v>#REF!</v>
      </c>
      <c r="F7" s="3" t="e">
        <f>'Pry 3'!#REF!</f>
        <v>#REF!</v>
      </c>
      <c r="G7" s="3" t="e">
        <f>'Pry 3'!#REF!</f>
        <v>#REF!</v>
      </c>
      <c r="H7" s="3" t="e">
        <f>'Pry 3'!#REF!</f>
        <v>#REF!</v>
      </c>
      <c r="I7" s="3" t="e">
        <f>'Pry 3'!#REF!</f>
        <v>#REF!</v>
      </c>
      <c r="J7" s="3" t="e">
        <f>'Pry 3'!#REF!</f>
        <v>#REF!</v>
      </c>
      <c r="K7" s="3" t="e">
        <f>'Pry 3'!#REF!</f>
        <v>#REF!</v>
      </c>
      <c r="L7" s="3" t="e">
        <f>'Pry 3'!#REF!</f>
        <v>#REF!</v>
      </c>
      <c r="M7" s="3" t="e">
        <f>'Pry 3'!#REF!</f>
        <v>#REF!</v>
      </c>
      <c r="N7" s="3" t="e">
        <f>'Pry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'Pry 4'!#REF!</f>
        <v>#REF!</v>
      </c>
      <c r="F8" s="3" t="e">
        <f>'Pry 4'!#REF!</f>
        <v>#REF!</v>
      </c>
      <c r="G8" s="3" t="e">
        <f>'Pry 4'!#REF!</f>
        <v>#REF!</v>
      </c>
      <c r="H8" s="3" t="e">
        <f>'Pry 4'!#REF!</f>
        <v>#REF!</v>
      </c>
      <c r="I8" s="3" t="e">
        <f>'Pry 4'!#REF!</f>
        <v>#REF!</v>
      </c>
      <c r="J8" s="3" t="e">
        <f>'Pry 4'!#REF!</f>
        <v>#REF!</v>
      </c>
      <c r="K8" s="3" t="e">
        <f>'Pry 4'!#REF!</f>
        <v>#REF!</v>
      </c>
      <c r="L8" s="3" t="e">
        <f>'Pry 4'!#REF!</f>
        <v>#REF!</v>
      </c>
      <c r="M8" s="3" t="e">
        <f>'Pry 4'!#REF!</f>
        <v>#REF!</v>
      </c>
      <c r="N8" s="3" t="e">
        <f>'Pry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 t="e">
        <f>'Pry 5'!#REF!</f>
        <v>#REF!</v>
      </c>
      <c r="F9" s="3">
        <f>'Pry 5'!D15</f>
        <v>36500</v>
      </c>
      <c r="G9" s="3">
        <f>'Pry 5'!E15</f>
        <v>1000</v>
      </c>
      <c r="H9" s="3">
        <f>'Pry 5'!I15</f>
        <v>0</v>
      </c>
      <c r="I9" s="3" t="e">
        <f>'Pry 5'!#REF!</f>
        <v>#REF!</v>
      </c>
      <c r="J9" s="3">
        <f>'Pry 5'!J15</f>
        <v>3500</v>
      </c>
      <c r="K9" s="3">
        <f>'Pry 5'!K15</f>
        <v>15000</v>
      </c>
      <c r="L9" s="3">
        <f>'Pry 5'!L15</f>
        <v>62200</v>
      </c>
      <c r="M9" s="3">
        <f>'Pry 5'!M15</f>
        <v>62200</v>
      </c>
      <c r="N9" s="3">
        <f>'Pry 5'!N15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'Nur 1'!#REF!</f>
        <v>#REF!</v>
      </c>
      <c r="F12" s="3">
        <f>'Nur 1'!D6</f>
        <v>35000</v>
      </c>
      <c r="G12" s="3">
        <f>'Nur 1'!E6</f>
        <v>1000</v>
      </c>
      <c r="H12" s="3" t="e">
        <f>'Nur 1'!#REF!</f>
        <v>#REF!</v>
      </c>
      <c r="I12" s="3" t="e">
        <f>'Nur 1'!#REF!</f>
        <v>#REF!</v>
      </c>
      <c r="J12" s="3" t="e">
        <f>'Nur 1'!#REF!</f>
        <v>#REF!</v>
      </c>
      <c r="K12" s="3">
        <f>'Nur 1'!K6</f>
        <v>15000</v>
      </c>
      <c r="L12" s="3">
        <f>'Nur 1'!L6</f>
        <v>54000</v>
      </c>
      <c r="M12" s="3">
        <f>'Nur 1'!M6</f>
        <v>44000</v>
      </c>
      <c r="N12" s="3">
        <f>'Nur 1'!N6</f>
        <v>10000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'Nur 2'!#REF!*D35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'Pry 1'!R5*D36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'Pry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'Pry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'Pry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'Pry 5'!Q5*D40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'Nur 1'!#REF!*D43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zoomScale="75" zoomScaleNormal="75" workbookViewId="0">
      <selection activeCell="N18" sqref="N18"/>
    </sheetView>
  </sheetViews>
  <sheetFormatPr defaultColWidth="8.85546875" defaultRowHeight="15.75" x14ac:dyDescent="0.25"/>
  <cols>
    <col min="1" max="1" width="5.42578125" style="12" bestFit="1" customWidth="1"/>
    <col min="2" max="2" width="35.140625" style="12" customWidth="1"/>
    <col min="3" max="4" width="11.85546875" style="12" customWidth="1"/>
    <col min="5" max="7" width="11.7109375" style="12" customWidth="1"/>
    <col min="8" max="8" width="10.85546875" style="12" customWidth="1"/>
    <col min="9" max="9" width="13.140625" style="12" customWidth="1"/>
    <col min="10" max="10" width="12.140625" style="12" customWidth="1"/>
    <col min="11" max="11" width="11.28515625" style="12" bestFit="1" customWidth="1"/>
    <col min="12" max="12" width="12.7109375" style="12" customWidth="1"/>
    <col min="13" max="13" width="13" style="12" customWidth="1"/>
    <col min="14" max="14" width="18.7109375" style="12" customWidth="1"/>
    <col min="15" max="15" width="32.85546875" style="12" customWidth="1"/>
    <col min="16" max="16" width="14" style="12" customWidth="1"/>
    <col min="17" max="17" width="10.7109375" style="12" bestFit="1" customWidth="1"/>
    <col min="18" max="16384" width="8.85546875" style="12"/>
  </cols>
  <sheetData>
    <row r="1" spans="1:18" x14ac:dyDescent="0.25">
      <c r="A1" s="10" t="s">
        <v>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71"/>
      <c r="O1" s="72"/>
      <c r="P1" s="72"/>
      <c r="Q1" s="72"/>
      <c r="R1" s="72"/>
    </row>
    <row r="2" spans="1:18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  <c r="P2" s="72"/>
      <c r="Q2" s="73"/>
      <c r="R2" s="73"/>
    </row>
    <row r="3" spans="1:18" x14ac:dyDescent="0.25">
      <c r="A3" s="10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192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  <c r="P3" s="73"/>
      <c r="Q3" s="74"/>
      <c r="R3" s="72"/>
    </row>
    <row r="4" spans="1:18" ht="15.6" customHeight="1" x14ac:dyDescent="0.25">
      <c r="A4" s="13">
        <v>1</v>
      </c>
      <c r="B4" s="59" t="s">
        <v>23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46200+1000</f>
        <v>47200</v>
      </c>
      <c r="N4" s="22">
        <f>L4-M4</f>
        <v>0</v>
      </c>
      <c r="O4" s="15">
        <v>43479</v>
      </c>
      <c r="P4" s="73"/>
      <c r="Q4" s="74"/>
      <c r="R4" s="72"/>
    </row>
    <row r="5" spans="1:18" x14ac:dyDescent="0.25">
      <c r="A5" s="13">
        <v>2</v>
      </c>
      <c r="B5" s="59" t="s">
        <v>24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>SUM(C5:K5)</f>
        <v>47200</v>
      </c>
      <c r="M5" s="14">
        <f>43000+1000</f>
        <v>44000</v>
      </c>
      <c r="N5" s="22">
        <f t="shared" ref="N5:N19" si="0">L5-M5</f>
        <v>3200</v>
      </c>
      <c r="O5" s="15">
        <v>43473</v>
      </c>
      <c r="P5" s="80"/>
      <c r="Q5" s="74"/>
      <c r="R5" s="72"/>
    </row>
    <row r="6" spans="1:18" x14ac:dyDescent="0.25">
      <c r="A6" s="13">
        <v>3</v>
      </c>
      <c r="B6" s="59" t="s">
        <v>25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ref="L6:L19" si="1">SUM(C6:K6)</f>
        <v>47200</v>
      </c>
      <c r="M6" s="14">
        <f>47200</f>
        <v>47200</v>
      </c>
      <c r="N6" s="22">
        <f t="shared" si="0"/>
        <v>0</v>
      </c>
      <c r="O6" s="15"/>
      <c r="P6" s="73"/>
      <c r="Q6" s="74"/>
      <c r="R6" s="72"/>
    </row>
    <row r="7" spans="1:18" x14ac:dyDescent="0.25">
      <c r="A7" s="13">
        <v>4</v>
      </c>
      <c r="B7" s="59" t="s">
        <v>26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1"/>
        <v>47200</v>
      </c>
      <c r="M7" s="14">
        <f>47200</f>
        <v>47200</v>
      </c>
      <c r="N7" s="22">
        <f t="shared" si="0"/>
        <v>0</v>
      </c>
      <c r="O7" s="15">
        <v>43474</v>
      </c>
      <c r="P7" s="73"/>
      <c r="Q7" s="74"/>
      <c r="R7" s="74"/>
    </row>
    <row r="8" spans="1:18" ht="15.6" customHeight="1" x14ac:dyDescent="0.25">
      <c r="A8" s="13">
        <v>5</v>
      </c>
      <c r="B8" s="59" t="s">
        <v>27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1"/>
        <v>47200</v>
      </c>
      <c r="M8" s="14"/>
      <c r="N8" s="22">
        <f t="shared" si="0"/>
        <v>47200</v>
      </c>
      <c r="O8" s="15"/>
      <c r="P8" s="81"/>
      <c r="Q8" s="72"/>
      <c r="R8" s="74"/>
    </row>
    <row r="9" spans="1:18" x14ac:dyDescent="0.25">
      <c r="A9" s="13">
        <v>6</v>
      </c>
      <c r="B9" s="59" t="s">
        <v>28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1"/>
        <v>47200</v>
      </c>
      <c r="M9" s="14">
        <f>20000</f>
        <v>20000</v>
      </c>
      <c r="N9" s="22">
        <f t="shared" si="0"/>
        <v>27200</v>
      </c>
      <c r="O9" s="15">
        <v>43487</v>
      </c>
      <c r="P9" s="72"/>
      <c r="Q9" s="74"/>
      <c r="R9" s="74"/>
    </row>
    <row r="10" spans="1:18" x14ac:dyDescent="0.25">
      <c r="A10" s="13">
        <v>7</v>
      </c>
      <c r="B10" s="59" t="s">
        <v>29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1"/>
        <v>47200</v>
      </c>
      <c r="M10" s="14">
        <f>46200+1000</f>
        <v>47200</v>
      </c>
      <c r="N10" s="22">
        <f t="shared" si="0"/>
        <v>0</v>
      </c>
      <c r="O10" s="15">
        <v>43488</v>
      </c>
      <c r="P10" s="72"/>
      <c r="Q10" s="72"/>
      <c r="R10" s="72"/>
    </row>
    <row r="11" spans="1:18" x14ac:dyDescent="0.25">
      <c r="A11" s="13">
        <v>8</v>
      </c>
      <c r="B11" s="59" t="s">
        <v>57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1"/>
        <v>47200</v>
      </c>
      <c r="M11" s="14">
        <f>47200</f>
        <v>47200</v>
      </c>
      <c r="N11" s="22">
        <f t="shared" si="0"/>
        <v>0</v>
      </c>
      <c r="O11" s="15">
        <v>43472</v>
      </c>
      <c r="P11" s="80"/>
      <c r="Q11" s="72"/>
      <c r="R11" s="72"/>
    </row>
    <row r="12" spans="1:18" x14ac:dyDescent="0.25">
      <c r="A12" s="13">
        <v>9</v>
      </c>
      <c r="B12" s="59" t="s">
        <v>79</v>
      </c>
      <c r="C12" s="22">
        <v>930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>
        <v>7500</v>
      </c>
      <c r="L12" s="22">
        <f t="shared" si="1"/>
        <v>55630</v>
      </c>
      <c r="M12" s="14"/>
      <c r="N12" s="22">
        <f>L12-M12</f>
        <v>55630</v>
      </c>
      <c r="O12" s="15"/>
      <c r="P12" s="72"/>
      <c r="Q12" s="74"/>
      <c r="R12" s="72"/>
    </row>
    <row r="13" spans="1:18" x14ac:dyDescent="0.25">
      <c r="A13" s="13">
        <v>10</v>
      </c>
      <c r="B13" s="59" t="s">
        <v>85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1"/>
        <v>47200</v>
      </c>
      <c r="M13" s="14"/>
      <c r="N13" s="22">
        <f t="shared" si="0"/>
        <v>47200</v>
      </c>
      <c r="O13" s="82"/>
      <c r="P13" s="72"/>
      <c r="Q13" s="72"/>
      <c r="R13" s="72"/>
    </row>
    <row r="14" spans="1:18" ht="15.6" customHeight="1" x14ac:dyDescent="0.25">
      <c r="A14" s="13">
        <v>11</v>
      </c>
      <c r="B14" s="59" t="s">
        <v>86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1"/>
        <v>47200</v>
      </c>
      <c r="M14" s="14">
        <f>20000+26200+1000</f>
        <v>47200</v>
      </c>
      <c r="N14" s="22">
        <f t="shared" si="0"/>
        <v>0</v>
      </c>
      <c r="O14" s="15" t="s">
        <v>226</v>
      </c>
      <c r="P14" s="72"/>
      <c r="Q14" s="72"/>
      <c r="R14" s="72"/>
    </row>
    <row r="15" spans="1:18" x14ac:dyDescent="0.25">
      <c r="A15" s="13">
        <v>12</v>
      </c>
      <c r="B15" s="59" t="s">
        <v>88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1"/>
        <v>62200</v>
      </c>
      <c r="M15" s="14">
        <f>46200+15000+1000</f>
        <v>62200</v>
      </c>
      <c r="N15" s="22">
        <f t="shared" si="0"/>
        <v>0</v>
      </c>
      <c r="O15" s="15">
        <v>43472</v>
      </c>
      <c r="P15" s="72"/>
      <c r="Q15" s="72"/>
      <c r="R15" s="72"/>
    </row>
    <row r="16" spans="1:18" x14ac:dyDescent="0.25">
      <c r="A16" s="13">
        <v>13</v>
      </c>
      <c r="B16" s="59" t="s">
        <v>93</v>
      </c>
      <c r="C16" s="22">
        <v>0</v>
      </c>
      <c r="D16" s="22">
        <v>36500</v>
      </c>
      <c r="E16" s="22">
        <v>1000</v>
      </c>
      <c r="F16" s="22">
        <v>3000</v>
      </c>
      <c r="G16" s="22">
        <v>3200</v>
      </c>
      <c r="H16" s="22"/>
      <c r="I16" s="22"/>
      <c r="J16" s="22">
        <v>3500</v>
      </c>
      <c r="K16" s="22"/>
      <c r="L16" s="22">
        <f t="shared" si="1"/>
        <v>47200</v>
      </c>
      <c r="M16" s="14"/>
      <c r="N16" s="22">
        <f t="shared" si="0"/>
        <v>47200</v>
      </c>
      <c r="O16" s="15"/>
      <c r="Q16" s="72"/>
      <c r="R16" s="72"/>
    </row>
    <row r="17" spans="1:18" ht="15.6" customHeight="1" x14ac:dyDescent="0.25">
      <c r="A17" s="13">
        <v>14</v>
      </c>
      <c r="B17" s="59" t="s">
        <v>110</v>
      </c>
      <c r="C17" s="22">
        <v>0</v>
      </c>
      <c r="D17" s="22">
        <v>36500</v>
      </c>
      <c r="E17" s="22">
        <v>1000</v>
      </c>
      <c r="F17" s="22">
        <v>3000</v>
      </c>
      <c r="G17" s="22">
        <v>3200</v>
      </c>
      <c r="H17" s="22"/>
      <c r="I17" s="22"/>
      <c r="J17" s="22">
        <v>3500</v>
      </c>
      <c r="K17" s="22"/>
      <c r="L17" s="22">
        <f t="shared" si="1"/>
        <v>47200</v>
      </c>
      <c r="M17" s="14">
        <f>20000</f>
        <v>20000</v>
      </c>
      <c r="N17" s="22">
        <f t="shared" si="0"/>
        <v>27200</v>
      </c>
      <c r="O17" s="15">
        <v>43507</v>
      </c>
      <c r="P17" s="72"/>
      <c r="Q17" s="72"/>
      <c r="R17" s="72"/>
    </row>
    <row r="18" spans="1:18" x14ac:dyDescent="0.25">
      <c r="A18" s="13">
        <v>15</v>
      </c>
      <c r="B18" s="59" t="s">
        <v>118</v>
      </c>
      <c r="C18" s="22">
        <v>0</v>
      </c>
      <c r="D18" s="22">
        <v>36500</v>
      </c>
      <c r="E18" s="22">
        <v>1000</v>
      </c>
      <c r="F18" s="22">
        <v>3000</v>
      </c>
      <c r="G18" s="22">
        <v>3200</v>
      </c>
      <c r="H18" s="22"/>
      <c r="I18" s="22"/>
      <c r="J18" s="22">
        <v>3500</v>
      </c>
      <c r="K18" s="22">
        <v>15000</v>
      </c>
      <c r="L18" s="22">
        <f t="shared" si="1"/>
        <v>62200</v>
      </c>
      <c r="M18" s="14">
        <f>46200+1000</f>
        <v>47200</v>
      </c>
      <c r="N18" s="22">
        <f t="shared" si="0"/>
        <v>15000</v>
      </c>
      <c r="O18" s="15">
        <v>43510</v>
      </c>
      <c r="P18" s="72"/>
      <c r="Q18" s="72"/>
      <c r="R18" s="81"/>
    </row>
    <row r="19" spans="1:18" x14ac:dyDescent="0.25">
      <c r="A19" s="13">
        <v>16</v>
      </c>
      <c r="B19" s="59" t="s">
        <v>136</v>
      </c>
      <c r="C19" s="22">
        <v>0</v>
      </c>
      <c r="D19" s="22">
        <v>36500</v>
      </c>
      <c r="E19" s="22">
        <v>1000</v>
      </c>
      <c r="F19" s="22">
        <v>3000</v>
      </c>
      <c r="G19" s="22">
        <v>3200</v>
      </c>
      <c r="H19" s="22"/>
      <c r="I19" s="22"/>
      <c r="J19" s="22">
        <v>3500</v>
      </c>
      <c r="K19" s="22"/>
      <c r="L19" s="22">
        <f t="shared" si="1"/>
        <v>47200</v>
      </c>
      <c r="M19" s="14">
        <f>47200</f>
        <v>47200</v>
      </c>
      <c r="N19" s="22">
        <f t="shared" si="0"/>
        <v>0</v>
      </c>
      <c r="O19" s="15">
        <v>43502</v>
      </c>
      <c r="P19" s="72"/>
      <c r="Q19" s="72"/>
    </row>
    <row r="20" spans="1:18" s="21" customFormat="1" x14ac:dyDescent="0.25">
      <c r="A20" s="18"/>
      <c r="B20" s="56" t="s">
        <v>189</v>
      </c>
      <c r="C20" s="23">
        <f>SUM(C4:C19)</f>
        <v>930</v>
      </c>
      <c r="D20" s="23">
        <f t="shared" ref="D20:M20" si="2">SUM(D4:D19)</f>
        <v>584000</v>
      </c>
      <c r="E20" s="23">
        <f t="shared" si="2"/>
        <v>16000</v>
      </c>
      <c r="F20" s="23">
        <f>SUM(F4:F19)</f>
        <v>48000</v>
      </c>
      <c r="G20" s="23">
        <f t="shared" si="2"/>
        <v>51200</v>
      </c>
      <c r="H20" s="23">
        <f t="shared" si="2"/>
        <v>0</v>
      </c>
      <c r="I20" s="23">
        <f t="shared" si="2"/>
        <v>0</v>
      </c>
      <c r="J20" s="23">
        <f>SUM(J4:J19)</f>
        <v>56000</v>
      </c>
      <c r="K20" s="23">
        <f t="shared" si="2"/>
        <v>37500</v>
      </c>
      <c r="L20" s="23">
        <f>SUM(L4:L19)</f>
        <v>793630</v>
      </c>
      <c r="M20" s="19">
        <f t="shared" si="2"/>
        <v>523800</v>
      </c>
      <c r="N20" s="23">
        <f>SUM(N4:N19)</f>
        <v>269830</v>
      </c>
      <c r="O20" s="20"/>
      <c r="P20" s="73"/>
      <c r="Q20" s="73"/>
    </row>
    <row r="21" spans="1:18" x14ac:dyDescent="0.25">
      <c r="P21" s="72"/>
      <c r="Q21" s="72"/>
    </row>
    <row r="22" spans="1:18" x14ac:dyDescent="0.25">
      <c r="O22" s="72"/>
      <c r="P22" s="72"/>
    </row>
    <row r="23" spans="1:18" x14ac:dyDescent="0.25">
      <c r="Q23" s="72"/>
    </row>
    <row r="24" spans="1:18" x14ac:dyDescent="0.25">
      <c r="P24" s="72"/>
      <c r="Q24" s="72"/>
    </row>
    <row r="25" spans="1:18" x14ac:dyDescent="0.25">
      <c r="Q25" s="72"/>
    </row>
    <row r="26" spans="1:18" x14ac:dyDescent="0.25">
      <c r="Q26" s="72"/>
    </row>
    <row r="41" spans="20:20" x14ac:dyDescent="0.25">
      <c r="T41" s="72"/>
    </row>
  </sheetData>
  <sheetProtection algorithmName="SHA-512" hashValue="PIKQxJjrnJx4BC6SYclJtXWjEbGc6bFhEJbzSMltOswe8oaA5REk1JB2pGBwoB8sEnKbNtbzLB7olFft00dTFw==" saltValue="1ASHIN40V+QgW4w1mcpubA==" spinCount="100000" sheet="1" objects="1" scenarios="1"/>
  <mergeCells count="1">
    <mergeCell ref="D2:L2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75" zoomScaleNormal="75" workbookViewId="0">
      <selection activeCell="H27" sqref="H27"/>
    </sheetView>
  </sheetViews>
  <sheetFormatPr defaultColWidth="8.85546875" defaultRowHeight="15.75" x14ac:dyDescent="0.25"/>
  <cols>
    <col min="1" max="1" width="5.42578125" style="12" bestFit="1" customWidth="1"/>
    <col min="2" max="2" width="28.85546875" style="12" customWidth="1"/>
    <col min="3" max="3" width="13.42578125" style="12" customWidth="1"/>
    <col min="4" max="4" width="11.85546875" style="12" bestFit="1" customWidth="1"/>
    <col min="5" max="5" width="10.7109375" style="12" customWidth="1"/>
    <col min="6" max="6" width="13.140625" style="12" bestFit="1" customWidth="1"/>
    <col min="7" max="7" width="12.140625" style="12" customWidth="1"/>
    <col min="8" max="9" width="11.140625" style="12" customWidth="1"/>
    <col min="10" max="10" width="11.28515625" style="12" bestFit="1" customWidth="1"/>
    <col min="11" max="11" width="13.42578125" style="12" customWidth="1"/>
    <col min="12" max="13" width="13.28515625" style="12" customWidth="1"/>
    <col min="14" max="14" width="27.42578125" style="12" customWidth="1"/>
    <col min="15" max="15" width="16.85546875" style="12" customWidth="1"/>
    <col min="16" max="16384" width="8.85546875" style="12"/>
  </cols>
  <sheetData>
    <row r="1" spans="1:16" x14ac:dyDescent="0.25">
      <c r="A1" s="10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1"/>
      <c r="B2" s="11"/>
      <c r="C2" s="11"/>
      <c r="D2" s="90"/>
      <c r="E2" s="90"/>
      <c r="F2" s="90"/>
      <c r="G2" s="90"/>
      <c r="H2" s="90"/>
      <c r="I2" s="90"/>
      <c r="J2" s="90"/>
      <c r="K2" s="90"/>
      <c r="L2" s="11"/>
      <c r="M2" s="11"/>
    </row>
    <row r="3" spans="1:16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55</v>
      </c>
      <c r="H3" s="56" t="s">
        <v>3</v>
      </c>
      <c r="I3" s="56" t="s">
        <v>31</v>
      </c>
      <c r="J3" s="56" t="s">
        <v>5</v>
      </c>
      <c r="K3" s="56" t="s">
        <v>8</v>
      </c>
      <c r="L3" s="10" t="s">
        <v>9</v>
      </c>
      <c r="M3" s="57" t="s">
        <v>30</v>
      </c>
      <c r="N3" s="10" t="s">
        <v>138</v>
      </c>
    </row>
    <row r="4" spans="1:16" x14ac:dyDescent="0.25">
      <c r="A4" s="58">
        <v>1</v>
      </c>
      <c r="B4" s="59" t="s">
        <v>34</v>
      </c>
      <c r="C4" s="22">
        <v>89740</v>
      </c>
      <c r="D4" s="22">
        <v>38500</v>
      </c>
      <c r="E4" s="22">
        <v>1000</v>
      </c>
      <c r="F4" s="22">
        <v>3000</v>
      </c>
      <c r="G4" s="22"/>
      <c r="H4" s="22"/>
      <c r="I4" s="22">
        <v>3500</v>
      </c>
      <c r="J4" s="22"/>
      <c r="K4" s="22">
        <f>SUM(C4:J4)</f>
        <v>135740</v>
      </c>
      <c r="L4" s="14">
        <f>89740+43360</f>
        <v>133100</v>
      </c>
      <c r="M4" s="22">
        <f t="shared" ref="M4:M20" si="0">K4-L4</f>
        <v>2640</v>
      </c>
      <c r="N4" s="15" t="s">
        <v>204</v>
      </c>
    </row>
    <row r="5" spans="1:16" ht="15.6" customHeight="1" x14ac:dyDescent="0.25">
      <c r="A5" s="58">
        <v>2</v>
      </c>
      <c r="B5" s="59" t="s">
        <v>80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>
        <v>3500</v>
      </c>
      <c r="J5" s="22"/>
      <c r="K5" s="22">
        <f t="shared" ref="K5:K20" si="1">SUM(C5:J5)</f>
        <v>46000</v>
      </c>
      <c r="L5" s="14">
        <f>24000</f>
        <v>24000</v>
      </c>
      <c r="M5" s="22">
        <f t="shared" si="0"/>
        <v>22000</v>
      </c>
      <c r="N5" s="15">
        <v>40217</v>
      </c>
    </row>
    <row r="6" spans="1:16" x14ac:dyDescent="0.25">
      <c r="A6" s="58">
        <v>3</v>
      </c>
      <c r="B6" s="59" t="s">
        <v>35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>
        <v>3500</v>
      </c>
      <c r="J6" s="22"/>
      <c r="K6" s="22">
        <f t="shared" si="1"/>
        <v>46000</v>
      </c>
      <c r="L6" s="14">
        <f>20000</f>
        <v>20000</v>
      </c>
      <c r="M6" s="22">
        <f t="shared" si="0"/>
        <v>26000</v>
      </c>
      <c r="N6" s="15"/>
    </row>
    <row r="7" spans="1:16" x14ac:dyDescent="0.25">
      <c r="A7" s="58">
        <v>4</v>
      </c>
      <c r="B7" s="59" t="s">
        <v>87</v>
      </c>
      <c r="C7" s="22">
        <v>2100</v>
      </c>
      <c r="D7" s="22">
        <v>38500</v>
      </c>
      <c r="E7" s="22">
        <v>1000</v>
      </c>
      <c r="F7" s="22">
        <v>3000</v>
      </c>
      <c r="G7" s="22"/>
      <c r="H7" s="22"/>
      <c r="I7" s="22">
        <v>3500</v>
      </c>
      <c r="J7" s="22"/>
      <c r="K7" s="22">
        <f t="shared" si="1"/>
        <v>48100</v>
      </c>
      <c r="L7" s="14">
        <f>45000+1000</f>
        <v>46000</v>
      </c>
      <c r="M7" s="22">
        <f t="shared" si="0"/>
        <v>2100</v>
      </c>
      <c r="N7" s="15">
        <v>43495</v>
      </c>
    </row>
    <row r="8" spans="1:16" x14ac:dyDescent="0.25">
      <c r="A8" s="59">
        <v>5</v>
      </c>
      <c r="B8" s="59" t="s">
        <v>104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>
        <v>3500</v>
      </c>
      <c r="J8" s="22"/>
      <c r="K8" s="22">
        <f t="shared" si="1"/>
        <v>46000</v>
      </c>
      <c r="L8" s="14">
        <f>46000</f>
        <v>46000</v>
      </c>
      <c r="M8" s="22">
        <f t="shared" si="0"/>
        <v>0</v>
      </c>
      <c r="N8" s="15">
        <v>43480</v>
      </c>
    </row>
    <row r="9" spans="1:16" x14ac:dyDescent="0.25">
      <c r="A9" s="58">
        <v>6</v>
      </c>
      <c r="B9" s="59" t="s">
        <v>105</v>
      </c>
      <c r="C9" s="22">
        <v>0</v>
      </c>
      <c r="D9" s="22">
        <v>38500</v>
      </c>
      <c r="E9" s="22">
        <v>1000</v>
      </c>
      <c r="F9" s="22">
        <v>3000</v>
      </c>
      <c r="G9" s="22"/>
      <c r="H9" s="22"/>
      <c r="I9" s="22">
        <v>3500</v>
      </c>
      <c r="J9" s="22"/>
      <c r="K9" s="22">
        <f t="shared" si="1"/>
        <v>46000</v>
      </c>
      <c r="L9" s="14">
        <f>46000</f>
        <v>46000</v>
      </c>
      <c r="M9" s="22">
        <f t="shared" si="0"/>
        <v>0</v>
      </c>
      <c r="N9" s="15">
        <v>43480</v>
      </c>
    </row>
    <row r="10" spans="1:16" x14ac:dyDescent="0.25">
      <c r="A10" s="58">
        <v>7</v>
      </c>
      <c r="B10" s="59" t="s">
        <v>117</v>
      </c>
      <c r="C10" s="22">
        <v>1000</v>
      </c>
      <c r="D10" s="22">
        <v>38500</v>
      </c>
      <c r="E10" s="22">
        <v>1000</v>
      </c>
      <c r="F10" s="22">
        <v>3000</v>
      </c>
      <c r="G10" s="22"/>
      <c r="H10" s="22"/>
      <c r="I10" s="22">
        <v>3500</v>
      </c>
      <c r="J10" s="22"/>
      <c r="K10" s="22">
        <f t="shared" si="1"/>
        <v>47000</v>
      </c>
      <c r="L10" s="14">
        <f>45000+1000</f>
        <v>46000</v>
      </c>
      <c r="M10" s="22">
        <f t="shared" si="0"/>
        <v>1000</v>
      </c>
      <c r="N10" s="15" t="s">
        <v>202</v>
      </c>
    </row>
    <row r="11" spans="1:16" x14ac:dyDescent="0.25">
      <c r="A11" s="58">
        <v>8</v>
      </c>
      <c r="B11" s="59" t="s">
        <v>159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>
        <v>3500</v>
      </c>
      <c r="J11" s="22"/>
      <c r="K11" s="22">
        <f t="shared" si="1"/>
        <v>46000</v>
      </c>
      <c r="L11" s="14">
        <f>40000</f>
        <v>40000</v>
      </c>
      <c r="M11" s="22">
        <f>K11-L11</f>
        <v>6000</v>
      </c>
      <c r="N11" s="15">
        <v>43487</v>
      </c>
    </row>
    <row r="12" spans="1:16" x14ac:dyDescent="0.25">
      <c r="A12" s="58">
        <v>9</v>
      </c>
      <c r="B12" s="59" t="s">
        <v>160</v>
      </c>
      <c r="C12" s="22">
        <v>2000</v>
      </c>
      <c r="D12" s="22">
        <v>38500</v>
      </c>
      <c r="E12" s="22">
        <v>1000</v>
      </c>
      <c r="F12" s="22">
        <v>3000</v>
      </c>
      <c r="G12" s="22"/>
      <c r="H12" s="22"/>
      <c r="I12" s="22">
        <v>3500</v>
      </c>
      <c r="J12" s="22"/>
      <c r="K12" s="22">
        <f t="shared" si="1"/>
        <v>48000</v>
      </c>
      <c r="L12" s="14"/>
      <c r="M12" s="22">
        <f>K12-L12</f>
        <v>48000</v>
      </c>
      <c r="N12" s="15"/>
    </row>
    <row r="13" spans="1:16" x14ac:dyDescent="0.25">
      <c r="A13" s="59">
        <v>10</v>
      </c>
      <c r="B13" s="59" t="s">
        <v>194</v>
      </c>
      <c r="C13" s="22">
        <v>19740</v>
      </c>
      <c r="D13" s="22">
        <v>38500</v>
      </c>
      <c r="E13" s="22">
        <v>1000</v>
      </c>
      <c r="F13" s="22">
        <v>3000</v>
      </c>
      <c r="G13" s="22"/>
      <c r="H13" s="22"/>
      <c r="I13" s="22">
        <v>3500</v>
      </c>
      <c r="J13" s="22"/>
      <c r="K13" s="22">
        <f t="shared" si="1"/>
        <v>65740</v>
      </c>
      <c r="L13" s="14">
        <f>40000+20000+5000</f>
        <v>65000</v>
      </c>
      <c r="M13" s="22">
        <f t="shared" si="0"/>
        <v>740</v>
      </c>
      <c r="N13" s="15" t="s">
        <v>208</v>
      </c>
    </row>
    <row r="14" spans="1:16" x14ac:dyDescent="0.25">
      <c r="A14" s="58">
        <v>11</v>
      </c>
      <c r="B14" s="59" t="s">
        <v>161</v>
      </c>
      <c r="C14" s="22">
        <v>1000</v>
      </c>
      <c r="D14" s="22">
        <v>38500</v>
      </c>
      <c r="E14" s="22">
        <v>1000</v>
      </c>
      <c r="F14" s="22">
        <v>3000</v>
      </c>
      <c r="G14" s="22"/>
      <c r="H14" s="22"/>
      <c r="I14" s="22">
        <v>3500</v>
      </c>
      <c r="J14" s="22"/>
      <c r="K14" s="22">
        <f t="shared" si="1"/>
        <v>47000</v>
      </c>
      <c r="L14" s="14">
        <f>1000+45000</f>
        <v>46000</v>
      </c>
      <c r="M14" s="22">
        <f t="shared" si="0"/>
        <v>1000</v>
      </c>
      <c r="N14" s="15" t="s">
        <v>203</v>
      </c>
    </row>
    <row r="15" spans="1:16" x14ac:dyDescent="0.25">
      <c r="A15" s="58">
        <v>12</v>
      </c>
      <c r="B15" s="59" t="s">
        <v>162</v>
      </c>
      <c r="C15" s="22">
        <v>1000</v>
      </c>
      <c r="D15" s="22">
        <v>38500</v>
      </c>
      <c r="E15" s="22">
        <v>1000</v>
      </c>
      <c r="F15" s="22">
        <v>3000</v>
      </c>
      <c r="G15" s="22"/>
      <c r="H15" s="22"/>
      <c r="I15" s="22">
        <v>3500</v>
      </c>
      <c r="J15" s="22"/>
      <c r="K15" s="22">
        <f t="shared" si="1"/>
        <v>47000</v>
      </c>
      <c r="L15" s="14">
        <f>45000</f>
        <v>45000</v>
      </c>
      <c r="M15" s="22">
        <f t="shared" si="0"/>
        <v>2000</v>
      </c>
      <c r="N15" s="15">
        <v>43493</v>
      </c>
    </row>
    <row r="16" spans="1:16" ht="15.6" customHeight="1" x14ac:dyDescent="0.25">
      <c r="A16" s="58">
        <v>13</v>
      </c>
      <c r="B16" s="59" t="s">
        <v>163</v>
      </c>
      <c r="C16" s="22">
        <v>740</v>
      </c>
      <c r="D16" s="22">
        <v>38500</v>
      </c>
      <c r="E16" s="22">
        <v>1000</v>
      </c>
      <c r="F16" s="22">
        <v>3000</v>
      </c>
      <c r="G16" s="22"/>
      <c r="H16" s="22"/>
      <c r="I16" s="22">
        <v>3500</v>
      </c>
      <c r="J16" s="22"/>
      <c r="K16" s="22">
        <f t="shared" si="1"/>
        <v>46740</v>
      </c>
      <c r="L16" s="14"/>
      <c r="M16" s="22">
        <f t="shared" si="0"/>
        <v>46740</v>
      </c>
      <c r="N16" s="15"/>
    </row>
    <row r="17" spans="1:15" x14ac:dyDescent="0.25">
      <c r="A17" s="58">
        <v>14</v>
      </c>
      <c r="B17" s="59" t="s">
        <v>164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>
        <v>3500</v>
      </c>
      <c r="J17" s="22"/>
      <c r="K17" s="22">
        <f t="shared" si="1"/>
        <v>46000</v>
      </c>
      <c r="L17" s="14"/>
      <c r="M17" s="22">
        <f>K17-L17</f>
        <v>46000</v>
      </c>
      <c r="N17" s="15"/>
    </row>
    <row r="18" spans="1:15" x14ac:dyDescent="0.25">
      <c r="A18" s="59">
        <v>15</v>
      </c>
      <c r="B18" s="59" t="s">
        <v>183</v>
      </c>
      <c r="C18" s="22">
        <v>29740</v>
      </c>
      <c r="D18" s="22">
        <v>38500</v>
      </c>
      <c r="E18" s="22">
        <v>1000</v>
      </c>
      <c r="F18" s="22">
        <v>3000</v>
      </c>
      <c r="G18" s="22"/>
      <c r="H18" s="22"/>
      <c r="I18" s="22">
        <v>3500</v>
      </c>
      <c r="J18" s="22"/>
      <c r="K18" s="22">
        <f t="shared" si="1"/>
        <v>75740</v>
      </c>
      <c r="L18" s="14"/>
      <c r="M18" s="22">
        <f>K18-L18</f>
        <v>75740</v>
      </c>
      <c r="N18" s="15"/>
    </row>
    <row r="19" spans="1:15" ht="15.6" customHeight="1" x14ac:dyDescent="0.25">
      <c r="A19" s="58">
        <v>16</v>
      </c>
      <c r="B19" s="65" t="s">
        <v>186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>
        <v>3500</v>
      </c>
      <c r="J19" s="22"/>
      <c r="K19" s="22">
        <f t="shared" si="1"/>
        <v>46000</v>
      </c>
      <c r="L19" s="14"/>
      <c r="M19" s="22">
        <f>K19-L19</f>
        <v>46000</v>
      </c>
      <c r="N19" s="15"/>
    </row>
    <row r="20" spans="1:15" x14ac:dyDescent="0.25">
      <c r="A20" s="58">
        <v>17</v>
      </c>
      <c r="B20" s="85" t="s">
        <v>185</v>
      </c>
      <c r="C20" s="22">
        <v>0</v>
      </c>
      <c r="D20" s="22">
        <v>38500</v>
      </c>
      <c r="E20" s="22">
        <v>1000</v>
      </c>
      <c r="F20" s="22">
        <v>3000</v>
      </c>
      <c r="G20" s="22"/>
      <c r="H20" s="22"/>
      <c r="I20" s="22">
        <v>3500</v>
      </c>
      <c r="J20" s="22"/>
      <c r="K20" s="22">
        <f t="shared" si="1"/>
        <v>46000</v>
      </c>
      <c r="L20" s="83"/>
      <c r="M20" s="22">
        <f t="shared" si="0"/>
        <v>46000</v>
      </c>
      <c r="N20" s="15"/>
      <c r="O20" s="16"/>
    </row>
    <row r="21" spans="1:15" x14ac:dyDescent="0.25">
      <c r="A21" s="59">
        <v>18</v>
      </c>
      <c r="B21" s="65" t="s">
        <v>199</v>
      </c>
      <c r="C21" s="22">
        <v>0</v>
      </c>
      <c r="D21" s="22">
        <v>38500</v>
      </c>
      <c r="E21" s="22">
        <v>1000</v>
      </c>
      <c r="F21" s="22">
        <v>3000</v>
      </c>
      <c r="G21" s="22"/>
      <c r="H21" s="22"/>
      <c r="I21" s="22">
        <v>3500</v>
      </c>
      <c r="J21" s="22">
        <v>15000</v>
      </c>
      <c r="K21" s="22">
        <f t="shared" ref="K21" si="2">SUM(C21:J21)</f>
        <v>61000</v>
      </c>
      <c r="L21" s="83">
        <f>60000+39000+1000</f>
        <v>100000</v>
      </c>
      <c r="M21" s="22">
        <f>K21-L21</f>
        <v>-39000</v>
      </c>
      <c r="N21" s="15" t="s">
        <v>220</v>
      </c>
      <c r="O21" s="16"/>
    </row>
    <row r="22" spans="1:15" s="21" customFormat="1" x14ac:dyDescent="0.25">
      <c r="A22" s="66"/>
      <c r="B22" s="86" t="s">
        <v>189</v>
      </c>
      <c r="C22" s="23">
        <f>SUM(C4:C21)</f>
        <v>147060</v>
      </c>
      <c r="D22" s="23">
        <f>SUM(D4:D21)</f>
        <v>693000</v>
      </c>
      <c r="E22" s="23">
        <f>SUM(E4:E21)</f>
        <v>18000</v>
      </c>
      <c r="F22" s="23">
        <f>SUM(F4:F21)</f>
        <v>54000</v>
      </c>
      <c r="G22" s="23">
        <f t="shared" ref="G22:L22" si="3">SUM(G4:G21)</f>
        <v>0</v>
      </c>
      <c r="H22" s="23">
        <f>SUM(H4:H21)</f>
        <v>0</v>
      </c>
      <c r="I22" s="23">
        <f t="shared" si="3"/>
        <v>63000</v>
      </c>
      <c r="J22" s="23">
        <f t="shared" si="3"/>
        <v>15000</v>
      </c>
      <c r="K22" s="23">
        <f t="shared" si="3"/>
        <v>990060</v>
      </c>
      <c r="L22" s="19">
        <f t="shared" si="3"/>
        <v>657100</v>
      </c>
      <c r="M22" s="23">
        <f>SUM(M4:M21)</f>
        <v>332960</v>
      </c>
      <c r="N22" s="20"/>
    </row>
    <row r="30" spans="1:15" x14ac:dyDescent="0.25">
      <c r="B30" s="84"/>
    </row>
    <row r="31" spans="1:15" x14ac:dyDescent="0.25">
      <c r="D31" s="84"/>
    </row>
    <row r="32" spans="1:15" x14ac:dyDescent="0.25">
      <c r="A32" s="14"/>
    </row>
  </sheetData>
  <sheetProtection algorithmName="SHA-512" hashValue="5xwRcjmRjgf/I9GoBxQwJ7Y4yBBgxmO2J/vnYZycvP/NrTyw9439pVk+yTIjrza2pKdR4GRm2W45BTU6SOLsfQ==" saltValue="slSdBQ3SYCQSwdBcfxPTKg==" spinCount="100000" sheet="1" objects="1" scenarios="1"/>
  <mergeCells count="1">
    <mergeCell ref="D2:K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1" zoomScale="75" zoomScaleNormal="75" workbookViewId="0">
      <selection activeCell="L12" sqref="L12"/>
    </sheetView>
  </sheetViews>
  <sheetFormatPr defaultRowHeight="15" x14ac:dyDescent="0.25"/>
  <cols>
    <col min="1" max="1" width="6" style="84" bestFit="1" customWidth="1"/>
    <col min="2" max="2" width="32.28515625" style="84" bestFit="1" customWidth="1"/>
    <col min="3" max="3" width="12.5703125" style="84" bestFit="1" customWidth="1"/>
    <col min="4" max="4" width="11.7109375" style="84" bestFit="1" customWidth="1"/>
    <col min="5" max="6" width="10.42578125" style="84" customWidth="1"/>
    <col min="7" max="7" width="10.28515625" style="84" bestFit="1" customWidth="1"/>
    <col min="8" max="9" width="10.28515625" style="84" customWidth="1"/>
    <col min="10" max="10" width="12.140625" style="84" customWidth="1"/>
    <col min="11" max="11" width="11" style="84" customWidth="1"/>
    <col min="12" max="12" width="11.28515625" style="84" bestFit="1" customWidth="1"/>
    <col min="13" max="13" width="13.28515625" style="84" customWidth="1"/>
    <col min="14" max="14" width="13" style="84" customWidth="1"/>
    <col min="15" max="15" width="13.28515625" style="84" bestFit="1" customWidth="1"/>
    <col min="16" max="16" width="26.42578125" style="84" customWidth="1"/>
    <col min="17" max="17" width="16.140625" style="84" customWidth="1"/>
    <col min="18" max="16384" width="9.140625" style="84"/>
  </cols>
  <sheetData>
    <row r="1" spans="1:17" ht="15.75" x14ac:dyDescent="0.25">
      <c r="A1" s="10" t="s">
        <v>165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7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7" ht="15.7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55</v>
      </c>
      <c r="H3" s="56" t="s">
        <v>222</v>
      </c>
      <c r="I3" s="56" t="s">
        <v>223</v>
      </c>
      <c r="J3" s="56" t="s">
        <v>3</v>
      </c>
      <c r="K3" s="56" t="s">
        <v>31</v>
      </c>
      <c r="L3" s="56" t="s">
        <v>5</v>
      </c>
      <c r="M3" s="56" t="s">
        <v>8</v>
      </c>
      <c r="N3" s="10" t="s">
        <v>9</v>
      </c>
      <c r="O3" s="56" t="s">
        <v>30</v>
      </c>
      <c r="P3" s="10" t="s">
        <v>138</v>
      </c>
    </row>
    <row r="4" spans="1:17" ht="15.75" x14ac:dyDescent="0.25">
      <c r="A4" s="59">
        <v>1</v>
      </c>
      <c r="B4" s="59" t="s">
        <v>166</v>
      </c>
      <c r="C4" s="22">
        <v>0</v>
      </c>
      <c r="D4" s="22">
        <v>38500</v>
      </c>
      <c r="E4" s="22">
        <v>1000</v>
      </c>
      <c r="F4" s="22">
        <v>3000</v>
      </c>
      <c r="G4" s="22"/>
      <c r="H4" s="22"/>
      <c r="I4" s="22"/>
      <c r="J4" s="22"/>
      <c r="K4" s="22">
        <v>3500</v>
      </c>
      <c r="L4" s="22"/>
      <c r="M4" s="22">
        <f t="shared" ref="M4:M19" si="0">SUM(C4:L4)</f>
        <v>46000</v>
      </c>
      <c r="N4" s="14">
        <f>46000</f>
        <v>46000</v>
      </c>
      <c r="O4" s="22">
        <f>M4-N4</f>
        <v>0</v>
      </c>
      <c r="P4" s="15">
        <v>43474</v>
      </c>
    </row>
    <row r="5" spans="1:17" ht="15.75" x14ac:dyDescent="0.25">
      <c r="A5" s="59">
        <v>2</v>
      </c>
      <c r="B5" s="59" t="s">
        <v>167</v>
      </c>
      <c r="C5" s="22">
        <v>0</v>
      </c>
      <c r="D5" s="22">
        <v>38500</v>
      </c>
      <c r="E5" s="22">
        <v>1000</v>
      </c>
      <c r="F5" s="22">
        <v>3000</v>
      </c>
      <c r="G5" s="22"/>
      <c r="H5" s="22"/>
      <c r="I5" s="22"/>
      <c r="J5" s="22"/>
      <c r="K5" s="22">
        <v>3500</v>
      </c>
      <c r="L5" s="22"/>
      <c r="M5" s="22">
        <f t="shared" si="0"/>
        <v>46000</v>
      </c>
      <c r="N5" s="14"/>
      <c r="O5" s="22">
        <f t="shared" ref="O5:O20" si="1">M5-N5</f>
        <v>46000</v>
      </c>
      <c r="P5" s="15"/>
    </row>
    <row r="6" spans="1:17" ht="15.75" x14ac:dyDescent="0.25">
      <c r="A6" s="59">
        <v>3</v>
      </c>
      <c r="B6" s="59" t="s">
        <v>168</v>
      </c>
      <c r="C6" s="22">
        <v>0</v>
      </c>
      <c r="D6" s="22">
        <v>38500</v>
      </c>
      <c r="E6" s="22">
        <v>1000</v>
      </c>
      <c r="F6" s="22">
        <v>3000</v>
      </c>
      <c r="G6" s="22"/>
      <c r="H6" s="22"/>
      <c r="I6" s="22"/>
      <c r="J6" s="22"/>
      <c r="K6" s="22">
        <v>3500</v>
      </c>
      <c r="L6" s="22"/>
      <c r="M6" s="22">
        <f t="shared" si="0"/>
        <v>46000</v>
      </c>
      <c r="N6" s="14"/>
      <c r="O6" s="22">
        <f t="shared" si="1"/>
        <v>46000</v>
      </c>
      <c r="P6" s="15"/>
    </row>
    <row r="7" spans="1:17" ht="15.75" x14ac:dyDescent="0.25">
      <c r="A7" s="59">
        <v>4</v>
      </c>
      <c r="B7" s="59" t="s">
        <v>169</v>
      </c>
      <c r="C7" s="22">
        <v>0</v>
      </c>
      <c r="D7" s="22">
        <v>38500</v>
      </c>
      <c r="E7" s="22">
        <v>1000</v>
      </c>
      <c r="F7" s="22">
        <v>3000</v>
      </c>
      <c r="G7" s="22"/>
      <c r="H7" s="22"/>
      <c r="I7" s="22"/>
      <c r="J7" s="22"/>
      <c r="K7" s="22">
        <v>3500</v>
      </c>
      <c r="L7" s="22"/>
      <c r="M7" s="22">
        <f t="shared" si="0"/>
        <v>46000</v>
      </c>
      <c r="N7" s="14"/>
      <c r="O7" s="22">
        <f t="shared" si="1"/>
        <v>46000</v>
      </c>
      <c r="P7" s="15"/>
      <c r="Q7" s="87"/>
    </row>
    <row r="8" spans="1:17" ht="15.75" x14ac:dyDescent="0.25">
      <c r="A8" s="59">
        <v>5</v>
      </c>
      <c r="B8" s="59" t="s">
        <v>170</v>
      </c>
      <c r="C8" s="22">
        <v>0</v>
      </c>
      <c r="D8" s="22">
        <v>38500</v>
      </c>
      <c r="E8" s="22">
        <v>1000</v>
      </c>
      <c r="F8" s="22">
        <v>3000</v>
      </c>
      <c r="G8" s="22"/>
      <c r="H8" s="22"/>
      <c r="I8" s="22"/>
      <c r="J8" s="22"/>
      <c r="K8" s="22">
        <v>3500</v>
      </c>
      <c r="L8" s="22"/>
      <c r="M8" s="22">
        <f t="shared" si="0"/>
        <v>46000</v>
      </c>
      <c r="N8" s="14">
        <f>45000+1000+7500</f>
        <v>53500</v>
      </c>
      <c r="O8" s="22">
        <f t="shared" si="1"/>
        <v>-7500</v>
      </c>
      <c r="P8" s="15">
        <v>43482</v>
      </c>
    </row>
    <row r="9" spans="1:17" ht="15.75" x14ac:dyDescent="0.25">
      <c r="A9" s="59">
        <v>6</v>
      </c>
      <c r="B9" s="59" t="s">
        <v>171</v>
      </c>
      <c r="C9" s="22">
        <v>-10</v>
      </c>
      <c r="D9" s="22">
        <v>38500</v>
      </c>
      <c r="E9" s="22">
        <v>1000</v>
      </c>
      <c r="F9" s="22">
        <v>3000</v>
      </c>
      <c r="G9" s="22"/>
      <c r="H9" s="22"/>
      <c r="I9" s="22"/>
      <c r="J9" s="22"/>
      <c r="K9" s="22">
        <v>3500</v>
      </c>
      <c r="L9" s="22"/>
      <c r="M9" s="22">
        <f t="shared" si="0"/>
        <v>45990</v>
      </c>
      <c r="N9" s="14"/>
      <c r="O9" s="22">
        <f t="shared" si="1"/>
        <v>45990</v>
      </c>
      <c r="P9" s="87"/>
    </row>
    <row r="10" spans="1:17" ht="15.75" x14ac:dyDescent="0.25">
      <c r="A10" s="59">
        <v>7</v>
      </c>
      <c r="B10" s="59" t="s">
        <v>172</v>
      </c>
      <c r="C10" s="22">
        <v>0</v>
      </c>
      <c r="D10" s="22">
        <v>38500</v>
      </c>
      <c r="E10" s="22">
        <v>1000</v>
      </c>
      <c r="F10" s="22">
        <v>3000</v>
      </c>
      <c r="G10" s="22"/>
      <c r="H10" s="22"/>
      <c r="I10" s="22"/>
      <c r="J10" s="22"/>
      <c r="K10" s="22">
        <v>3500</v>
      </c>
      <c r="L10" s="22"/>
      <c r="M10" s="22">
        <f t="shared" si="0"/>
        <v>46000</v>
      </c>
      <c r="N10" s="14">
        <f>30000</f>
        <v>30000</v>
      </c>
      <c r="O10" s="22">
        <f t="shared" si="1"/>
        <v>16000</v>
      </c>
      <c r="P10" s="15">
        <v>43482</v>
      </c>
    </row>
    <row r="11" spans="1:17" ht="15.75" x14ac:dyDescent="0.25">
      <c r="A11" s="59">
        <v>8</v>
      </c>
      <c r="B11" s="59" t="s">
        <v>173</v>
      </c>
      <c r="C11" s="22">
        <v>0</v>
      </c>
      <c r="D11" s="22">
        <v>38500</v>
      </c>
      <c r="E11" s="22">
        <v>1000</v>
      </c>
      <c r="F11" s="22">
        <v>3000</v>
      </c>
      <c r="G11" s="22"/>
      <c r="H11" s="22"/>
      <c r="I11" s="22"/>
      <c r="J11" s="22"/>
      <c r="K11" s="22">
        <v>3500</v>
      </c>
      <c r="L11" s="22"/>
      <c r="M11" s="22">
        <f t="shared" si="0"/>
        <v>46000</v>
      </c>
      <c r="N11" s="14">
        <f>1000+45000</f>
        <v>46000</v>
      </c>
      <c r="O11" s="22">
        <f t="shared" si="1"/>
        <v>0</v>
      </c>
      <c r="P11" s="15" t="s">
        <v>203</v>
      </c>
    </row>
    <row r="12" spans="1:17" ht="15.75" x14ac:dyDescent="0.25">
      <c r="A12" s="59">
        <v>9</v>
      </c>
      <c r="B12" s="59" t="s">
        <v>174</v>
      </c>
      <c r="C12" s="22">
        <v>0</v>
      </c>
      <c r="D12" s="22">
        <v>38500</v>
      </c>
      <c r="E12" s="22">
        <v>1000</v>
      </c>
      <c r="F12" s="22">
        <v>3000</v>
      </c>
      <c r="G12" s="22"/>
      <c r="H12" s="22"/>
      <c r="I12" s="22"/>
      <c r="J12" s="22"/>
      <c r="K12" s="22">
        <v>3500</v>
      </c>
      <c r="L12" s="22">
        <v>15000</v>
      </c>
      <c r="M12" s="22">
        <f t="shared" si="0"/>
        <v>61000</v>
      </c>
      <c r="N12" s="14"/>
      <c r="O12" s="22">
        <f t="shared" si="1"/>
        <v>61000</v>
      </c>
      <c r="P12" s="15"/>
    </row>
    <row r="13" spans="1:17" ht="15.75" x14ac:dyDescent="0.25">
      <c r="A13" s="59">
        <v>10</v>
      </c>
      <c r="B13" s="59" t="s">
        <v>175</v>
      </c>
      <c r="C13" s="22">
        <v>140</v>
      </c>
      <c r="D13" s="22">
        <v>38500</v>
      </c>
      <c r="E13" s="22">
        <v>1000</v>
      </c>
      <c r="F13" s="22">
        <v>3000</v>
      </c>
      <c r="G13" s="22"/>
      <c r="H13" s="22"/>
      <c r="I13" s="22"/>
      <c r="J13" s="22"/>
      <c r="K13" s="22">
        <v>3500</v>
      </c>
      <c r="L13" s="22"/>
      <c r="M13" s="22">
        <f t="shared" si="0"/>
        <v>46140</v>
      </c>
      <c r="N13" s="14"/>
      <c r="O13" s="22">
        <f t="shared" si="1"/>
        <v>46140</v>
      </c>
      <c r="P13" s="11"/>
    </row>
    <row r="14" spans="1:17" ht="15.75" x14ac:dyDescent="0.25">
      <c r="A14" s="59">
        <v>11</v>
      </c>
      <c r="B14" s="59" t="s">
        <v>176</v>
      </c>
      <c r="C14" s="22">
        <v>0</v>
      </c>
      <c r="D14" s="22">
        <v>38500</v>
      </c>
      <c r="E14" s="22">
        <v>1000</v>
      </c>
      <c r="F14" s="22">
        <v>3000</v>
      </c>
      <c r="G14" s="22"/>
      <c r="H14" s="22"/>
      <c r="I14" s="22"/>
      <c r="J14" s="22"/>
      <c r="K14" s="22">
        <v>3500</v>
      </c>
      <c r="L14" s="22"/>
      <c r="M14" s="22">
        <f t="shared" si="0"/>
        <v>46000</v>
      </c>
      <c r="N14" s="14">
        <f>45000+1000</f>
        <v>46000</v>
      </c>
      <c r="O14" s="22">
        <f t="shared" si="1"/>
        <v>0</v>
      </c>
      <c r="P14" s="15">
        <v>43504</v>
      </c>
    </row>
    <row r="15" spans="1:17" ht="15.75" x14ac:dyDescent="0.25">
      <c r="A15" s="59">
        <v>12</v>
      </c>
      <c r="B15" s="59" t="s">
        <v>177</v>
      </c>
      <c r="C15" s="22">
        <v>140</v>
      </c>
      <c r="D15" s="22">
        <v>38500</v>
      </c>
      <c r="E15" s="22">
        <v>1000</v>
      </c>
      <c r="F15" s="22">
        <v>3000</v>
      </c>
      <c r="G15" s="22"/>
      <c r="H15" s="22"/>
      <c r="I15" s="22"/>
      <c r="J15" s="22"/>
      <c r="K15" s="22">
        <v>3500</v>
      </c>
      <c r="L15" s="22"/>
      <c r="M15" s="22">
        <f t="shared" si="0"/>
        <v>46140</v>
      </c>
      <c r="N15" s="14">
        <f>20000</f>
        <v>20000</v>
      </c>
      <c r="O15" s="22">
        <f t="shared" si="1"/>
        <v>26140</v>
      </c>
      <c r="P15" s="15">
        <v>43481</v>
      </c>
    </row>
    <row r="16" spans="1:17" ht="15.75" x14ac:dyDescent="0.25">
      <c r="A16" s="59">
        <v>13</v>
      </c>
      <c r="B16" s="59" t="s">
        <v>178</v>
      </c>
      <c r="C16" s="22">
        <v>0</v>
      </c>
      <c r="D16" s="22">
        <v>0</v>
      </c>
      <c r="E16" s="22">
        <v>1000</v>
      </c>
      <c r="F16" s="22">
        <v>3000</v>
      </c>
      <c r="G16" s="22"/>
      <c r="H16" s="22"/>
      <c r="I16" s="22"/>
      <c r="J16" s="22"/>
      <c r="K16" s="22">
        <v>3500</v>
      </c>
      <c r="L16" s="22"/>
      <c r="M16" s="22">
        <f t="shared" si="0"/>
        <v>7500</v>
      </c>
      <c r="N16" s="14">
        <f>10000</f>
        <v>10000</v>
      </c>
      <c r="O16" s="22">
        <f t="shared" si="1"/>
        <v>-2500</v>
      </c>
      <c r="P16" s="15">
        <v>43479</v>
      </c>
    </row>
    <row r="17" spans="1:16" ht="15.75" x14ac:dyDescent="0.25">
      <c r="A17" s="59">
        <v>14</v>
      </c>
      <c r="B17" s="59" t="s">
        <v>179</v>
      </c>
      <c r="C17" s="22">
        <v>0</v>
      </c>
      <c r="D17" s="22">
        <v>38500</v>
      </c>
      <c r="E17" s="22">
        <v>1000</v>
      </c>
      <c r="F17" s="22">
        <v>3000</v>
      </c>
      <c r="G17" s="22"/>
      <c r="H17" s="22"/>
      <c r="I17" s="22"/>
      <c r="J17" s="22"/>
      <c r="K17" s="22">
        <v>3500</v>
      </c>
      <c r="L17" s="22"/>
      <c r="M17" s="22">
        <f t="shared" si="0"/>
        <v>46000</v>
      </c>
      <c r="N17" s="14">
        <f>45000+1000</f>
        <v>46000</v>
      </c>
      <c r="O17" s="22">
        <f t="shared" si="1"/>
        <v>0</v>
      </c>
      <c r="P17" s="15">
        <v>43472</v>
      </c>
    </row>
    <row r="18" spans="1:16" ht="15.75" x14ac:dyDescent="0.25">
      <c r="A18" s="59">
        <v>15</v>
      </c>
      <c r="B18" s="59" t="s">
        <v>180</v>
      </c>
      <c r="C18" s="22">
        <v>0</v>
      </c>
      <c r="D18" s="22">
        <v>38500</v>
      </c>
      <c r="E18" s="22">
        <v>1000</v>
      </c>
      <c r="F18" s="22">
        <v>3000</v>
      </c>
      <c r="G18" s="22"/>
      <c r="H18" s="22"/>
      <c r="I18" s="22"/>
      <c r="J18" s="22"/>
      <c r="K18" s="22">
        <v>3500</v>
      </c>
      <c r="L18" s="22"/>
      <c r="M18" s="22">
        <f t="shared" si="0"/>
        <v>46000</v>
      </c>
      <c r="N18" s="14">
        <f>45000+1000</f>
        <v>46000</v>
      </c>
      <c r="O18" s="22">
        <f t="shared" si="1"/>
        <v>0</v>
      </c>
      <c r="P18" s="15">
        <v>43473</v>
      </c>
    </row>
    <row r="19" spans="1:16" ht="15.75" x14ac:dyDescent="0.25">
      <c r="A19" s="59">
        <v>16</v>
      </c>
      <c r="B19" s="59" t="s">
        <v>182</v>
      </c>
      <c r="C19" s="22">
        <v>0</v>
      </c>
      <c r="D19" s="22">
        <v>38500</v>
      </c>
      <c r="E19" s="22">
        <v>1000</v>
      </c>
      <c r="F19" s="22">
        <v>3000</v>
      </c>
      <c r="G19" s="22"/>
      <c r="H19" s="22"/>
      <c r="I19" s="22"/>
      <c r="J19" s="22"/>
      <c r="K19" s="22">
        <v>3500</v>
      </c>
      <c r="L19" s="22"/>
      <c r="M19" s="22">
        <f t="shared" si="0"/>
        <v>46000</v>
      </c>
      <c r="N19" s="14">
        <f>45000</f>
        <v>45000</v>
      </c>
      <c r="O19" s="22">
        <f t="shared" si="1"/>
        <v>1000</v>
      </c>
      <c r="P19" s="15">
        <v>43487</v>
      </c>
    </row>
    <row r="20" spans="1:16" ht="15.75" x14ac:dyDescent="0.25">
      <c r="A20" s="59">
        <v>17</v>
      </c>
      <c r="B20" s="59" t="s">
        <v>217</v>
      </c>
      <c r="C20" s="22">
        <v>0</v>
      </c>
      <c r="D20" s="22">
        <v>38500</v>
      </c>
      <c r="E20" s="22">
        <v>1000</v>
      </c>
      <c r="F20" s="22">
        <v>3000</v>
      </c>
      <c r="G20" s="22">
        <v>10000</v>
      </c>
      <c r="H20" s="22">
        <v>6000</v>
      </c>
      <c r="I20" s="22">
        <v>2500</v>
      </c>
      <c r="J20" s="22">
        <v>26140</v>
      </c>
      <c r="K20" s="22">
        <v>3500</v>
      </c>
      <c r="L20" s="22">
        <v>7500</v>
      </c>
      <c r="M20" s="22">
        <f t="shared" ref="M20" si="2">SUM(C20:L20)</f>
        <v>98140</v>
      </c>
      <c r="N20" s="14">
        <f>50000+34840</f>
        <v>84840</v>
      </c>
      <c r="O20" s="22">
        <f t="shared" si="1"/>
        <v>13300</v>
      </c>
      <c r="P20" s="15" t="s">
        <v>219</v>
      </c>
    </row>
    <row r="21" spans="1:16" s="88" customFormat="1" ht="15.75" x14ac:dyDescent="0.25">
      <c r="A21" s="56"/>
      <c r="B21" s="56" t="s">
        <v>189</v>
      </c>
      <c r="C21" s="23">
        <f t="shared" ref="C21:N21" si="3">SUM(C4:C20)</f>
        <v>270</v>
      </c>
      <c r="D21" s="23">
        <f t="shared" si="3"/>
        <v>616000</v>
      </c>
      <c r="E21" s="23">
        <f t="shared" si="3"/>
        <v>17000</v>
      </c>
      <c r="F21" s="23">
        <f t="shared" si="3"/>
        <v>51000</v>
      </c>
      <c r="G21" s="23">
        <f t="shared" si="3"/>
        <v>10000</v>
      </c>
      <c r="H21" s="23">
        <f t="shared" si="3"/>
        <v>6000</v>
      </c>
      <c r="I21" s="23">
        <f t="shared" si="3"/>
        <v>2500</v>
      </c>
      <c r="J21" s="23">
        <f t="shared" si="3"/>
        <v>26140</v>
      </c>
      <c r="K21" s="23">
        <f t="shared" si="3"/>
        <v>59500</v>
      </c>
      <c r="L21" s="23">
        <f t="shared" si="3"/>
        <v>22500</v>
      </c>
      <c r="M21" s="23">
        <f t="shared" si="3"/>
        <v>810910</v>
      </c>
      <c r="N21" s="23">
        <f t="shared" si="3"/>
        <v>473340</v>
      </c>
      <c r="O21" s="23">
        <f>SUM(O4:O20)</f>
        <v>337570</v>
      </c>
      <c r="P21" s="10"/>
    </row>
  </sheetData>
  <sheetProtection algorithmName="SHA-512" hashValue="ewVViBOIzC+HYuP+6gGnbi0kg5Ep0IBhggmllfC1TcHVT8GwLM/XKK5+i20u6NREPNJ5zFXxL7Ixi3YUdPE6JQ==" saltValue="cc6ZQIrTDkRUOeLFpizXg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zoomScale="75" zoomScaleNormal="75" workbookViewId="0">
      <selection activeCell="M10" sqref="M10"/>
    </sheetView>
  </sheetViews>
  <sheetFormatPr defaultRowHeight="15" x14ac:dyDescent="0.25"/>
  <cols>
    <col min="1" max="1" width="9.140625" style="50"/>
    <col min="2" max="2" width="20.7109375" style="50" customWidth="1"/>
    <col min="3" max="3" width="11.42578125" style="50" customWidth="1"/>
    <col min="4" max="4" width="9.42578125" style="50" customWidth="1"/>
    <col min="5" max="5" width="9.28515625" style="50" customWidth="1"/>
    <col min="6" max="6" width="9.140625" style="50" customWidth="1"/>
    <col min="7" max="7" width="10" style="50" customWidth="1"/>
    <col min="8" max="8" width="11.5703125" style="50" bestFit="1" customWidth="1"/>
    <col min="9" max="10" width="9.140625" style="50"/>
    <col min="11" max="12" width="9.140625" style="50" bestFit="1" customWidth="1"/>
    <col min="13" max="13" width="10.42578125" style="50" bestFit="1" customWidth="1"/>
    <col min="14" max="16384" width="9.140625" style="50"/>
  </cols>
  <sheetData>
    <row r="1" spans="2:13" ht="15.75" thickBot="1" x14ac:dyDescent="0.3">
      <c r="B1" s="9" t="s">
        <v>71</v>
      </c>
      <c r="C1" s="9"/>
      <c r="E1" s="51"/>
    </row>
    <row r="2" spans="2:13" x14ac:dyDescent="0.25">
      <c r="B2" s="24" t="s">
        <v>72</v>
      </c>
      <c r="C2" s="25" t="s">
        <v>38</v>
      </c>
      <c r="D2" s="25" t="s">
        <v>62</v>
      </c>
      <c r="E2" s="25" t="s">
        <v>63</v>
      </c>
      <c r="F2" s="26" t="s">
        <v>64</v>
      </c>
      <c r="G2" s="26" t="s">
        <v>65</v>
      </c>
      <c r="H2" s="26" t="s">
        <v>66</v>
      </c>
      <c r="I2" s="26" t="s">
        <v>67</v>
      </c>
      <c r="J2" s="26" t="s">
        <v>68</v>
      </c>
      <c r="K2" s="27" t="s">
        <v>115</v>
      </c>
      <c r="L2" s="28" t="s">
        <v>165</v>
      </c>
      <c r="M2" s="29" t="s">
        <v>69</v>
      </c>
    </row>
    <row r="3" spans="2:13" x14ac:dyDescent="0.25">
      <c r="B3" s="32" t="s">
        <v>73</v>
      </c>
      <c r="C3" s="33">
        <f>Preschool!D23</f>
        <v>700000</v>
      </c>
      <c r="D3" s="33">
        <f>'Nur 1'!D22</f>
        <v>587250</v>
      </c>
      <c r="E3" s="33">
        <f>'Nur 2'!D23</f>
        <v>630000</v>
      </c>
      <c r="F3" s="33">
        <f>'Pry 1'!D14</f>
        <v>365000</v>
      </c>
      <c r="G3" s="33">
        <f>'Pry 2'!D14</f>
        <v>365000</v>
      </c>
      <c r="H3" s="52">
        <f>'Pry 3'!D16</f>
        <v>401500</v>
      </c>
      <c r="I3" s="33">
        <f>'Pry 4'!D16</f>
        <v>438000</v>
      </c>
      <c r="J3" s="33">
        <f>'Pry 5'!D20</f>
        <v>584000</v>
      </c>
      <c r="K3" s="34">
        <f>'JSS 1'!D22</f>
        <v>693000</v>
      </c>
      <c r="L3" s="35">
        <f>'JSS 2'!D21</f>
        <v>616000</v>
      </c>
      <c r="M3" s="30">
        <f>SUM(C3:L3)</f>
        <v>5379750</v>
      </c>
    </row>
    <row r="4" spans="2:13" x14ac:dyDescent="0.25">
      <c r="B4" s="32" t="s">
        <v>190</v>
      </c>
      <c r="C4" s="33">
        <f>Preschool!F23</f>
        <v>60000</v>
      </c>
      <c r="D4" s="33">
        <f>'Nur 1'!F22</f>
        <v>54000</v>
      </c>
      <c r="E4" s="33">
        <f>'Nur 2'!F23</f>
        <v>57000</v>
      </c>
      <c r="F4" s="33">
        <f>'Pry 1'!F14</f>
        <v>30000</v>
      </c>
      <c r="G4" s="33">
        <f>'Pry 2'!F14</f>
        <v>30000</v>
      </c>
      <c r="H4" s="52">
        <f>'Pry 3'!F16</f>
        <v>36000</v>
      </c>
      <c r="I4" s="33">
        <f>'Pry 4'!F16</f>
        <v>36000</v>
      </c>
      <c r="J4" s="33">
        <f>'Pry 5'!F20</f>
        <v>48000</v>
      </c>
      <c r="K4" s="34">
        <f>'JSS 1'!F22</f>
        <v>54000</v>
      </c>
      <c r="L4" s="35">
        <f>'JSS 2'!F21</f>
        <v>51000</v>
      </c>
      <c r="M4" s="30">
        <f t="shared" ref="M4:M9" si="0">SUM(C4:L4)</f>
        <v>456000</v>
      </c>
    </row>
    <row r="5" spans="2:13" x14ac:dyDescent="0.25">
      <c r="B5" s="32" t="s">
        <v>192</v>
      </c>
      <c r="C5" s="33">
        <v>0</v>
      </c>
      <c r="D5" s="33">
        <v>0</v>
      </c>
      <c r="E5" s="33">
        <v>0</v>
      </c>
      <c r="F5" s="33">
        <f>'Pry 1'!G14</f>
        <v>32000</v>
      </c>
      <c r="G5" s="33">
        <f>'Pry 2'!G14</f>
        <v>32000</v>
      </c>
      <c r="H5" s="52">
        <f>'Pry 3'!G16</f>
        <v>38400</v>
      </c>
      <c r="I5" s="33">
        <f>'Pry 4'!G16</f>
        <v>38400</v>
      </c>
      <c r="J5" s="33">
        <f>'Pry 5'!G20</f>
        <v>51200</v>
      </c>
      <c r="K5" s="34">
        <v>0</v>
      </c>
      <c r="L5" s="35">
        <v>0</v>
      </c>
      <c r="M5" s="30">
        <f t="shared" si="0"/>
        <v>192000</v>
      </c>
    </row>
    <row r="6" spans="2:13" x14ac:dyDescent="0.25">
      <c r="B6" s="32" t="s">
        <v>2</v>
      </c>
      <c r="C6" s="33">
        <f>Preschool!E23</f>
        <v>20000</v>
      </c>
      <c r="D6" s="33">
        <f>'Nur 1'!E22</f>
        <v>18000</v>
      </c>
      <c r="E6" s="33">
        <f>'Nur 2'!E23</f>
        <v>19000</v>
      </c>
      <c r="F6" s="33">
        <f>'Pry 1'!E14</f>
        <v>10000</v>
      </c>
      <c r="G6" s="33">
        <f>'Pry 2'!E14</f>
        <v>10000</v>
      </c>
      <c r="H6" s="33">
        <f>'Pry 3'!E16</f>
        <v>12000</v>
      </c>
      <c r="I6" s="33">
        <f>'Pry 4'!E16</f>
        <v>12000</v>
      </c>
      <c r="J6" s="33">
        <f>'Pry 5'!E20</f>
        <v>16000</v>
      </c>
      <c r="K6" s="34">
        <f>'JSS 1'!E22</f>
        <v>18000</v>
      </c>
      <c r="L6" s="35">
        <f>'JSS 2'!E21</f>
        <v>17000</v>
      </c>
      <c r="M6" s="30">
        <f t="shared" si="0"/>
        <v>152000</v>
      </c>
    </row>
    <row r="7" spans="2:13" x14ac:dyDescent="0.25">
      <c r="B7" s="32" t="s">
        <v>31</v>
      </c>
      <c r="C7" s="53">
        <v>0</v>
      </c>
      <c r="D7" s="53">
        <v>0</v>
      </c>
      <c r="E7" s="33">
        <v>0</v>
      </c>
      <c r="F7" s="33">
        <f>'Pry 1'!L14</f>
        <v>35000</v>
      </c>
      <c r="G7" s="33">
        <f>'Pry 2'!L14</f>
        <v>35000</v>
      </c>
      <c r="H7" s="33">
        <f>'Pry 3'!L16</f>
        <v>42000</v>
      </c>
      <c r="I7" s="33">
        <f>'Pry 4'!J16</f>
        <v>42000</v>
      </c>
      <c r="J7" s="33">
        <f>'Pry 5'!J20</f>
        <v>56000</v>
      </c>
      <c r="K7" s="34">
        <f>'JSS 1'!I22</f>
        <v>63000</v>
      </c>
      <c r="L7" s="35">
        <f>'JSS 2'!K21</f>
        <v>59500</v>
      </c>
      <c r="M7" s="30">
        <f t="shared" si="0"/>
        <v>332500</v>
      </c>
    </row>
    <row r="8" spans="2:13" x14ac:dyDescent="0.25">
      <c r="B8" s="32" t="s">
        <v>5</v>
      </c>
      <c r="C8" s="33">
        <f>Preschool!K23</f>
        <v>30000</v>
      </c>
      <c r="D8" s="33">
        <f>'Nur 1'!K22</f>
        <v>40000</v>
      </c>
      <c r="E8" s="33">
        <f>'Nur 2'!K23</f>
        <v>45000</v>
      </c>
      <c r="F8" s="33">
        <f>'Pry 1'!M14</f>
        <v>15000</v>
      </c>
      <c r="G8" s="33">
        <f>'Pry 2'!M14</f>
        <v>7500</v>
      </c>
      <c r="H8" s="33">
        <f>'Pry 3'!M16</f>
        <v>7500</v>
      </c>
      <c r="I8" s="33">
        <f>'Pry 4'!K16</f>
        <v>15000</v>
      </c>
      <c r="J8" s="33">
        <f>'Pry 5'!K20</f>
        <v>37500</v>
      </c>
      <c r="K8" s="34">
        <f>'JSS 1'!J22</f>
        <v>15000</v>
      </c>
      <c r="L8" s="35">
        <f>'JSS 2'!L21</f>
        <v>22500</v>
      </c>
      <c r="M8" s="30">
        <f t="shared" si="0"/>
        <v>235000</v>
      </c>
    </row>
    <row r="9" spans="2:13" x14ac:dyDescent="0.25">
      <c r="B9" s="36" t="s">
        <v>7</v>
      </c>
      <c r="C9" s="37">
        <f>Preschool!C23</f>
        <v>41950</v>
      </c>
      <c r="D9" s="37">
        <f>'Nur 1'!C22</f>
        <v>57840</v>
      </c>
      <c r="E9" s="37">
        <f>'Nur 2'!C23</f>
        <v>86950</v>
      </c>
      <c r="F9" s="37">
        <f>'Pry 1'!C14</f>
        <v>89300</v>
      </c>
      <c r="G9" s="37">
        <f>'Pry 2'!C14</f>
        <v>30390</v>
      </c>
      <c r="H9" s="37">
        <f>'Pry 3'!C16</f>
        <v>30660</v>
      </c>
      <c r="I9" s="37">
        <f>'Pry 4'!C16</f>
        <v>12930</v>
      </c>
      <c r="J9" s="37">
        <f>'Pry 5'!C20</f>
        <v>930</v>
      </c>
      <c r="K9" s="38">
        <f>'JSS 1'!C22</f>
        <v>147060</v>
      </c>
      <c r="L9" s="39">
        <f>'JSS 2'!C21</f>
        <v>270</v>
      </c>
      <c r="M9" s="30">
        <f t="shared" si="0"/>
        <v>498280</v>
      </c>
    </row>
    <row r="10" spans="2:13" x14ac:dyDescent="0.25">
      <c r="B10" s="40" t="s">
        <v>74</v>
      </c>
      <c r="C10" s="41">
        <f t="shared" ref="C10:M10" si="1">SUM(C3:C9)</f>
        <v>851950</v>
      </c>
      <c r="D10" s="41">
        <f t="shared" si="1"/>
        <v>757090</v>
      </c>
      <c r="E10" s="41">
        <f t="shared" si="1"/>
        <v>837950</v>
      </c>
      <c r="F10" s="41">
        <f t="shared" si="1"/>
        <v>576300</v>
      </c>
      <c r="G10" s="41">
        <f t="shared" si="1"/>
        <v>509890</v>
      </c>
      <c r="H10" s="41">
        <f t="shared" si="1"/>
        <v>568060</v>
      </c>
      <c r="I10" s="41">
        <f t="shared" si="1"/>
        <v>594330</v>
      </c>
      <c r="J10" s="41">
        <f t="shared" si="1"/>
        <v>793630</v>
      </c>
      <c r="K10" s="42">
        <f t="shared" si="1"/>
        <v>990060</v>
      </c>
      <c r="L10" s="42">
        <f t="shared" si="1"/>
        <v>766270</v>
      </c>
      <c r="M10" s="43">
        <f t="shared" si="1"/>
        <v>7245530</v>
      </c>
    </row>
    <row r="11" spans="2:13" x14ac:dyDescent="0.25">
      <c r="B11" s="44" t="s">
        <v>181</v>
      </c>
      <c r="C11" s="53">
        <f>Preschool!M23</f>
        <v>627000</v>
      </c>
      <c r="D11" s="53">
        <f>'Nur 1'!M22</f>
        <v>475490</v>
      </c>
      <c r="E11" s="53">
        <f>'Nur 1'!M22</f>
        <v>475490</v>
      </c>
      <c r="F11" s="53">
        <f>'Pry 1'!O14</f>
        <v>266760</v>
      </c>
      <c r="G11" s="53">
        <f>'Pry 2'!O14</f>
        <v>319040</v>
      </c>
      <c r="H11" s="53">
        <f>'Pry 3'!O16</f>
        <v>314800</v>
      </c>
      <c r="I11" s="53">
        <f>'Pry 4'!M16</f>
        <v>283210</v>
      </c>
      <c r="J11" s="53">
        <f>'Pry 5'!M20</f>
        <v>523800</v>
      </c>
      <c r="K11" s="53">
        <f>'JSS 1'!L22</f>
        <v>657100</v>
      </c>
      <c r="L11" s="53">
        <f>'JSS 2'!N21</f>
        <v>473340</v>
      </c>
      <c r="M11" s="33">
        <f>SUM(C11:L11)</f>
        <v>4416030</v>
      </c>
    </row>
    <row r="12" spans="2:13" x14ac:dyDescent="0.25">
      <c r="B12" s="44" t="s">
        <v>30</v>
      </c>
      <c r="C12" s="45">
        <f>C10-C11</f>
        <v>224950</v>
      </c>
      <c r="D12" s="45">
        <f t="shared" ref="D12:M12" si="2">D10-D11</f>
        <v>281600</v>
      </c>
      <c r="E12" s="45">
        <f t="shared" si="2"/>
        <v>362460</v>
      </c>
      <c r="F12" s="45">
        <f t="shared" si="2"/>
        <v>309540</v>
      </c>
      <c r="G12" s="45">
        <f t="shared" si="2"/>
        <v>190850</v>
      </c>
      <c r="H12" s="45">
        <f t="shared" si="2"/>
        <v>253260</v>
      </c>
      <c r="I12" s="45">
        <f t="shared" si="2"/>
        <v>311120</v>
      </c>
      <c r="J12" s="45">
        <f t="shared" si="2"/>
        <v>269830</v>
      </c>
      <c r="K12" s="45">
        <f t="shared" si="2"/>
        <v>332960</v>
      </c>
      <c r="L12" s="45">
        <f t="shared" si="2"/>
        <v>292930</v>
      </c>
      <c r="M12" s="45">
        <f t="shared" si="2"/>
        <v>2829500</v>
      </c>
    </row>
  </sheetData>
  <sheetProtection algorithmName="SHA-512" hashValue="Y555gkDEBbgYhL0mJwyKK0ASRxjK0zbP0Fsvpk2o0M7fbc060q4NBbWATpvGhc3APlNSDD2gXmYuhE6bAaFAWw==" saltValue="Yut9ApQEtBWXguJQh5xp7g==" spinCount="100000" sheet="1" objects="1" scenarios="1"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75" zoomScaleNormal="75" workbookViewId="0">
      <selection activeCell="D11" sqref="D11"/>
    </sheetView>
  </sheetViews>
  <sheetFormatPr defaultColWidth="8.85546875" defaultRowHeight="15.75" x14ac:dyDescent="0.25"/>
  <cols>
    <col min="1" max="1" width="5.5703125" style="12" bestFit="1" customWidth="1"/>
    <col min="2" max="2" width="39.140625" style="12" bestFit="1" customWidth="1"/>
    <col min="3" max="3" width="13.28515625" style="12" bestFit="1" customWidth="1"/>
    <col min="4" max="4" width="12.28515625" style="12" bestFit="1" customWidth="1"/>
    <col min="5" max="5" width="9.7109375" style="12" bestFit="1" customWidth="1"/>
    <col min="6" max="6" width="13.140625" style="12" bestFit="1" customWidth="1"/>
    <col min="7" max="7" width="11.28515625" style="12" bestFit="1" customWidth="1"/>
    <col min="8" max="9" width="11.28515625" style="12" customWidth="1"/>
    <col min="10" max="10" width="11.28515625" style="12" bestFit="1" customWidth="1"/>
    <col min="11" max="11" width="10.5703125" style="12" customWidth="1"/>
    <col min="12" max="12" width="11.28515625" style="12" bestFit="1" customWidth="1"/>
    <col min="13" max="13" width="10.85546875" style="12" customWidth="1"/>
    <col min="14" max="14" width="13.28515625" style="12" bestFit="1" customWidth="1"/>
    <col min="15" max="15" width="21.7109375" style="12" customWidth="1"/>
    <col min="16" max="16" width="10.7109375" style="12" bestFit="1" customWidth="1"/>
    <col min="17" max="17" width="10.5703125" style="12" bestFit="1" customWidth="1"/>
    <col min="18" max="18" width="10.7109375" style="12" bestFit="1" customWidth="1"/>
    <col min="19" max="16384" width="8.85546875" style="12"/>
  </cols>
  <sheetData>
    <row r="1" spans="1:18" x14ac:dyDescent="0.25">
      <c r="A1" s="11"/>
      <c r="B1" s="11"/>
      <c r="C1" s="11"/>
      <c r="D1" s="90" t="s">
        <v>10</v>
      </c>
      <c r="E1" s="90"/>
      <c r="F1" s="90"/>
      <c r="G1" s="90"/>
      <c r="H1" s="90"/>
      <c r="I1" s="90"/>
      <c r="J1" s="90"/>
      <c r="K1" s="90"/>
      <c r="L1" s="90"/>
      <c r="M1" s="90"/>
      <c r="N1" s="11"/>
      <c r="O1" s="11"/>
    </row>
    <row r="2" spans="1:18" x14ac:dyDescent="0.25">
      <c r="A2" s="56" t="s">
        <v>6</v>
      </c>
      <c r="B2" s="56" t="s">
        <v>0</v>
      </c>
      <c r="C2" s="57" t="s">
        <v>7</v>
      </c>
      <c r="D2" s="56" t="s">
        <v>1</v>
      </c>
      <c r="E2" s="56" t="s">
        <v>2</v>
      </c>
      <c r="F2" s="56" t="s">
        <v>190</v>
      </c>
      <c r="G2" s="56" t="s">
        <v>55</v>
      </c>
      <c r="H2" s="56" t="s">
        <v>222</v>
      </c>
      <c r="I2" s="56" t="s">
        <v>223</v>
      </c>
      <c r="J2" s="56" t="s">
        <v>3</v>
      </c>
      <c r="K2" s="56" t="s">
        <v>5</v>
      </c>
      <c r="L2" s="56" t="s">
        <v>8</v>
      </c>
      <c r="M2" s="10" t="s">
        <v>9</v>
      </c>
      <c r="N2" s="57" t="s">
        <v>30</v>
      </c>
      <c r="O2" s="10" t="s">
        <v>138</v>
      </c>
    </row>
    <row r="3" spans="1:18" x14ac:dyDescent="0.25">
      <c r="A3" s="58">
        <v>1</v>
      </c>
      <c r="B3" s="59" t="s">
        <v>141</v>
      </c>
      <c r="C3" s="22">
        <v>0</v>
      </c>
      <c r="D3" s="22">
        <v>35000</v>
      </c>
      <c r="E3" s="22">
        <v>1000</v>
      </c>
      <c r="F3" s="22">
        <v>3000</v>
      </c>
      <c r="G3" s="22"/>
      <c r="H3" s="22"/>
      <c r="I3" s="22"/>
      <c r="J3" s="22"/>
      <c r="K3" s="22"/>
      <c r="L3" s="22">
        <f t="shared" ref="L3:L15" si="0">SUM(C3:K3)</f>
        <v>39000</v>
      </c>
      <c r="M3" s="14"/>
      <c r="N3" s="22">
        <f t="shared" ref="N3:N15" si="1">L3-M3</f>
        <v>39000</v>
      </c>
      <c r="O3" s="15"/>
      <c r="R3" s="54"/>
    </row>
    <row r="4" spans="1:18" x14ac:dyDescent="0.25">
      <c r="A4" s="58">
        <v>2</v>
      </c>
      <c r="B4" s="59" t="s">
        <v>142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/>
      <c r="K4" s="22">
        <v>15000</v>
      </c>
      <c r="L4" s="22">
        <f t="shared" si="0"/>
        <v>54000</v>
      </c>
      <c r="M4" s="14">
        <f>53000+1000</f>
        <v>54000</v>
      </c>
      <c r="N4" s="22">
        <f t="shared" si="1"/>
        <v>0</v>
      </c>
      <c r="O4" s="15">
        <v>43473</v>
      </c>
    </row>
    <row r="5" spans="1:18" x14ac:dyDescent="0.25">
      <c r="A5" s="58">
        <v>3</v>
      </c>
      <c r="B5" s="59" t="s">
        <v>143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/>
      <c r="K5" s="22"/>
      <c r="L5" s="22">
        <f t="shared" si="0"/>
        <v>39000</v>
      </c>
      <c r="M5" s="14">
        <f>38000+1000</f>
        <v>39000</v>
      </c>
      <c r="N5" s="22">
        <f t="shared" si="1"/>
        <v>0</v>
      </c>
      <c r="O5" s="15"/>
    </row>
    <row r="6" spans="1:18" x14ac:dyDescent="0.25">
      <c r="A6" s="58">
        <v>4</v>
      </c>
      <c r="B6" s="59" t="s">
        <v>144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/>
      <c r="K6" s="22"/>
      <c r="L6" s="22">
        <f t="shared" si="0"/>
        <v>39000</v>
      </c>
      <c r="M6" s="14">
        <f>38000+1000</f>
        <v>39000</v>
      </c>
      <c r="N6" s="22">
        <f t="shared" si="1"/>
        <v>0</v>
      </c>
      <c r="O6" s="15">
        <v>43480</v>
      </c>
    </row>
    <row r="7" spans="1:18" x14ac:dyDescent="0.25">
      <c r="A7" s="58">
        <v>5</v>
      </c>
      <c r="B7" s="59" t="s">
        <v>201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/>
      <c r="K7" s="22"/>
      <c r="L7" s="22">
        <f t="shared" si="0"/>
        <v>39000</v>
      </c>
      <c r="M7" s="14">
        <f>38000+1000</f>
        <v>39000</v>
      </c>
      <c r="N7" s="22">
        <f t="shared" si="1"/>
        <v>0</v>
      </c>
      <c r="O7" s="15">
        <v>43480</v>
      </c>
    </row>
    <row r="8" spans="1:18" x14ac:dyDescent="0.25">
      <c r="A8" s="58">
        <v>6</v>
      </c>
      <c r="B8" s="59" t="s">
        <v>145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/>
      <c r="K8" s="22"/>
      <c r="L8" s="22">
        <f t="shared" si="0"/>
        <v>39000</v>
      </c>
      <c r="M8" s="14">
        <f>20000</f>
        <v>20000</v>
      </c>
      <c r="N8" s="22">
        <f t="shared" si="1"/>
        <v>19000</v>
      </c>
      <c r="O8" s="15">
        <v>43494</v>
      </c>
    </row>
    <row r="9" spans="1:18" x14ac:dyDescent="0.25">
      <c r="A9" s="58">
        <v>7</v>
      </c>
      <c r="B9" s="59" t="s">
        <v>146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/>
      <c r="K9" s="22"/>
      <c r="L9" s="22">
        <f t="shared" si="0"/>
        <v>39000</v>
      </c>
      <c r="M9" s="14">
        <f>20000</f>
        <v>20000</v>
      </c>
      <c r="N9" s="22">
        <f t="shared" si="1"/>
        <v>19000</v>
      </c>
      <c r="O9" s="15">
        <v>43494</v>
      </c>
    </row>
    <row r="10" spans="1:18" x14ac:dyDescent="0.25">
      <c r="A10" s="58">
        <v>8</v>
      </c>
      <c r="B10" s="59" t="s">
        <v>147</v>
      </c>
      <c r="C10" s="22">
        <v>1000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/>
      <c r="K10" s="22"/>
      <c r="L10" s="22">
        <f t="shared" si="0"/>
        <v>40000</v>
      </c>
      <c r="M10" s="14">
        <f>38000</f>
        <v>38000</v>
      </c>
      <c r="N10" s="22">
        <f t="shared" si="1"/>
        <v>2000</v>
      </c>
      <c r="O10" s="15">
        <v>43493</v>
      </c>
    </row>
    <row r="11" spans="1:18" x14ac:dyDescent="0.25">
      <c r="A11" s="58">
        <v>9</v>
      </c>
      <c r="B11" s="59" t="s">
        <v>148</v>
      </c>
      <c r="C11" s="22">
        <v>20950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/>
      <c r="K11" s="22"/>
      <c r="L11" s="22">
        <f t="shared" si="0"/>
        <v>59950</v>
      </c>
      <c r="M11" s="14">
        <f>20000+21000</f>
        <v>41000</v>
      </c>
      <c r="N11" s="22">
        <f t="shared" si="1"/>
        <v>18950</v>
      </c>
      <c r="O11" s="15" t="s">
        <v>221</v>
      </c>
    </row>
    <row r="12" spans="1:18" x14ac:dyDescent="0.25">
      <c r="A12" s="58">
        <v>10</v>
      </c>
      <c r="B12" s="59" t="s">
        <v>149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/>
      <c r="K12" s="22"/>
      <c r="L12" s="22">
        <f t="shared" si="0"/>
        <v>39000</v>
      </c>
      <c r="M12" s="14">
        <v>31000</v>
      </c>
      <c r="N12" s="22">
        <f t="shared" si="1"/>
        <v>8000</v>
      </c>
      <c r="O12" s="15">
        <v>43483</v>
      </c>
    </row>
    <row r="13" spans="1:18" x14ac:dyDescent="0.25">
      <c r="A13" s="58">
        <v>11</v>
      </c>
      <c r="B13" s="59" t="s">
        <v>184</v>
      </c>
      <c r="C13" s="22">
        <v>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/>
      <c r="K13" s="22"/>
      <c r="L13" s="22">
        <f t="shared" si="0"/>
        <v>39000</v>
      </c>
      <c r="M13" s="14">
        <f>38000+B41000</f>
        <v>38000</v>
      </c>
      <c r="N13" s="22">
        <f t="shared" si="1"/>
        <v>1000</v>
      </c>
      <c r="O13" s="15">
        <v>43475</v>
      </c>
    </row>
    <row r="14" spans="1:18" x14ac:dyDescent="0.25">
      <c r="A14" s="58">
        <v>12</v>
      </c>
      <c r="B14" s="59" t="s">
        <v>150</v>
      </c>
      <c r="C14" s="22">
        <v>0</v>
      </c>
      <c r="D14" s="22">
        <v>35000</v>
      </c>
      <c r="E14" s="22">
        <v>1000</v>
      </c>
      <c r="F14" s="22">
        <v>3000</v>
      </c>
      <c r="G14" s="22"/>
      <c r="H14" s="22"/>
      <c r="I14" s="22"/>
      <c r="J14" s="22"/>
      <c r="K14" s="22"/>
      <c r="L14" s="22">
        <f t="shared" si="0"/>
        <v>39000</v>
      </c>
      <c r="M14" s="14">
        <f>39000</f>
        <v>39000</v>
      </c>
      <c r="N14" s="22">
        <f t="shared" si="1"/>
        <v>0</v>
      </c>
      <c r="O14" s="15">
        <v>43493</v>
      </c>
    </row>
    <row r="15" spans="1:18" x14ac:dyDescent="0.25">
      <c r="A15" s="58">
        <v>13</v>
      </c>
      <c r="B15" s="59" t="s">
        <v>187</v>
      </c>
      <c r="C15" s="22">
        <v>20000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/>
      <c r="K15" s="22"/>
      <c r="L15" s="22">
        <f t="shared" si="0"/>
        <v>59000</v>
      </c>
      <c r="M15" s="14">
        <f>20000</f>
        <v>20000</v>
      </c>
      <c r="N15" s="22">
        <f t="shared" si="1"/>
        <v>39000</v>
      </c>
      <c r="O15" s="15">
        <v>43475</v>
      </c>
      <c r="P15" s="55"/>
    </row>
    <row r="16" spans="1:18" x14ac:dyDescent="0.25">
      <c r="A16" s="58">
        <v>14</v>
      </c>
      <c r="B16" s="59" t="s">
        <v>193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/>
      <c r="K16" s="22"/>
      <c r="L16" s="22">
        <f t="shared" ref="L16:L18" si="2">SUM(C16:K16)</f>
        <v>39000</v>
      </c>
      <c r="M16" s="14">
        <v>39000</v>
      </c>
      <c r="N16" s="22">
        <f t="shared" ref="N16:N22" si="3">L16-M16</f>
        <v>0</v>
      </c>
      <c r="O16" s="15">
        <v>43479</v>
      </c>
      <c r="P16" s="55"/>
    </row>
    <row r="17" spans="1:16" x14ac:dyDescent="0.25">
      <c r="A17" s="58">
        <v>15</v>
      </c>
      <c r="B17" s="59" t="s">
        <v>197</v>
      </c>
      <c r="C17" s="22">
        <v>0</v>
      </c>
      <c r="D17" s="22">
        <v>35000</v>
      </c>
      <c r="E17" s="22">
        <v>1000</v>
      </c>
      <c r="F17" s="22">
        <v>3000</v>
      </c>
      <c r="G17" s="22">
        <v>9000</v>
      </c>
      <c r="H17" s="22">
        <v>6000</v>
      </c>
      <c r="I17" s="22">
        <v>2500</v>
      </c>
      <c r="J17" s="22">
        <v>8450</v>
      </c>
      <c r="K17" s="22"/>
      <c r="L17" s="22">
        <f t="shared" si="2"/>
        <v>64950</v>
      </c>
      <c r="M17" s="14">
        <f>39000</f>
        <v>39000</v>
      </c>
      <c r="N17" s="22">
        <f t="shared" si="3"/>
        <v>25950</v>
      </c>
      <c r="O17" s="15">
        <v>43465</v>
      </c>
      <c r="P17" s="55"/>
    </row>
    <row r="18" spans="1:16" x14ac:dyDescent="0.25">
      <c r="A18" s="58">
        <v>16</v>
      </c>
      <c r="B18" s="59" t="s">
        <v>198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/>
      <c r="K18" s="22"/>
      <c r="L18" s="22">
        <f t="shared" si="2"/>
        <v>39000</v>
      </c>
      <c r="M18" s="14">
        <f>30000+1000</f>
        <v>31000</v>
      </c>
      <c r="N18" s="22">
        <f t="shared" si="3"/>
        <v>8000</v>
      </c>
      <c r="O18" s="15">
        <v>43501</v>
      </c>
      <c r="P18" s="55"/>
    </row>
    <row r="19" spans="1:16" x14ac:dyDescent="0.25">
      <c r="A19" s="58">
        <v>17</v>
      </c>
      <c r="B19" s="59" t="s">
        <v>210</v>
      </c>
      <c r="C19" s="22">
        <v>0</v>
      </c>
      <c r="D19" s="22">
        <v>35000</v>
      </c>
      <c r="E19" s="22">
        <v>1000</v>
      </c>
      <c r="F19" s="22">
        <v>3000</v>
      </c>
      <c r="G19" s="22">
        <v>9000</v>
      </c>
      <c r="H19" s="22">
        <v>6000</v>
      </c>
      <c r="I19" s="22">
        <v>2500</v>
      </c>
      <c r="J19" s="22">
        <v>8450</v>
      </c>
      <c r="K19" s="22"/>
      <c r="L19" s="22">
        <f t="shared" ref="L19:L22" si="4">SUM(C19:K19)</f>
        <v>64950</v>
      </c>
      <c r="M19" s="14">
        <f>36050</f>
        <v>36050</v>
      </c>
      <c r="N19" s="22">
        <f t="shared" si="3"/>
        <v>28900</v>
      </c>
      <c r="O19" s="15">
        <v>43487</v>
      </c>
      <c r="P19" s="55"/>
    </row>
    <row r="20" spans="1:16" x14ac:dyDescent="0.25">
      <c r="A20" s="58">
        <v>18</v>
      </c>
      <c r="B20" s="59" t="s">
        <v>211</v>
      </c>
      <c r="C20" s="22">
        <v>0</v>
      </c>
      <c r="D20" s="22">
        <v>35000</v>
      </c>
      <c r="E20" s="22">
        <v>1000</v>
      </c>
      <c r="F20" s="22">
        <v>3000</v>
      </c>
      <c r="G20" s="22">
        <v>9000</v>
      </c>
      <c r="H20" s="22">
        <v>6000</v>
      </c>
      <c r="I20" s="22">
        <v>2500</v>
      </c>
      <c r="J20" s="22">
        <v>8450</v>
      </c>
      <c r="K20" s="22"/>
      <c r="L20" s="22">
        <f t="shared" si="4"/>
        <v>64950</v>
      </c>
      <c r="M20" s="14">
        <f>62950+1000</f>
        <v>63950</v>
      </c>
      <c r="N20" s="22">
        <f t="shared" si="3"/>
        <v>1000</v>
      </c>
      <c r="O20" s="15">
        <v>43501</v>
      </c>
      <c r="P20" s="55"/>
    </row>
    <row r="21" spans="1:16" x14ac:dyDescent="0.25">
      <c r="A21" s="58">
        <v>19</v>
      </c>
      <c r="B21" s="59" t="s">
        <v>212</v>
      </c>
      <c r="C21" s="22">
        <v>0</v>
      </c>
      <c r="D21" s="22">
        <v>35000</v>
      </c>
      <c r="E21" s="22">
        <v>1000</v>
      </c>
      <c r="F21" s="22">
        <v>3000</v>
      </c>
      <c r="G21" s="22">
        <v>9000</v>
      </c>
      <c r="H21" s="22">
        <v>6000</v>
      </c>
      <c r="I21" s="22">
        <v>2500</v>
      </c>
      <c r="J21" s="22">
        <v>8450</v>
      </c>
      <c r="K21" s="22">
        <v>15000</v>
      </c>
      <c r="L21" s="22">
        <f t="shared" si="4"/>
        <v>79950</v>
      </c>
      <c r="M21" s="14"/>
      <c r="N21" s="22">
        <f t="shared" si="3"/>
        <v>79950</v>
      </c>
      <c r="O21" s="15"/>
      <c r="P21" s="55"/>
    </row>
    <row r="22" spans="1:16" x14ac:dyDescent="0.25">
      <c r="A22" s="58">
        <v>20</v>
      </c>
      <c r="B22" s="59" t="s">
        <v>213</v>
      </c>
      <c r="C22" s="22">
        <v>0</v>
      </c>
      <c r="D22" s="22">
        <v>35000</v>
      </c>
      <c r="E22" s="22">
        <v>1000</v>
      </c>
      <c r="F22" s="22">
        <v>3000</v>
      </c>
      <c r="G22" s="22">
        <v>9000</v>
      </c>
      <c r="H22" s="22">
        <v>6000</v>
      </c>
      <c r="I22" s="22">
        <v>2500</v>
      </c>
      <c r="J22" s="22">
        <v>8450</v>
      </c>
      <c r="K22" s="22"/>
      <c r="L22" s="22">
        <f t="shared" si="4"/>
        <v>64950</v>
      </c>
      <c r="M22" s="14"/>
      <c r="N22" s="22">
        <f t="shared" si="3"/>
        <v>64950</v>
      </c>
      <c r="O22" s="15"/>
      <c r="P22" s="55"/>
    </row>
    <row r="23" spans="1:16" s="21" customFormat="1" x14ac:dyDescent="0.25">
      <c r="A23" s="56"/>
      <c r="B23" s="60" t="s">
        <v>69</v>
      </c>
      <c r="C23" s="23">
        <f>SUM(C3:C22)</f>
        <v>41950</v>
      </c>
      <c r="D23" s="23">
        <f t="shared" ref="D23:N23" si="5">SUM(D3:D22)</f>
        <v>700000</v>
      </c>
      <c r="E23" s="23">
        <f t="shared" si="5"/>
        <v>20000</v>
      </c>
      <c r="F23" s="23">
        <f t="shared" si="5"/>
        <v>60000</v>
      </c>
      <c r="G23" s="23">
        <f t="shared" si="5"/>
        <v>45000</v>
      </c>
      <c r="H23" s="23">
        <f t="shared" si="5"/>
        <v>30000</v>
      </c>
      <c r="I23" s="23">
        <f t="shared" si="5"/>
        <v>12500</v>
      </c>
      <c r="J23" s="23">
        <f t="shared" si="5"/>
        <v>42250</v>
      </c>
      <c r="K23" s="23">
        <f t="shared" si="5"/>
        <v>30000</v>
      </c>
      <c r="L23" s="23">
        <f t="shared" si="5"/>
        <v>981700</v>
      </c>
      <c r="M23" s="23">
        <f t="shared" si="5"/>
        <v>627000</v>
      </c>
      <c r="N23" s="23">
        <f t="shared" si="5"/>
        <v>354700</v>
      </c>
      <c r="O23" s="10"/>
    </row>
  </sheetData>
  <sheetProtection algorithmName="SHA-512" hashValue="9imJq+KQbo5eWIa7qqUVEjxyJjaq0pR0dJmjw0rtGeWStI9LXMxiSshjXqtYHz4WG5capvwtgQFWmDfJKEe0oQ==" saltValue="zrJVJsbLGphm+YDCqvePTg==" spinCount="100000" sheet="1" objects="1" scenarios="1"/>
  <mergeCells count="1">
    <mergeCell ref="D1:M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opLeftCell="C1" zoomScale="75" zoomScaleNormal="75" workbookViewId="0">
      <selection activeCell="O13" sqref="O13"/>
    </sheetView>
  </sheetViews>
  <sheetFormatPr defaultColWidth="8.85546875" defaultRowHeight="15.75" x14ac:dyDescent="0.25"/>
  <cols>
    <col min="1" max="1" width="5.42578125" style="12" bestFit="1" customWidth="1"/>
    <col min="2" max="2" width="28.7109375" style="12" bestFit="1" customWidth="1"/>
    <col min="3" max="3" width="14.85546875" style="12" bestFit="1" customWidth="1"/>
    <col min="4" max="4" width="12" style="12" customWidth="1"/>
    <col min="5" max="6" width="9.7109375" style="12" customWidth="1"/>
    <col min="7" max="10" width="12" style="12" customWidth="1"/>
    <col min="11" max="11" width="12.42578125" style="12" customWidth="1"/>
    <col min="12" max="12" width="12.85546875" style="12" customWidth="1"/>
    <col min="13" max="13" width="13.42578125" style="12" customWidth="1"/>
    <col min="14" max="14" width="12.140625" style="12" customWidth="1"/>
    <col min="15" max="15" width="34.140625" style="12" customWidth="1"/>
    <col min="16" max="16384" width="8.85546875" style="12"/>
  </cols>
  <sheetData>
    <row r="1" spans="1:15" x14ac:dyDescent="0.25">
      <c r="A1" s="10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</row>
    <row r="3" spans="1:15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190</v>
      </c>
      <c r="G3" s="56" t="s">
        <v>55</v>
      </c>
      <c r="H3" s="56" t="s">
        <v>222</v>
      </c>
      <c r="I3" s="56" t="s">
        <v>223</v>
      </c>
      <c r="J3" s="56" t="s">
        <v>3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x14ac:dyDescent="0.25">
      <c r="A4" s="58">
        <v>1</v>
      </c>
      <c r="B4" s="59" t="s">
        <v>119</v>
      </c>
      <c r="C4" s="22">
        <v>15550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/>
      <c r="K4" s="22"/>
      <c r="L4" s="22">
        <f t="shared" ref="L4:L21" si="0">SUM(C4:K4)</f>
        <v>54550</v>
      </c>
      <c r="M4" s="14"/>
      <c r="N4" s="22">
        <f>SUM(L4-M4)</f>
        <v>54550</v>
      </c>
      <c r="O4" s="15"/>
    </row>
    <row r="5" spans="1:15" x14ac:dyDescent="0.25">
      <c r="A5" s="58">
        <v>2</v>
      </c>
      <c r="B5" s="59" t="s">
        <v>120</v>
      </c>
      <c r="C5" s="22">
        <v>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/>
      <c r="K5" s="22"/>
      <c r="L5" s="22">
        <f t="shared" si="0"/>
        <v>39000</v>
      </c>
      <c r="M5" s="14">
        <f>15000+1000</f>
        <v>16000</v>
      </c>
      <c r="N5" s="22">
        <f t="shared" ref="N5:N11" si="1">SUM(L5-M5)</f>
        <v>23000</v>
      </c>
      <c r="O5" s="15">
        <v>43476</v>
      </c>
    </row>
    <row r="6" spans="1:15" x14ac:dyDescent="0.25">
      <c r="A6" s="58">
        <v>3</v>
      </c>
      <c r="B6" s="59" t="s">
        <v>121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/>
      <c r="K6" s="22">
        <v>15000</v>
      </c>
      <c r="L6" s="22">
        <f t="shared" si="0"/>
        <v>54000</v>
      </c>
      <c r="M6" s="14">
        <f>39000+5000</f>
        <v>44000</v>
      </c>
      <c r="N6" s="22">
        <f t="shared" si="1"/>
        <v>10000</v>
      </c>
      <c r="O6" s="15">
        <v>43481</v>
      </c>
    </row>
    <row r="7" spans="1:15" ht="15.6" customHeight="1" x14ac:dyDescent="0.25">
      <c r="A7" s="61">
        <v>4</v>
      </c>
      <c r="B7" s="62" t="s">
        <v>124</v>
      </c>
      <c r="C7" s="48">
        <v>0</v>
      </c>
      <c r="D7" s="48">
        <v>0</v>
      </c>
      <c r="E7" s="48">
        <v>1000</v>
      </c>
      <c r="F7" s="48">
        <v>3000</v>
      </c>
      <c r="G7" s="48"/>
      <c r="H7" s="48"/>
      <c r="I7" s="48"/>
      <c r="J7" s="48"/>
      <c r="K7" s="48"/>
      <c r="L7" s="48">
        <f t="shared" si="0"/>
        <v>4000</v>
      </c>
      <c r="M7" s="47"/>
      <c r="N7" s="48">
        <f t="shared" si="1"/>
        <v>4000</v>
      </c>
      <c r="O7" s="49"/>
    </row>
    <row r="8" spans="1:15" x14ac:dyDescent="0.25">
      <c r="A8" s="58">
        <v>5</v>
      </c>
      <c r="B8" s="59" t="s">
        <v>125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/>
      <c r="K8" s="22"/>
      <c r="L8" s="22">
        <f t="shared" si="0"/>
        <v>39000</v>
      </c>
      <c r="M8" s="14">
        <f>52800</f>
        <v>52800</v>
      </c>
      <c r="N8" s="22">
        <f t="shared" si="1"/>
        <v>-13800</v>
      </c>
      <c r="O8" s="15">
        <v>43493</v>
      </c>
    </row>
    <row r="9" spans="1:15" x14ac:dyDescent="0.25">
      <c r="A9" s="58">
        <v>6</v>
      </c>
      <c r="B9" s="59" t="s">
        <v>126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/>
      <c r="K9" s="22">
        <v>10000</v>
      </c>
      <c r="L9" s="22">
        <f t="shared" si="0"/>
        <v>49000</v>
      </c>
      <c r="M9" s="14">
        <f>49000</f>
        <v>49000</v>
      </c>
      <c r="N9" s="22">
        <f t="shared" si="1"/>
        <v>0</v>
      </c>
      <c r="O9" s="15">
        <v>43472</v>
      </c>
    </row>
    <row r="10" spans="1:15" ht="15.6" customHeight="1" x14ac:dyDescent="0.25">
      <c r="A10" s="58">
        <v>7</v>
      </c>
      <c r="B10" s="59" t="s">
        <v>127</v>
      </c>
      <c r="C10" s="22">
        <v>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/>
      <c r="K10" s="22"/>
      <c r="L10" s="22">
        <f t="shared" si="0"/>
        <v>39000</v>
      </c>
      <c r="M10" s="14">
        <f>38000</f>
        <v>38000</v>
      </c>
      <c r="N10" s="22">
        <f t="shared" si="1"/>
        <v>1000</v>
      </c>
      <c r="O10" s="15">
        <v>43474</v>
      </c>
    </row>
    <row r="11" spans="1:15" x14ac:dyDescent="0.25">
      <c r="A11" s="58">
        <v>8</v>
      </c>
      <c r="B11" s="59" t="s">
        <v>129</v>
      </c>
      <c r="C11" s="22">
        <v>550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/>
      <c r="K11" s="22"/>
      <c r="L11" s="22">
        <f t="shared" si="0"/>
        <v>39550</v>
      </c>
      <c r="M11" s="14">
        <f>39000</f>
        <v>39000</v>
      </c>
      <c r="N11" s="22">
        <f t="shared" si="1"/>
        <v>550</v>
      </c>
      <c r="O11" s="15">
        <v>43496</v>
      </c>
    </row>
    <row r="12" spans="1:15" x14ac:dyDescent="0.25">
      <c r="A12" s="58">
        <v>9</v>
      </c>
      <c r="B12" s="59" t="s">
        <v>130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/>
      <c r="K12" s="22"/>
      <c r="L12" s="22">
        <f t="shared" si="0"/>
        <v>39000</v>
      </c>
      <c r="M12" s="14">
        <f>39000</f>
        <v>39000</v>
      </c>
      <c r="N12" s="22">
        <f>SUM(L12-M12)</f>
        <v>0</v>
      </c>
      <c r="O12" s="15">
        <v>43508</v>
      </c>
    </row>
    <row r="13" spans="1:15" x14ac:dyDescent="0.25">
      <c r="A13" s="58">
        <v>10</v>
      </c>
      <c r="B13" s="59" t="s">
        <v>134</v>
      </c>
      <c r="C13" s="22">
        <v>0</v>
      </c>
      <c r="D13" s="22">
        <v>35000</v>
      </c>
      <c r="E13" s="22">
        <v>1000</v>
      </c>
      <c r="F13" s="22">
        <v>3000</v>
      </c>
      <c r="G13" s="63"/>
      <c r="H13" s="63"/>
      <c r="I13" s="63"/>
      <c r="J13" s="63"/>
      <c r="K13" s="22"/>
      <c r="L13" s="22">
        <f t="shared" si="0"/>
        <v>39000</v>
      </c>
      <c r="M13" s="14">
        <f>30000</f>
        <v>30000</v>
      </c>
      <c r="N13" s="22">
        <f t="shared" ref="N13:N19" si="2">SUM(L13-M13)</f>
        <v>9000</v>
      </c>
      <c r="O13" s="15"/>
    </row>
    <row r="14" spans="1:15" x14ac:dyDescent="0.25">
      <c r="A14" s="58">
        <v>11</v>
      </c>
      <c r="B14" s="59" t="s">
        <v>139</v>
      </c>
      <c r="C14" s="22">
        <v>15690</v>
      </c>
      <c r="D14" s="22">
        <v>35000</v>
      </c>
      <c r="E14" s="22">
        <v>1000</v>
      </c>
      <c r="F14" s="22">
        <v>3000</v>
      </c>
      <c r="G14" s="63"/>
      <c r="H14" s="63"/>
      <c r="I14" s="63"/>
      <c r="J14" s="63"/>
      <c r="K14" s="22"/>
      <c r="L14" s="22">
        <f t="shared" si="0"/>
        <v>54690</v>
      </c>
      <c r="M14" s="14">
        <f>15690</f>
        <v>15690</v>
      </c>
      <c r="N14" s="22">
        <f t="shared" si="2"/>
        <v>39000</v>
      </c>
      <c r="O14" s="15">
        <v>43473</v>
      </c>
    </row>
    <row r="15" spans="1:15" ht="15.6" customHeight="1" x14ac:dyDescent="0.25">
      <c r="A15" s="58">
        <v>12</v>
      </c>
      <c r="B15" s="59" t="s">
        <v>151</v>
      </c>
      <c r="C15" s="22">
        <v>0</v>
      </c>
      <c r="D15" s="22">
        <v>36000</v>
      </c>
      <c r="E15" s="22">
        <v>1000</v>
      </c>
      <c r="F15" s="22">
        <v>3000</v>
      </c>
      <c r="G15" s="64"/>
      <c r="H15" s="64"/>
      <c r="I15" s="64"/>
      <c r="J15" s="64"/>
      <c r="K15" s="22"/>
      <c r="L15" s="22">
        <f t="shared" si="0"/>
        <v>40000</v>
      </c>
      <c r="M15" s="14">
        <f>13000</f>
        <v>13000</v>
      </c>
      <c r="N15" s="22">
        <f t="shared" si="2"/>
        <v>27000</v>
      </c>
      <c r="O15" s="15">
        <v>43473</v>
      </c>
    </row>
    <row r="16" spans="1:15" x14ac:dyDescent="0.25">
      <c r="A16" s="58">
        <v>13</v>
      </c>
      <c r="B16" s="59" t="s">
        <v>152</v>
      </c>
      <c r="C16" s="22">
        <v>0</v>
      </c>
      <c r="D16" s="22">
        <v>35000</v>
      </c>
      <c r="E16" s="22">
        <v>1000</v>
      </c>
      <c r="F16" s="22">
        <v>3000</v>
      </c>
      <c r="G16" s="64"/>
      <c r="H16" s="64"/>
      <c r="I16" s="64"/>
      <c r="J16" s="64"/>
      <c r="K16" s="22"/>
      <c r="L16" s="22">
        <f t="shared" si="0"/>
        <v>39000</v>
      </c>
      <c r="M16" s="14">
        <f>38000+1000</f>
        <v>39000</v>
      </c>
      <c r="N16" s="22">
        <f t="shared" si="2"/>
        <v>0</v>
      </c>
      <c r="O16" s="15">
        <v>43503</v>
      </c>
    </row>
    <row r="17" spans="1:15" x14ac:dyDescent="0.25">
      <c r="A17" s="58">
        <v>14</v>
      </c>
      <c r="B17" s="59" t="s">
        <v>225</v>
      </c>
      <c r="C17" s="22">
        <v>0</v>
      </c>
      <c r="D17" s="22">
        <v>35000</v>
      </c>
      <c r="E17" s="22">
        <v>1000</v>
      </c>
      <c r="F17" s="22">
        <v>3000</v>
      </c>
      <c r="G17" s="63"/>
      <c r="H17" s="63"/>
      <c r="I17" s="63"/>
      <c r="J17" s="63"/>
      <c r="K17" s="22"/>
      <c r="L17" s="22">
        <f t="shared" si="0"/>
        <v>39000</v>
      </c>
      <c r="M17" s="14"/>
      <c r="N17" s="22">
        <f t="shared" si="2"/>
        <v>39000</v>
      </c>
      <c r="O17" s="15"/>
    </row>
    <row r="18" spans="1:15" x14ac:dyDescent="0.25">
      <c r="A18" s="58">
        <v>15</v>
      </c>
      <c r="B18" s="59" t="s">
        <v>154</v>
      </c>
      <c r="C18" s="22">
        <v>0</v>
      </c>
      <c r="D18" s="22">
        <v>35000</v>
      </c>
      <c r="E18" s="22">
        <v>1000</v>
      </c>
      <c r="F18" s="22">
        <v>3000</v>
      </c>
      <c r="G18" s="59"/>
      <c r="H18" s="59"/>
      <c r="I18" s="59"/>
      <c r="J18" s="59"/>
      <c r="K18" s="22"/>
      <c r="L18" s="22">
        <f t="shared" si="0"/>
        <v>39000</v>
      </c>
      <c r="M18" s="14">
        <f>38000+1000</f>
        <v>39000</v>
      </c>
      <c r="N18" s="22">
        <f t="shared" si="2"/>
        <v>0</v>
      </c>
      <c r="O18" s="15">
        <v>43494</v>
      </c>
    </row>
    <row r="19" spans="1:15" x14ac:dyDescent="0.25">
      <c r="A19" s="58">
        <v>16</v>
      </c>
      <c r="B19" s="59" t="s">
        <v>153</v>
      </c>
      <c r="C19" s="22">
        <v>26050</v>
      </c>
      <c r="D19" s="22">
        <v>35000</v>
      </c>
      <c r="E19" s="22">
        <v>1000</v>
      </c>
      <c r="F19" s="22">
        <v>3000</v>
      </c>
      <c r="G19" s="59"/>
      <c r="H19" s="59"/>
      <c r="I19" s="59"/>
      <c r="J19" s="59"/>
      <c r="K19" s="22"/>
      <c r="L19" s="22">
        <f t="shared" si="0"/>
        <v>65050</v>
      </c>
      <c r="M19" s="14"/>
      <c r="N19" s="22">
        <f t="shared" si="2"/>
        <v>65050</v>
      </c>
      <c r="O19" s="15"/>
    </row>
    <row r="20" spans="1:15" x14ac:dyDescent="0.25">
      <c r="A20" s="58">
        <v>17</v>
      </c>
      <c r="B20" s="65" t="s">
        <v>196</v>
      </c>
      <c r="C20" s="22">
        <v>0</v>
      </c>
      <c r="D20" s="22">
        <v>35000</v>
      </c>
      <c r="E20" s="22">
        <v>1000</v>
      </c>
      <c r="F20" s="22">
        <v>3000</v>
      </c>
      <c r="G20" s="59">
        <v>9000</v>
      </c>
      <c r="H20" s="59">
        <v>6000</v>
      </c>
      <c r="I20" s="59">
        <v>2500</v>
      </c>
      <c r="J20" s="59">
        <v>9550</v>
      </c>
      <c r="K20" s="22">
        <v>15000</v>
      </c>
      <c r="L20" s="22">
        <f t="shared" si="0"/>
        <v>81050</v>
      </c>
      <c r="M20" s="14">
        <f>61000</f>
        <v>61000</v>
      </c>
      <c r="N20" s="22">
        <f t="shared" ref="N20:N21" si="3">SUM(L20-M20)</f>
        <v>20050</v>
      </c>
      <c r="O20" s="15">
        <v>43465</v>
      </c>
    </row>
    <row r="21" spans="1:15" x14ac:dyDescent="0.25">
      <c r="A21" s="58">
        <v>18</v>
      </c>
      <c r="B21" s="65" t="s">
        <v>224</v>
      </c>
      <c r="C21" s="22">
        <v>0</v>
      </c>
      <c r="D21" s="89">
        <f>35000*0.75</f>
        <v>26250</v>
      </c>
      <c r="E21" s="22">
        <v>1000</v>
      </c>
      <c r="F21" s="22">
        <v>3000</v>
      </c>
      <c r="G21" s="59">
        <v>9000</v>
      </c>
      <c r="H21" s="59">
        <v>6000</v>
      </c>
      <c r="I21" s="59">
        <v>2500</v>
      </c>
      <c r="J21" s="59">
        <v>9550</v>
      </c>
      <c r="K21" s="22"/>
      <c r="L21" s="22">
        <f t="shared" si="0"/>
        <v>57300</v>
      </c>
      <c r="M21" s="14"/>
      <c r="N21" s="22">
        <f t="shared" si="3"/>
        <v>57300</v>
      </c>
      <c r="O21" s="15"/>
    </row>
    <row r="22" spans="1:15" s="21" customFormat="1" x14ac:dyDescent="0.25">
      <c r="A22" s="66"/>
      <c r="B22" s="56" t="s">
        <v>69</v>
      </c>
      <c r="C22" s="23">
        <f t="shared" ref="C22:M22" si="4">SUM(C4:C21)</f>
        <v>57840</v>
      </c>
      <c r="D22" s="23">
        <f t="shared" si="4"/>
        <v>587250</v>
      </c>
      <c r="E22" s="23">
        <f t="shared" si="4"/>
        <v>18000</v>
      </c>
      <c r="F22" s="23">
        <f t="shared" si="4"/>
        <v>54000</v>
      </c>
      <c r="G22" s="23">
        <f t="shared" si="4"/>
        <v>18000</v>
      </c>
      <c r="H22" s="23">
        <f t="shared" si="4"/>
        <v>12000</v>
      </c>
      <c r="I22" s="23">
        <f t="shared" si="4"/>
        <v>5000</v>
      </c>
      <c r="J22" s="23">
        <f t="shared" si="4"/>
        <v>19100</v>
      </c>
      <c r="K22" s="23">
        <f t="shared" si="4"/>
        <v>40000</v>
      </c>
      <c r="L22" s="23">
        <f t="shared" si="4"/>
        <v>811190</v>
      </c>
      <c r="M22" s="23">
        <f t="shared" si="4"/>
        <v>475490</v>
      </c>
      <c r="N22" s="23">
        <f>SUM(N4:N21)</f>
        <v>335700</v>
      </c>
      <c r="O22" s="20"/>
    </row>
  </sheetData>
  <sheetProtection algorithmName="SHA-512" hashValue="oILm1Q2lgIM5EWIrf6uxV/dRmzDN1nz/XtjQO+qA7FpygDDSEmZlhS7Uoer6gTsNJjXCpTZG0NGEhdap3pSA5Q==" saltValue="M6mLtJEwzh/8JJOQnxDB6Q==" spinCount="100000" sheet="1" objects="1" scenarios="1"/>
  <mergeCells count="1">
    <mergeCell ref="D2:L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C1" zoomScale="70" zoomScaleNormal="70" workbookViewId="0">
      <selection activeCell="O10" sqref="O10"/>
    </sheetView>
  </sheetViews>
  <sheetFormatPr defaultColWidth="8.85546875" defaultRowHeight="15.75" x14ac:dyDescent="0.25"/>
  <cols>
    <col min="1" max="1" width="5.5703125" style="12" bestFit="1" customWidth="1"/>
    <col min="2" max="2" width="30.85546875" style="12" customWidth="1"/>
    <col min="3" max="3" width="14.85546875" style="12" bestFit="1" customWidth="1"/>
    <col min="4" max="4" width="22" style="12" bestFit="1" customWidth="1"/>
    <col min="5" max="5" width="9.7109375" style="12" bestFit="1" customWidth="1"/>
    <col min="6" max="6" width="13.140625" style="12" bestFit="1" customWidth="1"/>
    <col min="7" max="9" width="11.7109375" style="12" customWidth="1"/>
    <col min="10" max="10" width="10.140625" style="12" customWidth="1"/>
    <col min="11" max="11" width="11.5703125" style="12" bestFit="1" customWidth="1"/>
    <col min="12" max="12" width="12.7109375" style="12" customWidth="1"/>
    <col min="13" max="13" width="12.85546875" style="12" customWidth="1"/>
    <col min="14" max="14" width="15.140625" style="12" customWidth="1"/>
    <col min="15" max="15" width="21.28515625" style="12" customWidth="1"/>
    <col min="16" max="16" width="4.85546875" style="12" customWidth="1"/>
    <col min="17" max="17" width="14.85546875" style="12" customWidth="1"/>
    <col min="18" max="16384" width="8.85546875" style="12"/>
  </cols>
  <sheetData>
    <row r="1" spans="1:17" x14ac:dyDescent="0.25">
      <c r="A1" s="10" t="s">
        <v>22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s="11"/>
      <c r="B2" s="11"/>
      <c r="C2" s="67"/>
      <c r="D2" s="67" t="s">
        <v>10</v>
      </c>
      <c r="E2" s="67"/>
      <c r="F2" s="67"/>
      <c r="G2" s="67"/>
      <c r="H2" s="67"/>
      <c r="I2" s="67"/>
      <c r="J2" s="67"/>
      <c r="K2" s="67"/>
      <c r="L2" s="67"/>
      <c r="M2" s="11"/>
      <c r="N2" s="11"/>
      <c r="O2" s="11"/>
    </row>
    <row r="3" spans="1:17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55</v>
      </c>
      <c r="H3" s="56" t="s">
        <v>222</v>
      </c>
      <c r="I3" s="56" t="s">
        <v>223</v>
      </c>
      <c r="J3" s="56" t="s">
        <v>3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7" x14ac:dyDescent="0.25">
      <c r="A4" s="70">
        <v>1</v>
      </c>
      <c r="B4" s="59" t="s">
        <v>137</v>
      </c>
      <c r="C4" s="22">
        <v>0</v>
      </c>
      <c r="D4" s="22">
        <v>35000</v>
      </c>
      <c r="E4" s="22">
        <v>1000</v>
      </c>
      <c r="F4" s="22">
        <v>3000</v>
      </c>
      <c r="G4" s="22"/>
      <c r="H4" s="22"/>
      <c r="I4" s="22"/>
      <c r="J4" s="22"/>
      <c r="K4" s="22"/>
      <c r="L4" s="22">
        <f t="shared" ref="L4:L22" si="0">SUM(C4:K4)</f>
        <v>39000</v>
      </c>
      <c r="M4" s="14"/>
      <c r="N4" s="22">
        <f t="shared" ref="N4:N5" si="1">L4-M4</f>
        <v>39000</v>
      </c>
      <c r="O4" s="15"/>
    </row>
    <row r="5" spans="1:17" x14ac:dyDescent="0.25">
      <c r="A5" s="70">
        <v>2</v>
      </c>
      <c r="B5" s="59" t="s">
        <v>102</v>
      </c>
      <c r="C5" s="22">
        <v>36000</v>
      </c>
      <c r="D5" s="22">
        <v>35000</v>
      </c>
      <c r="E5" s="22">
        <v>1000</v>
      </c>
      <c r="F5" s="22">
        <v>3000</v>
      </c>
      <c r="G5" s="22"/>
      <c r="H5" s="22"/>
      <c r="I5" s="22"/>
      <c r="J5" s="22"/>
      <c r="K5" s="22"/>
      <c r="L5" s="22">
        <f t="shared" si="0"/>
        <v>75000</v>
      </c>
      <c r="M5" s="14">
        <f>36000+23050</f>
        <v>59050</v>
      </c>
      <c r="N5" s="22">
        <f t="shared" si="1"/>
        <v>15950</v>
      </c>
      <c r="O5" s="15" t="s">
        <v>206</v>
      </c>
    </row>
    <row r="6" spans="1:17" x14ac:dyDescent="0.25">
      <c r="A6" s="70">
        <v>3</v>
      </c>
      <c r="B6" s="59" t="s">
        <v>107</v>
      </c>
      <c r="C6" s="22">
        <v>0</v>
      </c>
      <c r="D6" s="22">
        <v>35000</v>
      </c>
      <c r="E6" s="22">
        <v>1000</v>
      </c>
      <c r="F6" s="22">
        <v>3000</v>
      </c>
      <c r="G6" s="22"/>
      <c r="H6" s="22"/>
      <c r="I6" s="22"/>
      <c r="J6" s="22"/>
      <c r="K6" s="22"/>
      <c r="L6" s="22">
        <f t="shared" si="0"/>
        <v>39000</v>
      </c>
      <c r="M6" s="14"/>
      <c r="N6" s="22">
        <f>L6-M6</f>
        <v>39000</v>
      </c>
      <c r="O6" s="15"/>
    </row>
    <row r="7" spans="1:17" x14ac:dyDescent="0.25">
      <c r="A7" s="70">
        <v>4</v>
      </c>
      <c r="B7" s="59" t="s">
        <v>106</v>
      </c>
      <c r="C7" s="22">
        <v>0</v>
      </c>
      <c r="D7" s="22">
        <v>35000</v>
      </c>
      <c r="E7" s="22">
        <v>1000</v>
      </c>
      <c r="F7" s="22">
        <v>3000</v>
      </c>
      <c r="G7" s="22"/>
      <c r="H7" s="22"/>
      <c r="I7" s="22"/>
      <c r="J7" s="22"/>
      <c r="K7" s="22"/>
      <c r="L7" s="22">
        <f t="shared" si="0"/>
        <v>39000</v>
      </c>
      <c r="M7" s="14">
        <f>39000</f>
        <v>39000</v>
      </c>
      <c r="N7" s="22">
        <f>L7-M7</f>
        <v>0</v>
      </c>
      <c r="O7" s="13">
        <v>43483</v>
      </c>
    </row>
    <row r="8" spans="1:17" x14ac:dyDescent="0.25">
      <c r="A8" s="70">
        <v>5</v>
      </c>
      <c r="B8" s="59" t="s">
        <v>78</v>
      </c>
      <c r="C8" s="22">
        <v>0</v>
      </c>
      <c r="D8" s="22">
        <v>35000</v>
      </c>
      <c r="E8" s="22">
        <v>1000</v>
      </c>
      <c r="F8" s="22">
        <v>3000</v>
      </c>
      <c r="G8" s="22"/>
      <c r="H8" s="22"/>
      <c r="I8" s="22"/>
      <c r="J8" s="22"/>
      <c r="K8" s="22"/>
      <c r="L8" s="22">
        <f t="shared" si="0"/>
        <v>39000</v>
      </c>
      <c r="M8" s="14">
        <f>20000</f>
        <v>20000</v>
      </c>
      <c r="N8" s="22">
        <f t="shared" ref="N8:N14" si="2">L8-M8</f>
        <v>19000</v>
      </c>
      <c r="O8" s="15">
        <v>43504</v>
      </c>
    </row>
    <row r="9" spans="1:17" x14ac:dyDescent="0.25">
      <c r="A9" s="70">
        <v>6</v>
      </c>
      <c r="B9" s="59" t="s">
        <v>77</v>
      </c>
      <c r="C9" s="22">
        <v>0</v>
      </c>
      <c r="D9" s="22">
        <v>35000</v>
      </c>
      <c r="E9" s="22">
        <v>1000</v>
      </c>
      <c r="F9" s="22">
        <v>3000</v>
      </c>
      <c r="G9" s="22"/>
      <c r="H9" s="22"/>
      <c r="I9" s="22"/>
      <c r="J9" s="22"/>
      <c r="K9" s="22"/>
      <c r="L9" s="22">
        <f t="shared" si="0"/>
        <v>39000</v>
      </c>
      <c r="M9" s="14">
        <f>20000</f>
        <v>20000</v>
      </c>
      <c r="N9" s="22">
        <f t="shared" si="2"/>
        <v>19000</v>
      </c>
      <c r="O9" s="15">
        <v>43504</v>
      </c>
    </row>
    <row r="10" spans="1:17" x14ac:dyDescent="0.25">
      <c r="A10" s="70">
        <v>7</v>
      </c>
      <c r="B10" s="59" t="s">
        <v>94</v>
      </c>
      <c r="C10" s="22">
        <v>2500</v>
      </c>
      <c r="D10" s="22">
        <v>35000</v>
      </c>
      <c r="E10" s="22">
        <v>1000</v>
      </c>
      <c r="F10" s="22">
        <v>3000</v>
      </c>
      <c r="G10" s="22"/>
      <c r="H10" s="22"/>
      <c r="I10" s="22"/>
      <c r="J10" s="22"/>
      <c r="K10" s="22">
        <v>7500</v>
      </c>
      <c r="L10" s="22">
        <f t="shared" si="0"/>
        <v>49000</v>
      </c>
      <c r="M10" s="14">
        <f>45500+1000</f>
        <v>46500</v>
      </c>
      <c r="N10" s="22">
        <f t="shared" si="2"/>
        <v>2500</v>
      </c>
      <c r="O10" s="15">
        <v>43479</v>
      </c>
      <c r="Q10" s="16"/>
    </row>
    <row r="11" spans="1:17" x14ac:dyDescent="0.25">
      <c r="A11" s="70">
        <v>8</v>
      </c>
      <c r="B11" s="59" t="s">
        <v>97</v>
      </c>
      <c r="C11" s="22">
        <v>0</v>
      </c>
      <c r="D11" s="22">
        <v>35000</v>
      </c>
      <c r="E11" s="22">
        <v>1000</v>
      </c>
      <c r="F11" s="22">
        <v>3000</v>
      </c>
      <c r="G11" s="22"/>
      <c r="H11" s="22"/>
      <c r="I11" s="22"/>
      <c r="J11" s="22"/>
      <c r="K11" s="22">
        <v>15000</v>
      </c>
      <c r="L11" s="22">
        <f t="shared" si="0"/>
        <v>54000</v>
      </c>
      <c r="M11" s="14">
        <f>39000</f>
        <v>39000</v>
      </c>
      <c r="N11" s="22">
        <f t="shared" si="2"/>
        <v>15000</v>
      </c>
      <c r="O11" s="15">
        <v>43475</v>
      </c>
    </row>
    <row r="12" spans="1:17" x14ac:dyDescent="0.25">
      <c r="A12" s="70">
        <v>9</v>
      </c>
      <c r="B12" s="59" t="s">
        <v>96</v>
      </c>
      <c r="C12" s="22">
        <v>0</v>
      </c>
      <c r="D12" s="22">
        <v>35000</v>
      </c>
      <c r="E12" s="22">
        <v>1000</v>
      </c>
      <c r="F12" s="22">
        <v>3000</v>
      </c>
      <c r="G12" s="22"/>
      <c r="H12" s="22"/>
      <c r="I12" s="22"/>
      <c r="J12" s="22"/>
      <c r="K12" s="22"/>
      <c r="L12" s="22">
        <f t="shared" si="0"/>
        <v>39000</v>
      </c>
      <c r="M12" s="14">
        <v>39000</v>
      </c>
      <c r="N12" s="22">
        <f t="shared" si="2"/>
        <v>0</v>
      </c>
      <c r="O12" s="15">
        <v>43472</v>
      </c>
    </row>
    <row r="13" spans="1:17" x14ac:dyDescent="0.25">
      <c r="A13" s="70">
        <v>10</v>
      </c>
      <c r="B13" s="59" t="s">
        <v>108</v>
      </c>
      <c r="C13" s="22">
        <v>48450</v>
      </c>
      <c r="D13" s="22">
        <v>35000</v>
      </c>
      <c r="E13" s="22">
        <v>1000</v>
      </c>
      <c r="F13" s="22">
        <v>3000</v>
      </c>
      <c r="G13" s="22"/>
      <c r="H13" s="22"/>
      <c r="I13" s="22"/>
      <c r="J13" s="22"/>
      <c r="K13" s="22"/>
      <c r="L13" s="22">
        <f t="shared" si="0"/>
        <v>87450</v>
      </c>
      <c r="M13" s="14">
        <v>48450</v>
      </c>
      <c r="N13" s="22">
        <f t="shared" si="2"/>
        <v>39000</v>
      </c>
      <c r="O13" s="15">
        <v>43479</v>
      </c>
    </row>
    <row r="14" spans="1:17" x14ac:dyDescent="0.25">
      <c r="A14" s="70">
        <v>11</v>
      </c>
      <c r="B14" s="62" t="s">
        <v>109</v>
      </c>
      <c r="C14" s="48">
        <v>0</v>
      </c>
      <c r="D14" s="48">
        <v>0</v>
      </c>
      <c r="E14" s="48">
        <v>1000</v>
      </c>
      <c r="F14" s="48">
        <v>3000</v>
      </c>
      <c r="G14" s="48"/>
      <c r="H14" s="48"/>
      <c r="I14" s="48"/>
      <c r="J14" s="48"/>
      <c r="K14" s="48"/>
      <c r="L14" s="48">
        <f t="shared" si="0"/>
        <v>4000</v>
      </c>
      <c r="M14" s="47"/>
      <c r="N14" s="48">
        <f t="shared" si="2"/>
        <v>4000</v>
      </c>
      <c r="O14" s="46"/>
    </row>
    <row r="15" spans="1:17" x14ac:dyDescent="0.25">
      <c r="A15" s="70">
        <v>12</v>
      </c>
      <c r="B15" s="59" t="s">
        <v>114</v>
      </c>
      <c r="C15" s="22">
        <v>0</v>
      </c>
      <c r="D15" s="22">
        <v>35000</v>
      </c>
      <c r="E15" s="22">
        <v>1000</v>
      </c>
      <c r="F15" s="22">
        <v>3000</v>
      </c>
      <c r="G15" s="22"/>
      <c r="H15" s="22"/>
      <c r="I15" s="22"/>
      <c r="J15" s="22"/>
      <c r="K15" s="22"/>
      <c r="L15" s="22">
        <f t="shared" si="0"/>
        <v>39000</v>
      </c>
      <c r="M15" s="68">
        <f>14000</f>
        <v>14000</v>
      </c>
      <c r="N15" s="22">
        <f>L15-M15</f>
        <v>25000</v>
      </c>
      <c r="O15" s="15">
        <v>43504</v>
      </c>
    </row>
    <row r="16" spans="1:17" x14ac:dyDescent="0.25">
      <c r="A16" s="70">
        <v>13</v>
      </c>
      <c r="B16" s="59" t="s">
        <v>122</v>
      </c>
      <c r="C16" s="22">
        <v>0</v>
      </c>
      <c r="D16" s="22">
        <v>35000</v>
      </c>
      <c r="E16" s="22">
        <v>1000</v>
      </c>
      <c r="F16" s="22">
        <v>3000</v>
      </c>
      <c r="G16" s="22"/>
      <c r="H16" s="22"/>
      <c r="I16" s="22"/>
      <c r="J16" s="22"/>
      <c r="K16" s="22"/>
      <c r="L16" s="22">
        <f t="shared" si="0"/>
        <v>39000</v>
      </c>
      <c r="M16" s="14">
        <f>39000</f>
        <v>39000</v>
      </c>
      <c r="N16" s="22">
        <f t="shared" ref="N16:N20" si="3">L16-M16</f>
        <v>0</v>
      </c>
      <c r="O16" s="15">
        <v>43493</v>
      </c>
    </row>
    <row r="17" spans="1:15" x14ac:dyDescent="0.25">
      <c r="A17" s="70">
        <v>14</v>
      </c>
      <c r="B17" s="59" t="s">
        <v>128</v>
      </c>
      <c r="C17" s="22">
        <v>0</v>
      </c>
      <c r="D17" s="22">
        <v>35000</v>
      </c>
      <c r="E17" s="22">
        <v>1000</v>
      </c>
      <c r="F17" s="22">
        <v>3000</v>
      </c>
      <c r="G17" s="22"/>
      <c r="H17" s="22"/>
      <c r="I17" s="22"/>
      <c r="J17" s="22"/>
      <c r="K17" s="22"/>
      <c r="L17" s="22">
        <f t="shared" si="0"/>
        <v>39000</v>
      </c>
      <c r="M17" s="14">
        <f>39000</f>
        <v>39000</v>
      </c>
      <c r="N17" s="22">
        <f t="shared" si="3"/>
        <v>0</v>
      </c>
      <c r="O17" s="15">
        <v>43474</v>
      </c>
    </row>
    <row r="18" spans="1:15" x14ac:dyDescent="0.25">
      <c r="A18" s="70">
        <v>15</v>
      </c>
      <c r="B18" s="59" t="s">
        <v>113</v>
      </c>
      <c r="C18" s="22">
        <v>0</v>
      </c>
      <c r="D18" s="22">
        <v>35000</v>
      </c>
      <c r="E18" s="22">
        <v>1000</v>
      </c>
      <c r="F18" s="22">
        <v>3000</v>
      </c>
      <c r="G18" s="22"/>
      <c r="H18" s="22"/>
      <c r="I18" s="22"/>
      <c r="J18" s="22"/>
      <c r="K18" s="22"/>
      <c r="L18" s="22">
        <f t="shared" si="0"/>
        <v>39000</v>
      </c>
      <c r="M18" s="14">
        <f>27800+1000+7000</f>
        <v>35800</v>
      </c>
      <c r="N18" s="22">
        <f t="shared" si="3"/>
        <v>3200</v>
      </c>
      <c r="O18" s="15">
        <v>43472</v>
      </c>
    </row>
    <row r="19" spans="1:15" x14ac:dyDescent="0.25">
      <c r="A19" s="70">
        <v>16</v>
      </c>
      <c r="B19" s="59" t="s">
        <v>155</v>
      </c>
      <c r="C19" s="22">
        <v>0</v>
      </c>
      <c r="D19" s="22">
        <v>35000</v>
      </c>
      <c r="E19" s="22">
        <v>1000</v>
      </c>
      <c r="F19" s="22">
        <v>3000</v>
      </c>
      <c r="G19" s="22"/>
      <c r="H19" s="22"/>
      <c r="I19" s="22"/>
      <c r="J19" s="22"/>
      <c r="K19" s="22"/>
      <c r="L19" s="22">
        <f t="shared" si="0"/>
        <v>39000</v>
      </c>
      <c r="M19" s="69"/>
      <c r="N19" s="22">
        <f t="shared" si="3"/>
        <v>39000</v>
      </c>
      <c r="O19" s="15"/>
    </row>
    <row r="20" spans="1:15" x14ac:dyDescent="0.25">
      <c r="A20" s="70">
        <v>17</v>
      </c>
      <c r="B20" s="59" t="s">
        <v>156</v>
      </c>
      <c r="C20" s="22">
        <v>0</v>
      </c>
      <c r="D20" s="22">
        <v>35000</v>
      </c>
      <c r="E20" s="22">
        <v>1000</v>
      </c>
      <c r="F20" s="22">
        <v>3000</v>
      </c>
      <c r="G20" s="22"/>
      <c r="H20" s="22"/>
      <c r="I20" s="22"/>
      <c r="J20" s="22"/>
      <c r="K20" s="22"/>
      <c r="L20" s="22">
        <f t="shared" si="0"/>
        <v>39000</v>
      </c>
      <c r="M20" s="14">
        <f>45500+Preschool!M187</f>
        <v>45500</v>
      </c>
      <c r="N20" s="22">
        <f t="shared" si="3"/>
        <v>-6500</v>
      </c>
      <c r="O20" s="15">
        <v>43474</v>
      </c>
    </row>
    <row r="21" spans="1:15" x14ac:dyDescent="0.25">
      <c r="A21" s="70">
        <v>18</v>
      </c>
      <c r="B21" s="59" t="s">
        <v>195</v>
      </c>
      <c r="C21" s="22">
        <v>0</v>
      </c>
      <c r="D21" s="22">
        <v>35000</v>
      </c>
      <c r="E21" s="22">
        <v>1000</v>
      </c>
      <c r="F21" s="22">
        <v>3000</v>
      </c>
      <c r="G21" s="22">
        <v>9000</v>
      </c>
      <c r="H21" s="22">
        <v>6000</v>
      </c>
      <c r="I21" s="22">
        <v>2500</v>
      </c>
      <c r="J21" s="22">
        <v>9660</v>
      </c>
      <c r="K21" s="22">
        <v>7500</v>
      </c>
      <c r="L21" s="22">
        <f t="shared" si="0"/>
        <v>73660</v>
      </c>
      <c r="M21" s="14">
        <f>73450+1000</f>
        <v>74450</v>
      </c>
      <c r="N21" s="22">
        <f t="shared" ref="N21" si="4">L21-M21</f>
        <v>-790</v>
      </c>
      <c r="O21" s="15">
        <v>43473</v>
      </c>
    </row>
    <row r="22" spans="1:15" x14ac:dyDescent="0.25">
      <c r="A22" s="70">
        <v>19</v>
      </c>
      <c r="B22" s="59" t="s">
        <v>209</v>
      </c>
      <c r="C22" s="22">
        <v>0</v>
      </c>
      <c r="D22" s="22">
        <v>35000</v>
      </c>
      <c r="E22" s="22">
        <v>1000</v>
      </c>
      <c r="F22" s="22">
        <v>3000</v>
      </c>
      <c r="G22" s="22">
        <v>9000</v>
      </c>
      <c r="H22" s="22">
        <v>6000</v>
      </c>
      <c r="I22" s="22">
        <v>2500</v>
      </c>
      <c r="J22" s="22">
        <v>9550</v>
      </c>
      <c r="K22" s="22">
        <v>15000</v>
      </c>
      <c r="L22" s="22">
        <f t="shared" si="0"/>
        <v>81050</v>
      </c>
      <c r="M22" s="14">
        <v>63950</v>
      </c>
      <c r="N22" s="22">
        <f t="shared" ref="N22" si="5">L22-M22</f>
        <v>17100</v>
      </c>
      <c r="O22" s="15">
        <v>43487</v>
      </c>
    </row>
    <row r="23" spans="1:15" x14ac:dyDescent="0.25">
      <c r="A23" s="70"/>
      <c r="B23" s="59"/>
      <c r="C23" s="22">
        <f>SUM(C4:C22)</f>
        <v>86950</v>
      </c>
      <c r="D23" s="22">
        <f t="shared" ref="D23:N23" si="6">SUM(D4:D22)</f>
        <v>630000</v>
      </c>
      <c r="E23" s="22">
        <f t="shared" si="6"/>
        <v>19000</v>
      </c>
      <c r="F23" s="22">
        <f t="shared" si="6"/>
        <v>57000</v>
      </c>
      <c r="G23" s="22">
        <f t="shared" si="6"/>
        <v>18000</v>
      </c>
      <c r="H23" s="22">
        <f t="shared" si="6"/>
        <v>12000</v>
      </c>
      <c r="I23" s="22">
        <f t="shared" si="6"/>
        <v>5000</v>
      </c>
      <c r="J23" s="22">
        <f t="shared" si="6"/>
        <v>19210</v>
      </c>
      <c r="K23" s="22">
        <f t="shared" si="6"/>
        <v>45000</v>
      </c>
      <c r="L23" s="22">
        <f t="shared" si="6"/>
        <v>892160</v>
      </c>
      <c r="M23" s="22">
        <f t="shared" si="6"/>
        <v>622700</v>
      </c>
      <c r="N23" s="22">
        <f t="shared" si="6"/>
        <v>269460</v>
      </c>
      <c r="O23" s="15"/>
    </row>
  </sheetData>
  <sheetProtection algorithmName="SHA-512" hashValue="w7IF5CylG2ZvRE+pIhr3H1Gyr5lrNnNF65vHFwIQ4IIaCdPT9ht0t9GQGqVHc/0BYb8Kv5/Y8bE0ya6f/Y9A6Q==" saltValue="N6zwJIQDDuYlm42cMMqTSA==" spinCount="100000" sheet="1" objects="1" scenarios="1"/>
  <pageMargins left="0.7" right="0.7" top="0.75" bottom="0.75" header="0.3" footer="0.3"/>
  <pageSetup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F1" zoomScale="75" zoomScaleNormal="75" workbookViewId="0">
      <selection activeCell="Q9" sqref="Q9"/>
    </sheetView>
  </sheetViews>
  <sheetFormatPr defaultColWidth="8.85546875" defaultRowHeight="15.75" x14ac:dyDescent="0.25"/>
  <cols>
    <col min="1" max="1" width="5.7109375" style="12" bestFit="1" customWidth="1"/>
    <col min="2" max="2" width="32.140625" style="12" customWidth="1"/>
    <col min="3" max="3" width="15" style="12" bestFit="1" customWidth="1"/>
    <col min="4" max="4" width="14.28515625" style="12" bestFit="1" customWidth="1"/>
    <col min="5" max="5" width="11.140625" style="12" bestFit="1" customWidth="1"/>
    <col min="6" max="6" width="11.140625" style="12" customWidth="1"/>
    <col min="7" max="7" width="18.7109375" style="12" bestFit="1" customWidth="1"/>
    <col min="8" max="8" width="12.42578125" style="12" bestFit="1" customWidth="1"/>
    <col min="9" max="10" width="12.42578125" style="12" customWidth="1"/>
    <col min="11" max="11" width="14" style="12" bestFit="1" customWidth="1"/>
    <col min="12" max="12" width="11.140625" style="12" bestFit="1" customWidth="1"/>
    <col min="13" max="13" width="13.28515625" style="12" bestFit="1" customWidth="1"/>
    <col min="14" max="14" width="14.7109375" style="12" customWidth="1"/>
    <col min="15" max="15" width="12.42578125" style="12" bestFit="1" customWidth="1"/>
    <col min="16" max="16" width="15" style="12" bestFit="1" customWidth="1"/>
    <col min="17" max="17" width="19.140625" style="12" customWidth="1"/>
    <col min="18" max="16384" width="8.85546875" style="12"/>
  </cols>
  <sheetData>
    <row r="1" spans="1:21" x14ac:dyDescent="0.25">
      <c r="A1" s="10" t="s">
        <v>101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71"/>
      <c r="R1" s="72"/>
      <c r="S1" s="72"/>
      <c r="T1" s="72"/>
      <c r="U1" s="72"/>
    </row>
    <row r="2" spans="1:21" x14ac:dyDescent="0.25">
      <c r="A2" s="7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90"/>
      <c r="O2" s="11"/>
      <c r="P2" s="11"/>
      <c r="Q2" s="71"/>
      <c r="R2" s="73"/>
      <c r="S2" s="73"/>
      <c r="T2" s="72"/>
      <c r="U2" s="72"/>
    </row>
    <row r="3" spans="1:21" x14ac:dyDescent="0.25">
      <c r="A3" s="56" t="s">
        <v>6</v>
      </c>
      <c r="B3" s="56" t="s">
        <v>0</v>
      </c>
      <c r="C3" s="57" t="s">
        <v>7</v>
      </c>
      <c r="D3" s="56" t="s">
        <v>1</v>
      </c>
      <c r="E3" s="56" t="s">
        <v>2</v>
      </c>
      <c r="F3" s="56" t="s">
        <v>191</v>
      </c>
      <c r="G3" s="56" t="s">
        <v>192</v>
      </c>
      <c r="H3" s="56" t="s">
        <v>55</v>
      </c>
      <c r="I3" s="56" t="s">
        <v>222</v>
      </c>
      <c r="J3" s="56" t="s">
        <v>223</v>
      </c>
      <c r="K3" s="56" t="s">
        <v>3</v>
      </c>
      <c r="L3" s="56" t="s">
        <v>31</v>
      </c>
      <c r="M3" s="56" t="s">
        <v>5</v>
      </c>
      <c r="N3" s="56" t="s">
        <v>8</v>
      </c>
      <c r="O3" s="10" t="s">
        <v>9</v>
      </c>
      <c r="P3" s="57" t="s">
        <v>30</v>
      </c>
      <c r="Q3" s="10" t="s">
        <v>138</v>
      </c>
      <c r="R3" s="73"/>
      <c r="S3" s="74"/>
      <c r="T3" s="72"/>
      <c r="U3" s="72"/>
    </row>
    <row r="4" spans="1:21" x14ac:dyDescent="0.25">
      <c r="A4" s="70">
        <v>1</v>
      </c>
      <c r="B4" s="59" t="s">
        <v>89</v>
      </c>
      <c r="C4" s="22">
        <v>29450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/>
      <c r="K4" s="22"/>
      <c r="L4" s="22">
        <v>3500</v>
      </c>
      <c r="M4" s="22"/>
      <c r="N4" s="22">
        <f>SUM(C4:M4)</f>
        <v>76650</v>
      </c>
      <c r="O4" s="14">
        <f>29450</f>
        <v>29450</v>
      </c>
      <c r="P4" s="22">
        <f>N4-O4</f>
        <v>47200</v>
      </c>
      <c r="Q4" s="75">
        <v>43479</v>
      </c>
      <c r="R4" s="74"/>
      <c r="S4" s="72"/>
      <c r="T4" s="72"/>
      <c r="U4" s="72"/>
    </row>
    <row r="5" spans="1:21" x14ac:dyDescent="0.25">
      <c r="A5" s="70">
        <v>2</v>
      </c>
      <c r="B5" s="59" t="s">
        <v>84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/>
      <c r="K5" s="22"/>
      <c r="L5" s="22">
        <v>3500</v>
      </c>
      <c r="M5" s="22"/>
      <c r="N5" s="22">
        <f t="shared" ref="N5:N12" si="0">SUM(C5:M5)</f>
        <v>47200</v>
      </c>
      <c r="O5" s="14"/>
      <c r="P5" s="22">
        <f t="shared" ref="P5:P12" si="1">N5-O5</f>
        <v>47200</v>
      </c>
      <c r="Q5" s="75"/>
      <c r="R5" s="74"/>
      <c r="S5" s="72"/>
      <c r="T5" s="72"/>
      <c r="U5" s="72"/>
    </row>
    <row r="6" spans="1:21" x14ac:dyDescent="0.25">
      <c r="A6" s="70">
        <v>3</v>
      </c>
      <c r="B6" s="59" t="s">
        <v>83</v>
      </c>
      <c r="C6" s="22">
        <v>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/>
      <c r="K6" s="22"/>
      <c r="L6" s="22">
        <v>3500</v>
      </c>
      <c r="M6" s="22">
        <v>15000</v>
      </c>
      <c r="N6" s="22">
        <f t="shared" si="0"/>
        <v>62200</v>
      </c>
      <c r="O6" s="14">
        <f>58000</f>
        <v>58000</v>
      </c>
      <c r="P6" s="22">
        <f t="shared" si="1"/>
        <v>4200</v>
      </c>
      <c r="Q6" s="17">
        <v>43472</v>
      </c>
      <c r="R6" s="74"/>
      <c r="S6" s="74"/>
      <c r="T6" s="72"/>
      <c r="U6" s="72"/>
    </row>
    <row r="7" spans="1:21" ht="15.6" customHeight="1" x14ac:dyDescent="0.25">
      <c r="A7" s="70">
        <v>4</v>
      </c>
      <c r="B7" s="59" t="s">
        <v>76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/>
      <c r="K7" s="22"/>
      <c r="L7" s="22">
        <v>3500</v>
      </c>
      <c r="M7" s="22"/>
      <c r="N7" s="22">
        <f t="shared" si="0"/>
        <v>47200</v>
      </c>
      <c r="O7" s="14"/>
      <c r="P7" s="22">
        <f t="shared" si="1"/>
        <v>47200</v>
      </c>
      <c r="Q7" s="75"/>
      <c r="R7" s="72"/>
      <c r="S7" s="74"/>
      <c r="T7" s="72"/>
      <c r="U7" s="72"/>
    </row>
    <row r="8" spans="1:21" x14ac:dyDescent="0.25">
      <c r="A8" s="70">
        <v>5</v>
      </c>
      <c r="B8" s="59" t="s">
        <v>75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/>
      <c r="K8" s="22"/>
      <c r="L8" s="22">
        <v>3500</v>
      </c>
      <c r="M8" s="22"/>
      <c r="N8" s="22">
        <f t="shared" si="0"/>
        <v>47200</v>
      </c>
      <c r="O8" s="14">
        <f>35000+5000</f>
        <v>40000</v>
      </c>
      <c r="P8" s="22">
        <f t="shared" si="1"/>
        <v>7200</v>
      </c>
      <c r="Q8" s="75">
        <v>43510</v>
      </c>
      <c r="R8" s="74"/>
      <c r="S8" s="74"/>
      <c r="T8" s="72"/>
      <c r="U8" s="72"/>
    </row>
    <row r="9" spans="1:21" x14ac:dyDescent="0.25">
      <c r="A9" s="70">
        <v>6</v>
      </c>
      <c r="B9" s="59" t="s">
        <v>103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/>
      <c r="K9" s="22"/>
      <c r="L9" s="22">
        <v>3500</v>
      </c>
      <c r="M9" s="22"/>
      <c r="N9" s="22">
        <f t="shared" si="0"/>
        <v>47200</v>
      </c>
      <c r="O9" s="14"/>
      <c r="P9" s="22">
        <f t="shared" si="1"/>
        <v>47200</v>
      </c>
      <c r="Q9" s="75"/>
      <c r="R9" s="72"/>
      <c r="S9" s="72"/>
      <c r="T9" s="72"/>
      <c r="U9" s="72"/>
    </row>
    <row r="10" spans="1:21" x14ac:dyDescent="0.25">
      <c r="A10" s="70">
        <v>7</v>
      </c>
      <c r="B10" s="59" t="s">
        <v>140</v>
      </c>
      <c r="C10" s="22">
        <v>49450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/>
      <c r="K10" s="22"/>
      <c r="L10" s="22">
        <v>3500</v>
      </c>
      <c r="M10" s="22"/>
      <c r="N10" s="22">
        <f t="shared" si="0"/>
        <v>96650</v>
      </c>
      <c r="O10" s="14">
        <f>34310</f>
        <v>34310</v>
      </c>
      <c r="P10" s="22">
        <f t="shared" si="1"/>
        <v>62340</v>
      </c>
      <c r="Q10" s="75">
        <v>43473</v>
      </c>
      <c r="R10" s="72"/>
      <c r="S10" s="72"/>
      <c r="T10" s="72"/>
      <c r="U10" s="72"/>
    </row>
    <row r="11" spans="1:21" x14ac:dyDescent="0.25">
      <c r="A11" s="70">
        <v>8</v>
      </c>
      <c r="B11" s="59" t="s">
        <v>116</v>
      </c>
      <c r="C11" s="22">
        <v>10000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/>
      <c r="K11" s="22"/>
      <c r="L11" s="22">
        <v>3500</v>
      </c>
      <c r="M11" s="22"/>
      <c r="N11" s="22">
        <f t="shared" si="0"/>
        <v>57200</v>
      </c>
      <c r="O11" s="14">
        <f>52200</f>
        <v>52200</v>
      </c>
      <c r="P11" s="22">
        <f t="shared" si="1"/>
        <v>5000</v>
      </c>
      <c r="Q11" s="75">
        <v>43481</v>
      </c>
      <c r="R11" s="74"/>
      <c r="S11" s="72"/>
      <c r="T11" s="72"/>
      <c r="U11" s="72"/>
    </row>
    <row r="12" spans="1:21" ht="15.6" customHeight="1" x14ac:dyDescent="0.25">
      <c r="A12" s="70">
        <v>9</v>
      </c>
      <c r="B12" s="59" t="s">
        <v>188</v>
      </c>
      <c r="C12" s="22">
        <v>400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/>
      <c r="K12" s="22"/>
      <c r="L12" s="22">
        <v>3500</v>
      </c>
      <c r="M12" s="22"/>
      <c r="N12" s="22">
        <f t="shared" si="0"/>
        <v>47600</v>
      </c>
      <c r="O12" s="14"/>
      <c r="P12" s="22">
        <f t="shared" si="1"/>
        <v>47600</v>
      </c>
      <c r="Q12" s="75"/>
      <c r="R12" s="74"/>
      <c r="S12" s="72"/>
      <c r="T12" s="72"/>
      <c r="U12" s="72"/>
    </row>
    <row r="13" spans="1:21" ht="15.6" customHeight="1" x14ac:dyDescent="0.25">
      <c r="A13" s="70">
        <v>10</v>
      </c>
      <c r="B13" s="59" t="s">
        <v>214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>
        <v>9000</v>
      </c>
      <c r="I13" s="22">
        <v>6000</v>
      </c>
      <c r="J13" s="22">
        <v>2500</v>
      </c>
      <c r="K13" s="22">
        <v>19450</v>
      </c>
      <c r="L13" s="22">
        <v>3500</v>
      </c>
      <c r="M13" s="22"/>
      <c r="N13" s="22">
        <f>SUM(C13:M13)</f>
        <v>84150</v>
      </c>
      <c r="O13" s="14">
        <f>52800</f>
        <v>52800</v>
      </c>
      <c r="P13" s="22">
        <f>N13-O13</f>
        <v>31350</v>
      </c>
      <c r="Q13" s="75">
        <v>43496</v>
      </c>
      <c r="R13" s="74"/>
      <c r="S13" s="72"/>
      <c r="T13" s="72"/>
      <c r="U13" s="72"/>
    </row>
    <row r="14" spans="1:21" s="21" customFormat="1" x14ac:dyDescent="0.25">
      <c r="A14" s="77"/>
      <c r="B14" s="56" t="s">
        <v>189</v>
      </c>
      <c r="C14" s="23">
        <f>SUM(C4:C13)</f>
        <v>89300</v>
      </c>
      <c r="D14" s="23">
        <f t="shared" ref="D14:P14" si="2">SUM(D4:D13)</f>
        <v>365000</v>
      </c>
      <c r="E14" s="23">
        <f t="shared" si="2"/>
        <v>10000</v>
      </c>
      <c r="F14" s="23">
        <f t="shared" si="2"/>
        <v>30000</v>
      </c>
      <c r="G14" s="23">
        <f t="shared" si="2"/>
        <v>32000</v>
      </c>
      <c r="H14" s="23">
        <f t="shared" si="2"/>
        <v>9000</v>
      </c>
      <c r="I14" s="23">
        <f t="shared" si="2"/>
        <v>6000</v>
      </c>
      <c r="J14" s="23">
        <f t="shared" si="2"/>
        <v>2500</v>
      </c>
      <c r="K14" s="23">
        <f t="shared" si="2"/>
        <v>19450</v>
      </c>
      <c r="L14" s="23">
        <f t="shared" si="2"/>
        <v>35000</v>
      </c>
      <c r="M14" s="23">
        <f t="shared" si="2"/>
        <v>15000</v>
      </c>
      <c r="N14" s="23">
        <f t="shared" si="2"/>
        <v>613250</v>
      </c>
      <c r="O14" s="23">
        <f t="shared" si="2"/>
        <v>266760</v>
      </c>
      <c r="P14" s="23">
        <f t="shared" si="2"/>
        <v>346490</v>
      </c>
      <c r="Q14" s="10"/>
      <c r="R14" s="73"/>
      <c r="S14" s="73"/>
      <c r="T14" s="73"/>
      <c r="U14" s="73"/>
    </row>
    <row r="15" spans="1:21" x14ac:dyDescent="0.25">
      <c r="Q15" s="74"/>
      <c r="R15" s="72"/>
      <c r="S15" s="72"/>
      <c r="T15" s="72"/>
      <c r="U15" s="72"/>
    </row>
    <row r="16" spans="1:21" ht="15.6" customHeight="1" x14ac:dyDescent="0.25">
      <c r="Q16" s="74"/>
      <c r="R16" s="72"/>
      <c r="S16" s="72"/>
      <c r="T16" s="72"/>
      <c r="U16" s="72"/>
    </row>
    <row r="17" spans="1:21" x14ac:dyDescent="0.25">
      <c r="Q17" s="74"/>
      <c r="R17" s="72"/>
      <c r="S17" s="72"/>
      <c r="T17" s="72"/>
      <c r="U17" s="72"/>
    </row>
    <row r="18" spans="1:21" x14ac:dyDescent="0.25">
      <c r="Q18" s="72"/>
      <c r="R18" s="72"/>
      <c r="S18" s="72"/>
      <c r="T18" s="72"/>
      <c r="U18" s="72"/>
    </row>
    <row r="19" spans="1:21" x14ac:dyDescent="0.25">
      <c r="A19" s="76"/>
      <c r="R19" s="72"/>
      <c r="S19" s="72"/>
      <c r="T19" s="72"/>
      <c r="U19" s="72"/>
    </row>
    <row r="20" spans="1:21" x14ac:dyDescent="0.25">
      <c r="A20" s="76"/>
      <c r="R20" s="72"/>
      <c r="S20" s="72"/>
      <c r="T20" s="72"/>
      <c r="U20" s="72"/>
    </row>
    <row r="21" spans="1:21" x14ac:dyDescent="0.25">
      <c r="R21" s="72"/>
      <c r="S21" s="72"/>
      <c r="T21" s="72"/>
      <c r="U21" s="72"/>
    </row>
    <row r="22" spans="1:21" x14ac:dyDescent="0.25">
      <c r="L22" s="16"/>
      <c r="N22" s="16"/>
      <c r="R22" s="72"/>
      <c r="S22" s="72"/>
      <c r="T22" s="72"/>
      <c r="U22" s="72"/>
    </row>
    <row r="23" spans="1:21" x14ac:dyDescent="0.25">
      <c r="D23" s="16"/>
      <c r="R23" s="72"/>
      <c r="S23" s="72"/>
      <c r="T23" s="72"/>
      <c r="U23" s="72"/>
    </row>
    <row r="24" spans="1:21" x14ac:dyDescent="0.25">
      <c r="R24" s="72"/>
      <c r="S24" s="72"/>
      <c r="T24" s="72"/>
      <c r="U24" s="72"/>
    </row>
  </sheetData>
  <sheetProtection algorithmName="SHA-512" hashValue="qbyz1U/VQDruP5wDj2ilq5xuYI+KC8xW3KgOYF3NWhZb/D+INErCx8UfurGK1OTTjV74E8i4tlAwx5JVoi0FOA==" saltValue="A7esQYDGwq9rz9+PVl9ilQ==" spinCount="100000" sheet="1" objects="1" scenarios="1"/>
  <mergeCells count="1">
    <mergeCell ref="E2:N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C1" zoomScale="75" zoomScaleNormal="75" workbookViewId="0">
      <selection activeCell="O7" sqref="O7"/>
    </sheetView>
  </sheetViews>
  <sheetFormatPr defaultColWidth="8.85546875" defaultRowHeight="15.75" x14ac:dyDescent="0.25"/>
  <cols>
    <col min="1" max="1" width="6.5703125" style="12" customWidth="1"/>
    <col min="2" max="2" width="29.42578125" style="12" customWidth="1"/>
    <col min="3" max="3" width="14.85546875" style="12" bestFit="1" customWidth="1"/>
    <col min="4" max="4" width="13.7109375" style="12" bestFit="1" customWidth="1"/>
    <col min="5" max="7" width="15" style="12" customWidth="1"/>
    <col min="8" max="10" width="9.5703125" style="12" customWidth="1"/>
    <col min="11" max="11" width="11.140625" style="12" customWidth="1"/>
    <col min="12" max="12" width="12.7109375" style="12" customWidth="1"/>
    <col min="13" max="13" width="11.5703125" style="12" bestFit="1" customWidth="1"/>
    <col min="14" max="14" width="12.42578125" style="12" customWidth="1"/>
    <col min="15" max="15" width="12.7109375" style="12" customWidth="1"/>
    <col min="16" max="16" width="11.140625" style="12" bestFit="1" customWidth="1"/>
    <col min="17" max="17" width="22.140625" style="12" customWidth="1"/>
    <col min="18" max="18" width="13.140625" style="12" customWidth="1"/>
    <col min="19" max="16384" width="8.85546875" style="12"/>
  </cols>
  <sheetData>
    <row r="1" spans="1:18" x14ac:dyDescent="0.25">
      <c r="A1" s="10" t="s">
        <v>32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8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11"/>
      <c r="Q2" s="11"/>
    </row>
    <row r="3" spans="1:18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192</v>
      </c>
      <c r="H3" s="56" t="s">
        <v>55</v>
      </c>
      <c r="I3" s="56" t="s">
        <v>222</v>
      </c>
      <c r="J3" s="56" t="s">
        <v>223</v>
      </c>
      <c r="K3" s="56" t="s">
        <v>3</v>
      </c>
      <c r="L3" s="56" t="s">
        <v>31</v>
      </c>
      <c r="M3" s="56" t="s">
        <v>5</v>
      </c>
      <c r="N3" s="56" t="s">
        <v>8</v>
      </c>
      <c r="O3" s="10" t="s">
        <v>9</v>
      </c>
      <c r="P3" s="57" t="s">
        <v>30</v>
      </c>
      <c r="Q3" s="10" t="s">
        <v>218</v>
      </c>
    </row>
    <row r="4" spans="1:18" x14ac:dyDescent="0.25">
      <c r="A4" s="58">
        <v>1</v>
      </c>
      <c r="B4" s="59" t="s">
        <v>70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/>
      <c r="K4" s="22"/>
      <c r="L4" s="22">
        <v>3500</v>
      </c>
      <c r="M4" s="22"/>
      <c r="N4" s="22">
        <f>SUM(C4:M4)</f>
        <v>47200</v>
      </c>
      <c r="O4" s="14">
        <f>47200</f>
        <v>47200</v>
      </c>
      <c r="P4" s="22">
        <f>N4-O4</f>
        <v>0</v>
      </c>
      <c r="Q4" s="75">
        <v>43493</v>
      </c>
      <c r="R4" s="16"/>
    </row>
    <row r="5" spans="1:18" ht="15.6" customHeight="1" x14ac:dyDescent="0.25">
      <c r="A5" s="58">
        <v>2</v>
      </c>
      <c r="B5" s="59" t="s">
        <v>58</v>
      </c>
      <c r="C5" s="22">
        <v>3690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/>
      <c r="K5" s="22"/>
      <c r="L5" s="22">
        <v>3500</v>
      </c>
      <c r="M5" s="22"/>
      <c r="N5" s="22">
        <f t="shared" ref="N5:N11" si="0">SUM(C5:M5)</f>
        <v>50890</v>
      </c>
      <c r="O5" s="14">
        <f>3690</f>
        <v>3690</v>
      </c>
      <c r="P5" s="22">
        <f t="shared" ref="P5:P13" si="1">N5-O5</f>
        <v>47200</v>
      </c>
      <c r="Q5" s="75">
        <v>43481</v>
      </c>
      <c r="R5" s="16"/>
    </row>
    <row r="6" spans="1:18" x14ac:dyDescent="0.25">
      <c r="A6" s="58">
        <v>3</v>
      </c>
      <c r="B6" s="59" t="s">
        <v>56</v>
      </c>
      <c r="C6" s="22">
        <v>4450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/>
      <c r="K6" s="22"/>
      <c r="L6" s="22">
        <v>3500</v>
      </c>
      <c r="M6" s="22"/>
      <c r="N6" s="22">
        <f t="shared" si="0"/>
        <v>51650</v>
      </c>
      <c r="O6" s="14"/>
      <c r="P6" s="22">
        <f t="shared" si="1"/>
        <v>51650</v>
      </c>
      <c r="Q6" s="75"/>
    </row>
    <row r="7" spans="1:18" x14ac:dyDescent="0.25">
      <c r="A7" s="58">
        <v>4</v>
      </c>
      <c r="B7" s="59" t="s">
        <v>59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/>
      <c r="K7" s="22"/>
      <c r="L7" s="22">
        <v>3500</v>
      </c>
      <c r="M7" s="22"/>
      <c r="N7" s="22">
        <f t="shared" si="0"/>
        <v>47200</v>
      </c>
      <c r="O7" s="14">
        <f>43200+1000</f>
        <v>44200</v>
      </c>
      <c r="P7" s="22">
        <f t="shared" si="1"/>
        <v>3000</v>
      </c>
      <c r="Q7" s="75">
        <v>43472</v>
      </c>
    </row>
    <row r="8" spans="1:18" x14ac:dyDescent="0.25">
      <c r="A8" s="58">
        <v>5</v>
      </c>
      <c r="B8" s="59" t="s">
        <v>60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/>
      <c r="K8" s="22"/>
      <c r="L8" s="22">
        <v>3500</v>
      </c>
      <c r="M8" s="22"/>
      <c r="N8" s="22">
        <f t="shared" si="0"/>
        <v>47200</v>
      </c>
      <c r="O8" s="14">
        <f>43000+1000</f>
        <v>44000</v>
      </c>
      <c r="P8" s="22">
        <f t="shared" si="1"/>
        <v>3200</v>
      </c>
      <c r="Q8" s="75">
        <v>43472</v>
      </c>
    </row>
    <row r="9" spans="1:18" x14ac:dyDescent="0.25">
      <c r="A9" s="58">
        <v>6</v>
      </c>
      <c r="B9" s="59" t="s">
        <v>90</v>
      </c>
      <c r="C9" s="22">
        <v>21250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/>
      <c r="K9" s="22"/>
      <c r="L9" s="22">
        <v>3500</v>
      </c>
      <c r="M9" s="22"/>
      <c r="N9" s="22">
        <f t="shared" si="0"/>
        <v>68450</v>
      </c>
      <c r="O9" s="14"/>
      <c r="P9" s="22">
        <f t="shared" si="1"/>
        <v>68450</v>
      </c>
      <c r="Q9" s="75"/>
      <c r="R9" s="16"/>
    </row>
    <row r="10" spans="1:18" x14ac:dyDescent="0.25">
      <c r="A10" s="58">
        <v>7</v>
      </c>
      <c r="B10" s="59" t="s">
        <v>95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/>
      <c r="K10" s="22"/>
      <c r="L10" s="22">
        <v>3500</v>
      </c>
      <c r="M10" s="22"/>
      <c r="N10" s="22">
        <f t="shared" si="0"/>
        <v>47200</v>
      </c>
      <c r="O10" s="14">
        <f>41000</f>
        <v>41000</v>
      </c>
      <c r="P10" s="22">
        <f t="shared" si="1"/>
        <v>6200</v>
      </c>
      <c r="Q10" s="75">
        <v>43501</v>
      </c>
    </row>
    <row r="11" spans="1:18" ht="15.6" customHeight="1" x14ac:dyDescent="0.25">
      <c r="A11" s="58">
        <v>8</v>
      </c>
      <c r="B11" s="59" t="s">
        <v>123</v>
      </c>
      <c r="C11" s="22">
        <v>1000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/>
      <c r="K11" s="22"/>
      <c r="L11" s="22">
        <v>3500</v>
      </c>
      <c r="M11" s="22"/>
      <c r="N11" s="22">
        <f t="shared" si="0"/>
        <v>48200</v>
      </c>
      <c r="O11" s="14">
        <f>46200+1000</f>
        <v>47200</v>
      </c>
      <c r="P11" s="22">
        <f t="shared" si="1"/>
        <v>1000</v>
      </c>
      <c r="Q11" s="75">
        <v>43495</v>
      </c>
    </row>
    <row r="12" spans="1:18" x14ac:dyDescent="0.25">
      <c r="A12" s="58">
        <v>9</v>
      </c>
      <c r="B12" s="59" t="s">
        <v>132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/>
      <c r="K12" s="22"/>
      <c r="L12" s="22">
        <v>3500</v>
      </c>
      <c r="M12" s="22"/>
      <c r="N12" s="22">
        <f>SUM(C12:M12)</f>
        <v>47200</v>
      </c>
      <c r="O12" s="14"/>
      <c r="P12" s="22">
        <f t="shared" si="1"/>
        <v>47200</v>
      </c>
      <c r="Q12" s="75"/>
    </row>
    <row r="13" spans="1:18" x14ac:dyDescent="0.25">
      <c r="A13" s="58">
        <v>10</v>
      </c>
      <c r="B13" s="59" t="s">
        <v>215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>
        <v>9000</v>
      </c>
      <c r="I13" s="22">
        <v>6000</v>
      </c>
      <c r="J13" s="22">
        <v>2500</v>
      </c>
      <c r="K13" s="22">
        <v>20250</v>
      </c>
      <c r="L13" s="22">
        <v>3500</v>
      </c>
      <c r="M13" s="22">
        <v>7500</v>
      </c>
      <c r="N13" s="22">
        <f>SUM(C13:M13)</f>
        <v>92450</v>
      </c>
      <c r="O13" s="14">
        <f>91750</f>
        <v>91750</v>
      </c>
      <c r="P13" s="22">
        <f t="shared" si="1"/>
        <v>700</v>
      </c>
      <c r="Q13" s="75"/>
    </row>
    <row r="14" spans="1:18" ht="15.6" customHeight="1" x14ac:dyDescent="0.25">
      <c r="A14" s="58"/>
      <c r="B14" s="59"/>
      <c r="C14" s="22">
        <f>SUM(C4:C13)</f>
        <v>30390</v>
      </c>
      <c r="D14" s="22">
        <f t="shared" ref="D14:P14" si="2">SUM(D4:D13)</f>
        <v>365000</v>
      </c>
      <c r="E14" s="22">
        <f t="shared" si="2"/>
        <v>10000</v>
      </c>
      <c r="F14" s="22">
        <f t="shared" si="2"/>
        <v>30000</v>
      </c>
      <c r="G14" s="22">
        <f t="shared" si="2"/>
        <v>32000</v>
      </c>
      <c r="H14" s="22">
        <f t="shared" si="2"/>
        <v>9000</v>
      </c>
      <c r="I14" s="22">
        <f t="shared" si="2"/>
        <v>6000</v>
      </c>
      <c r="J14" s="22">
        <f t="shared" si="2"/>
        <v>2500</v>
      </c>
      <c r="K14" s="22">
        <f t="shared" si="2"/>
        <v>20250</v>
      </c>
      <c r="L14" s="22">
        <f t="shared" si="2"/>
        <v>35000</v>
      </c>
      <c r="M14" s="22">
        <f t="shared" si="2"/>
        <v>7500</v>
      </c>
      <c r="N14" s="22">
        <f t="shared" si="2"/>
        <v>547640</v>
      </c>
      <c r="O14" s="22">
        <f t="shared" si="2"/>
        <v>319040</v>
      </c>
      <c r="P14" s="22">
        <f t="shared" si="2"/>
        <v>228600</v>
      </c>
      <c r="Q14" s="11"/>
    </row>
    <row r="18" spans="5:17" x14ac:dyDescent="0.25">
      <c r="E18" s="12" t="s">
        <v>98</v>
      </c>
    </row>
    <row r="23" spans="5:17" x14ac:dyDescent="0.25">
      <c r="Q23" s="12" t="s">
        <v>98</v>
      </c>
    </row>
  </sheetData>
  <sheetProtection algorithmName="SHA-512" hashValue="KqPswP+MOBfbnmao59O2y7IVpSY/FjgmYrCw3g7IWqVZ3Jg/oHxzShlBBWtpH5ou6k8WHApDinrEG955aNDT1Q==" saltValue="rAsSdM+eD6l23XWBrmx9tA==" spinCount="100000" sheet="1" objects="1" scenarios="1"/>
  <mergeCells count="1">
    <mergeCell ref="E2:O2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D1" zoomScale="80" zoomScaleNormal="80" workbookViewId="0">
      <selection activeCell="Q13" sqref="Q13"/>
    </sheetView>
  </sheetViews>
  <sheetFormatPr defaultColWidth="8.85546875" defaultRowHeight="15.75" x14ac:dyDescent="0.25"/>
  <cols>
    <col min="1" max="1" width="5.5703125" style="12" bestFit="1" customWidth="1"/>
    <col min="2" max="2" width="34.7109375" style="12" customWidth="1"/>
    <col min="3" max="3" width="14.42578125" style="12" bestFit="1" customWidth="1"/>
    <col min="4" max="4" width="12.7109375" style="12" bestFit="1" customWidth="1"/>
    <col min="5" max="7" width="12.140625" style="12" customWidth="1"/>
    <col min="8" max="10" width="10.140625" style="12" customWidth="1"/>
    <col min="11" max="11" width="12.5703125" style="12" customWidth="1"/>
    <col min="12" max="12" width="10.42578125" style="12" customWidth="1"/>
    <col min="13" max="13" width="11.28515625" style="12" bestFit="1" customWidth="1"/>
    <col min="14" max="14" width="11.42578125" style="12" customWidth="1"/>
    <col min="15" max="15" width="12.7109375" style="12" bestFit="1" customWidth="1"/>
    <col min="16" max="16" width="13" style="12" bestFit="1" customWidth="1"/>
    <col min="17" max="17" width="25.28515625" style="12" customWidth="1"/>
    <col min="18" max="18" width="10.5703125" style="12" bestFit="1" customWidth="1"/>
    <col min="19" max="19" width="10.7109375" style="12" bestFit="1" customWidth="1"/>
    <col min="20" max="16384" width="8.85546875" style="12"/>
  </cols>
  <sheetData>
    <row r="1" spans="1:17" x14ac:dyDescent="0.25">
      <c r="A1" s="10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/>
      <c r="B2" s="11"/>
      <c r="C2" s="11"/>
      <c r="D2" s="11"/>
      <c r="E2" s="90" t="s">
        <v>10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11"/>
      <c r="Q2" s="11"/>
    </row>
    <row r="3" spans="1:17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192</v>
      </c>
      <c r="H3" s="56" t="s">
        <v>55</v>
      </c>
      <c r="I3" s="56" t="s">
        <v>222</v>
      </c>
      <c r="J3" s="56" t="s">
        <v>223</v>
      </c>
      <c r="K3" s="56" t="s">
        <v>3</v>
      </c>
      <c r="L3" s="56" t="s">
        <v>31</v>
      </c>
      <c r="M3" s="56" t="s">
        <v>5</v>
      </c>
      <c r="N3" s="56" t="s">
        <v>8</v>
      </c>
      <c r="O3" s="10" t="s">
        <v>9</v>
      </c>
      <c r="P3" s="57" t="s">
        <v>30</v>
      </c>
      <c r="Q3" s="10" t="s">
        <v>138</v>
      </c>
    </row>
    <row r="4" spans="1:17" x14ac:dyDescent="0.25">
      <c r="A4" s="58">
        <v>1</v>
      </c>
      <c r="B4" s="31" t="s">
        <v>11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/>
      <c r="K4" s="22"/>
      <c r="L4" s="22">
        <v>3500</v>
      </c>
      <c r="M4" s="22"/>
      <c r="N4" s="22">
        <f>SUM(C4:M4)</f>
        <v>47200</v>
      </c>
      <c r="O4" s="14">
        <f>45200</f>
        <v>45200</v>
      </c>
      <c r="P4" s="22">
        <f>N4-O4</f>
        <v>2000</v>
      </c>
      <c r="Q4" s="75"/>
    </row>
    <row r="5" spans="1:17" x14ac:dyDescent="0.25">
      <c r="A5" s="58">
        <v>2</v>
      </c>
      <c r="B5" s="31" t="s">
        <v>12</v>
      </c>
      <c r="C5" s="22">
        <v>1000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/>
      <c r="K5" s="22"/>
      <c r="L5" s="22">
        <v>3500</v>
      </c>
      <c r="M5" s="22"/>
      <c r="N5" s="22">
        <f t="shared" ref="N5:N14" si="0">SUM(C5:M5)</f>
        <v>48200</v>
      </c>
      <c r="O5" s="14">
        <f>1000</f>
        <v>1000</v>
      </c>
      <c r="P5" s="22">
        <f t="shared" ref="P5:P15" si="1">N5-O5</f>
        <v>47200</v>
      </c>
      <c r="Q5" s="75">
        <v>43813</v>
      </c>
    </row>
    <row r="6" spans="1:17" x14ac:dyDescent="0.25">
      <c r="A6" s="61">
        <v>3</v>
      </c>
      <c r="B6" s="79" t="s">
        <v>13</v>
      </c>
      <c r="C6" s="48">
        <v>0</v>
      </c>
      <c r="D6" s="48">
        <v>0</v>
      </c>
      <c r="E6" s="48">
        <v>1000</v>
      </c>
      <c r="F6" s="48">
        <v>3000</v>
      </c>
      <c r="G6" s="48">
        <v>3200</v>
      </c>
      <c r="H6" s="48"/>
      <c r="I6" s="48"/>
      <c r="J6" s="48"/>
      <c r="K6" s="48"/>
      <c r="L6" s="48">
        <v>3500</v>
      </c>
      <c r="M6" s="48"/>
      <c r="N6" s="48">
        <f t="shared" si="0"/>
        <v>10700</v>
      </c>
      <c r="O6" s="47"/>
      <c r="P6" s="48">
        <f t="shared" si="1"/>
        <v>10700</v>
      </c>
      <c r="Q6" s="78"/>
    </row>
    <row r="7" spans="1:17" x14ac:dyDescent="0.25">
      <c r="A7" s="58">
        <v>4</v>
      </c>
      <c r="B7" s="31" t="s">
        <v>14</v>
      </c>
      <c r="C7" s="22">
        <v>32400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/>
      <c r="K7" s="22"/>
      <c r="L7" s="22">
        <v>3500</v>
      </c>
      <c r="M7" s="22"/>
      <c r="N7" s="22">
        <f t="shared" si="0"/>
        <v>79600</v>
      </c>
      <c r="O7" s="14">
        <f>36000</f>
        <v>36000</v>
      </c>
      <c r="P7" s="22">
        <f t="shared" si="1"/>
        <v>43600</v>
      </c>
      <c r="Q7" s="75">
        <v>43473</v>
      </c>
    </row>
    <row r="8" spans="1:17" x14ac:dyDescent="0.25">
      <c r="A8" s="58">
        <v>5</v>
      </c>
      <c r="B8" s="31" t="s">
        <v>81</v>
      </c>
      <c r="C8" s="22">
        <v>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/>
      <c r="K8" s="22"/>
      <c r="L8" s="22">
        <v>3500</v>
      </c>
      <c r="M8" s="22"/>
      <c r="N8" s="22">
        <f t="shared" si="0"/>
        <v>47200</v>
      </c>
      <c r="O8" s="14">
        <f>46200+1000</f>
        <v>47200</v>
      </c>
      <c r="P8" s="22">
        <f t="shared" si="1"/>
        <v>0</v>
      </c>
      <c r="Q8" s="75">
        <v>43495</v>
      </c>
    </row>
    <row r="9" spans="1:17" ht="15.6" customHeight="1" x14ac:dyDescent="0.25">
      <c r="A9" s="58">
        <v>6</v>
      </c>
      <c r="B9" s="31" t="s">
        <v>82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/>
      <c r="K9" s="22"/>
      <c r="L9" s="22">
        <v>3500</v>
      </c>
      <c r="M9" s="22"/>
      <c r="N9" s="22">
        <f t="shared" si="0"/>
        <v>47200</v>
      </c>
      <c r="O9" s="14">
        <f>46200+1000</f>
        <v>47200</v>
      </c>
      <c r="P9" s="22">
        <f t="shared" si="1"/>
        <v>0</v>
      </c>
      <c r="Q9" s="75">
        <v>43495</v>
      </c>
    </row>
    <row r="10" spans="1:17" x14ac:dyDescent="0.25">
      <c r="A10" s="58">
        <v>7</v>
      </c>
      <c r="B10" s="31" t="s">
        <v>91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/>
      <c r="K10" s="22"/>
      <c r="L10" s="22">
        <v>3500</v>
      </c>
      <c r="M10" s="22"/>
      <c r="N10" s="22">
        <f t="shared" si="0"/>
        <v>47200</v>
      </c>
      <c r="O10" s="14"/>
      <c r="P10" s="22">
        <f t="shared" si="1"/>
        <v>47200</v>
      </c>
      <c r="Q10" s="75"/>
    </row>
    <row r="11" spans="1:17" x14ac:dyDescent="0.25">
      <c r="A11" s="58">
        <v>8</v>
      </c>
      <c r="B11" s="31" t="s">
        <v>112</v>
      </c>
      <c r="C11" s="22">
        <v>-2740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/>
      <c r="K11" s="22"/>
      <c r="L11" s="22">
        <v>3500</v>
      </c>
      <c r="M11" s="22"/>
      <c r="N11" s="22">
        <f t="shared" si="0"/>
        <v>44460</v>
      </c>
      <c r="O11" s="14"/>
      <c r="P11" s="22">
        <f t="shared" si="1"/>
        <v>44460</v>
      </c>
      <c r="Q11" s="75"/>
    </row>
    <row r="12" spans="1:17" ht="15.6" customHeight="1" x14ac:dyDescent="0.25">
      <c r="A12" s="58">
        <v>9</v>
      </c>
      <c r="B12" s="31" t="s">
        <v>131</v>
      </c>
      <c r="C12" s="22">
        <v>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/>
      <c r="K12" s="22"/>
      <c r="L12" s="22">
        <v>3500</v>
      </c>
      <c r="M12" s="22">
        <v>7500</v>
      </c>
      <c r="N12" s="22">
        <f t="shared" si="0"/>
        <v>54700</v>
      </c>
      <c r="O12" s="14">
        <f>51000</f>
        <v>51000</v>
      </c>
      <c r="P12" s="22">
        <f t="shared" si="1"/>
        <v>3700</v>
      </c>
      <c r="Q12" s="75">
        <v>43508</v>
      </c>
    </row>
    <row r="13" spans="1:17" x14ac:dyDescent="0.25">
      <c r="A13" s="58">
        <v>10</v>
      </c>
      <c r="B13" s="31" t="s">
        <v>157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/>
      <c r="K13" s="22"/>
      <c r="L13" s="22">
        <v>3500</v>
      </c>
      <c r="M13" s="22"/>
      <c r="N13" s="22">
        <f t="shared" si="0"/>
        <v>47200</v>
      </c>
      <c r="O13" s="14"/>
      <c r="P13" s="22">
        <f t="shared" si="1"/>
        <v>47200</v>
      </c>
      <c r="Q13" s="75"/>
    </row>
    <row r="14" spans="1:17" x14ac:dyDescent="0.25">
      <c r="A14" s="58">
        <v>11</v>
      </c>
      <c r="B14" s="31" t="s">
        <v>158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/>
      <c r="K14" s="22"/>
      <c r="L14" s="22">
        <v>3500</v>
      </c>
      <c r="M14" s="59"/>
      <c r="N14" s="22">
        <f t="shared" si="0"/>
        <v>47200</v>
      </c>
      <c r="O14" s="14">
        <f>1000+39000</f>
        <v>40000</v>
      </c>
      <c r="P14" s="22">
        <f t="shared" si="1"/>
        <v>7200</v>
      </c>
      <c r="Q14" s="75">
        <v>43501</v>
      </c>
    </row>
    <row r="15" spans="1:17" x14ac:dyDescent="0.25">
      <c r="A15" s="58">
        <v>12</v>
      </c>
      <c r="B15" s="31" t="s">
        <v>216</v>
      </c>
      <c r="C15" s="22">
        <v>0</v>
      </c>
      <c r="D15" s="22">
        <v>36500</v>
      </c>
      <c r="E15" s="22">
        <v>1000</v>
      </c>
      <c r="F15" s="22">
        <v>3000</v>
      </c>
      <c r="G15" s="22">
        <v>3200</v>
      </c>
      <c r="H15" s="22">
        <v>9000</v>
      </c>
      <c r="I15" s="22">
        <v>6000</v>
      </c>
      <c r="J15" s="22">
        <v>2500</v>
      </c>
      <c r="K15" s="22">
        <v>19690</v>
      </c>
      <c r="L15" s="22">
        <v>3500</v>
      </c>
      <c r="M15" s="59"/>
      <c r="N15" s="22">
        <f t="shared" ref="N15" si="2">SUM(C15:M15)</f>
        <v>84390</v>
      </c>
      <c r="O15" s="14">
        <f>47200</f>
        <v>47200</v>
      </c>
      <c r="P15" s="22">
        <f t="shared" si="1"/>
        <v>37190</v>
      </c>
      <c r="Q15" s="75">
        <v>43496</v>
      </c>
    </row>
    <row r="16" spans="1:17" x14ac:dyDescent="0.25">
      <c r="A16" s="58"/>
      <c r="B16" s="31" t="s">
        <v>189</v>
      </c>
      <c r="C16" s="22">
        <f t="shared" ref="C16:O16" si="3">SUM(C4:C15)</f>
        <v>30660</v>
      </c>
      <c r="D16" s="22">
        <f t="shared" si="3"/>
        <v>401500</v>
      </c>
      <c r="E16" s="22">
        <f t="shared" si="3"/>
        <v>12000</v>
      </c>
      <c r="F16" s="22">
        <f t="shared" si="3"/>
        <v>36000</v>
      </c>
      <c r="G16" s="22">
        <f t="shared" si="3"/>
        <v>38400</v>
      </c>
      <c r="H16" s="22">
        <f t="shared" si="3"/>
        <v>9000</v>
      </c>
      <c r="I16" s="22">
        <f t="shared" si="3"/>
        <v>6000</v>
      </c>
      <c r="J16" s="22">
        <f t="shared" si="3"/>
        <v>2500</v>
      </c>
      <c r="K16" s="22">
        <f t="shared" si="3"/>
        <v>19690</v>
      </c>
      <c r="L16" s="22">
        <f t="shared" si="3"/>
        <v>42000</v>
      </c>
      <c r="M16" s="22">
        <f t="shared" si="3"/>
        <v>7500</v>
      </c>
      <c r="N16" s="22">
        <f t="shared" si="3"/>
        <v>605250</v>
      </c>
      <c r="O16" s="22">
        <f t="shared" si="3"/>
        <v>314800</v>
      </c>
      <c r="P16" s="22">
        <f>SUM(P4:P15)</f>
        <v>290450</v>
      </c>
      <c r="Q16" s="75"/>
    </row>
    <row r="23" spans="11:11" x14ac:dyDescent="0.25">
      <c r="K23" s="12" t="s">
        <v>92</v>
      </c>
    </row>
  </sheetData>
  <sheetProtection algorithmName="SHA-512" hashValue="xIOFdFyz4K/rfYMGtt5HmElEE/iLjXdcOHEWEb8fe3qNgBbwiHnV0a8PiFNULLOB7HxKQQyg9FkwGYU90XzRiw==" saltValue="C4N2QG+gIMF5L1nLCNtkYA==" spinCount="100000" sheet="1" objects="1" scenarios="1"/>
  <mergeCells count="1">
    <mergeCell ref="E2:O2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zoomScale="75" zoomScaleNormal="75" workbookViewId="0">
      <selection activeCell="E8" sqref="E8"/>
    </sheetView>
  </sheetViews>
  <sheetFormatPr defaultColWidth="8.85546875" defaultRowHeight="15.75" x14ac:dyDescent="0.25"/>
  <cols>
    <col min="1" max="1" width="5.42578125" style="12" bestFit="1" customWidth="1"/>
    <col min="2" max="2" width="31" style="12" bestFit="1" customWidth="1"/>
    <col min="3" max="4" width="12.7109375" style="12" customWidth="1"/>
    <col min="5" max="7" width="11.85546875" style="12" customWidth="1"/>
    <col min="8" max="8" width="9" style="12" bestFit="1" customWidth="1"/>
    <col min="9" max="9" width="6.85546875" style="12" bestFit="1" customWidth="1"/>
    <col min="10" max="10" width="10.28515625" style="12" customWidth="1"/>
    <col min="11" max="11" width="11.28515625" style="12" bestFit="1" customWidth="1"/>
    <col min="12" max="12" width="11.140625" style="12" customWidth="1"/>
    <col min="13" max="13" width="12.28515625" style="12" customWidth="1"/>
    <col min="14" max="14" width="14.42578125" style="12" customWidth="1"/>
    <col min="15" max="15" width="26.7109375" style="12" customWidth="1"/>
    <col min="16" max="16" width="10.5703125" style="12" bestFit="1" customWidth="1"/>
    <col min="17" max="17" width="10.7109375" style="12" bestFit="1" customWidth="1"/>
    <col min="18" max="16384" width="8.85546875" style="12"/>
  </cols>
  <sheetData>
    <row r="1" spans="1:15" x14ac:dyDescent="0.25">
      <c r="A1" s="10" t="s">
        <v>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x14ac:dyDescent="0.25">
      <c r="A2" s="11"/>
      <c r="B2" s="11"/>
      <c r="C2" s="11"/>
      <c r="D2" s="90" t="s">
        <v>10</v>
      </c>
      <c r="E2" s="90"/>
      <c r="F2" s="90"/>
      <c r="G2" s="90"/>
      <c r="H2" s="90"/>
      <c r="I2" s="90"/>
      <c r="J2" s="90"/>
      <c r="K2" s="90"/>
      <c r="L2" s="90"/>
      <c r="M2" s="11"/>
      <c r="N2" s="11"/>
      <c r="O2" s="11"/>
    </row>
    <row r="3" spans="1:15" x14ac:dyDescent="0.25">
      <c r="A3" s="56" t="s">
        <v>6</v>
      </c>
      <c r="B3" s="56" t="s">
        <v>0</v>
      </c>
      <c r="C3" s="56" t="s">
        <v>7</v>
      </c>
      <c r="D3" s="56" t="s">
        <v>1</v>
      </c>
      <c r="E3" s="56" t="s">
        <v>2</v>
      </c>
      <c r="F3" s="56" t="s">
        <v>190</v>
      </c>
      <c r="G3" s="56" t="s">
        <v>192</v>
      </c>
      <c r="H3" s="56" t="s">
        <v>55</v>
      </c>
      <c r="I3" s="56" t="s">
        <v>3</v>
      </c>
      <c r="J3" s="56" t="s">
        <v>31</v>
      </c>
      <c r="K3" s="56" t="s">
        <v>5</v>
      </c>
      <c r="L3" s="56" t="s">
        <v>8</v>
      </c>
      <c r="M3" s="10" t="s">
        <v>9</v>
      </c>
      <c r="N3" s="57" t="s">
        <v>30</v>
      </c>
      <c r="O3" s="10" t="s">
        <v>138</v>
      </c>
    </row>
    <row r="4" spans="1:15" ht="15.6" customHeight="1" x14ac:dyDescent="0.25">
      <c r="A4" s="58">
        <v>1</v>
      </c>
      <c r="B4" s="59" t="s">
        <v>15</v>
      </c>
      <c r="C4" s="22">
        <v>0</v>
      </c>
      <c r="D4" s="22">
        <v>36500</v>
      </c>
      <c r="E4" s="22">
        <v>1000</v>
      </c>
      <c r="F4" s="22">
        <v>3000</v>
      </c>
      <c r="G4" s="22">
        <v>3200</v>
      </c>
      <c r="H4" s="22"/>
      <c r="I4" s="22"/>
      <c r="J4" s="22">
        <v>3500</v>
      </c>
      <c r="K4" s="22"/>
      <c r="L4" s="22">
        <f>SUM(C4:K4)</f>
        <v>47200</v>
      </c>
      <c r="M4" s="14">
        <f>24000+23200</f>
        <v>47200</v>
      </c>
      <c r="N4" s="22">
        <f>L4-M4</f>
        <v>0</v>
      </c>
      <c r="O4" s="13" t="s">
        <v>207</v>
      </c>
    </row>
    <row r="5" spans="1:15" x14ac:dyDescent="0.25">
      <c r="A5" s="58">
        <v>2</v>
      </c>
      <c r="B5" s="59" t="s">
        <v>16</v>
      </c>
      <c r="C5" s="22">
        <v>0</v>
      </c>
      <c r="D5" s="22">
        <v>36500</v>
      </c>
      <c r="E5" s="22">
        <v>1000</v>
      </c>
      <c r="F5" s="22">
        <v>3000</v>
      </c>
      <c r="G5" s="22">
        <v>3200</v>
      </c>
      <c r="H5" s="22"/>
      <c r="I5" s="22"/>
      <c r="J5" s="22">
        <v>3500</v>
      </c>
      <c r="K5" s="22"/>
      <c r="L5" s="22">
        <f t="shared" ref="L5:L15" si="0">SUM(C5:K5)</f>
        <v>47200</v>
      </c>
      <c r="M5" s="14"/>
      <c r="N5" s="22">
        <f t="shared" ref="N5:N15" si="1">L5-M5</f>
        <v>47200</v>
      </c>
      <c r="O5" s="15"/>
    </row>
    <row r="6" spans="1:15" x14ac:dyDescent="0.25">
      <c r="A6" s="58">
        <v>3</v>
      </c>
      <c r="B6" s="59" t="s">
        <v>17</v>
      </c>
      <c r="C6" s="22">
        <v>1000</v>
      </c>
      <c r="D6" s="22">
        <v>36500</v>
      </c>
      <c r="E6" s="22">
        <v>1000</v>
      </c>
      <c r="F6" s="22">
        <v>3000</v>
      </c>
      <c r="G6" s="22">
        <v>3200</v>
      </c>
      <c r="H6" s="22"/>
      <c r="I6" s="22"/>
      <c r="J6" s="22">
        <v>3500</v>
      </c>
      <c r="K6" s="22"/>
      <c r="L6" s="22">
        <f t="shared" si="0"/>
        <v>48200</v>
      </c>
      <c r="M6" s="14">
        <f>46200+1000+1000</f>
        <v>48200</v>
      </c>
      <c r="N6" s="22">
        <f t="shared" si="1"/>
        <v>0</v>
      </c>
      <c r="O6" s="15" t="s">
        <v>205</v>
      </c>
    </row>
    <row r="7" spans="1:15" x14ac:dyDescent="0.25">
      <c r="A7" s="58">
        <v>4</v>
      </c>
      <c r="B7" s="59" t="s">
        <v>18</v>
      </c>
      <c r="C7" s="22">
        <v>0</v>
      </c>
      <c r="D7" s="22">
        <v>36500</v>
      </c>
      <c r="E7" s="22">
        <v>1000</v>
      </c>
      <c r="F7" s="22">
        <v>3000</v>
      </c>
      <c r="G7" s="22">
        <v>3200</v>
      </c>
      <c r="H7" s="22"/>
      <c r="I7" s="22"/>
      <c r="J7" s="22">
        <v>3500</v>
      </c>
      <c r="K7" s="22"/>
      <c r="L7" s="22">
        <f t="shared" si="0"/>
        <v>47200</v>
      </c>
      <c r="M7" s="14"/>
      <c r="N7" s="22">
        <f t="shared" si="1"/>
        <v>47200</v>
      </c>
      <c r="O7" s="15"/>
    </row>
    <row r="8" spans="1:15" x14ac:dyDescent="0.25">
      <c r="A8" s="58">
        <v>5</v>
      </c>
      <c r="B8" s="59" t="s">
        <v>19</v>
      </c>
      <c r="C8" s="22">
        <v>8810</v>
      </c>
      <c r="D8" s="22">
        <v>36500</v>
      </c>
      <c r="E8" s="22">
        <v>1000</v>
      </c>
      <c r="F8" s="22">
        <v>3000</v>
      </c>
      <c r="G8" s="22">
        <v>3200</v>
      </c>
      <c r="H8" s="22"/>
      <c r="I8" s="22"/>
      <c r="J8" s="22">
        <v>3500</v>
      </c>
      <c r="K8" s="22"/>
      <c r="L8" s="22">
        <f t="shared" si="0"/>
        <v>56010</v>
      </c>
      <c r="M8" s="14">
        <f>8810+20250+26950</f>
        <v>56010</v>
      </c>
      <c r="N8" s="22">
        <f t="shared" si="1"/>
        <v>0</v>
      </c>
      <c r="O8" s="15" t="s">
        <v>206</v>
      </c>
    </row>
    <row r="9" spans="1:15" ht="15.6" customHeight="1" x14ac:dyDescent="0.25">
      <c r="A9" s="58">
        <v>6</v>
      </c>
      <c r="B9" s="59" t="s">
        <v>20</v>
      </c>
      <c r="C9" s="22">
        <v>0</v>
      </c>
      <c r="D9" s="22">
        <v>36500</v>
      </c>
      <c r="E9" s="22">
        <v>1000</v>
      </c>
      <c r="F9" s="22">
        <v>3000</v>
      </c>
      <c r="G9" s="22">
        <v>3200</v>
      </c>
      <c r="H9" s="22"/>
      <c r="I9" s="22"/>
      <c r="J9" s="22">
        <v>3500</v>
      </c>
      <c r="K9" s="22"/>
      <c r="L9" s="22">
        <f t="shared" si="0"/>
        <v>47200</v>
      </c>
      <c r="M9" s="14">
        <f>47200</f>
        <v>47200</v>
      </c>
      <c r="N9" s="22">
        <f t="shared" si="1"/>
        <v>0</v>
      </c>
      <c r="O9" s="15">
        <v>43474</v>
      </c>
    </row>
    <row r="10" spans="1:15" x14ac:dyDescent="0.25">
      <c r="A10" s="58">
        <v>7</v>
      </c>
      <c r="B10" s="59" t="s">
        <v>111</v>
      </c>
      <c r="C10" s="22">
        <v>0</v>
      </c>
      <c r="D10" s="22">
        <v>36500</v>
      </c>
      <c r="E10" s="22">
        <v>1000</v>
      </c>
      <c r="F10" s="22">
        <v>3000</v>
      </c>
      <c r="G10" s="22">
        <v>3200</v>
      </c>
      <c r="H10" s="22"/>
      <c r="I10" s="22"/>
      <c r="J10" s="22">
        <v>3500</v>
      </c>
      <c r="K10" s="22"/>
      <c r="L10" s="22">
        <f t="shared" si="0"/>
        <v>47200</v>
      </c>
      <c r="M10" s="14">
        <f>26800</f>
        <v>26800</v>
      </c>
      <c r="N10" s="22">
        <f t="shared" si="1"/>
        <v>20400</v>
      </c>
      <c r="O10" s="15">
        <v>43480</v>
      </c>
    </row>
    <row r="11" spans="1:15" x14ac:dyDescent="0.25">
      <c r="A11" s="58">
        <v>8</v>
      </c>
      <c r="B11" s="59" t="s">
        <v>21</v>
      </c>
      <c r="C11" s="22">
        <v>0</v>
      </c>
      <c r="D11" s="22">
        <v>36500</v>
      </c>
      <c r="E11" s="22">
        <v>1000</v>
      </c>
      <c r="F11" s="22">
        <v>3000</v>
      </c>
      <c r="G11" s="22">
        <v>3200</v>
      </c>
      <c r="H11" s="22"/>
      <c r="I11" s="22"/>
      <c r="J11" s="22">
        <v>3500</v>
      </c>
      <c r="K11" s="22"/>
      <c r="L11" s="22">
        <f t="shared" si="0"/>
        <v>47200</v>
      </c>
      <c r="M11" s="14">
        <f>45000</f>
        <v>45000</v>
      </c>
      <c r="N11" s="22">
        <f t="shared" si="1"/>
        <v>2200</v>
      </c>
      <c r="O11" s="15">
        <v>43490</v>
      </c>
    </row>
    <row r="12" spans="1:15" ht="15.6" customHeight="1" x14ac:dyDescent="0.25">
      <c r="A12" s="58">
        <v>9</v>
      </c>
      <c r="B12" s="59" t="s">
        <v>61</v>
      </c>
      <c r="C12" s="22">
        <v>2810</v>
      </c>
      <c r="D12" s="22">
        <v>36500</v>
      </c>
      <c r="E12" s="22">
        <v>1000</v>
      </c>
      <c r="F12" s="22">
        <v>3000</v>
      </c>
      <c r="G12" s="22">
        <v>3200</v>
      </c>
      <c r="H12" s="22"/>
      <c r="I12" s="22"/>
      <c r="J12" s="22">
        <v>3500</v>
      </c>
      <c r="K12" s="22"/>
      <c r="L12" s="22">
        <f t="shared" si="0"/>
        <v>50010</v>
      </c>
      <c r="M12" s="14">
        <f>10000</f>
        <v>10000</v>
      </c>
      <c r="N12" s="22">
        <f t="shared" si="1"/>
        <v>40010</v>
      </c>
      <c r="O12" s="15">
        <v>43432</v>
      </c>
    </row>
    <row r="13" spans="1:15" x14ac:dyDescent="0.25">
      <c r="A13" s="58">
        <v>10</v>
      </c>
      <c r="B13" s="59" t="s">
        <v>133</v>
      </c>
      <c r="C13" s="22">
        <v>0</v>
      </c>
      <c r="D13" s="22">
        <v>36500</v>
      </c>
      <c r="E13" s="22">
        <v>1000</v>
      </c>
      <c r="F13" s="22">
        <v>3000</v>
      </c>
      <c r="G13" s="22">
        <v>3200</v>
      </c>
      <c r="H13" s="22"/>
      <c r="I13" s="22"/>
      <c r="J13" s="22">
        <v>3500</v>
      </c>
      <c r="K13" s="22"/>
      <c r="L13" s="22">
        <f t="shared" si="0"/>
        <v>47200</v>
      </c>
      <c r="M13" s="14"/>
      <c r="N13" s="22">
        <f t="shared" si="1"/>
        <v>47200</v>
      </c>
      <c r="O13" s="15"/>
    </row>
    <row r="14" spans="1:15" x14ac:dyDescent="0.25">
      <c r="A14" s="58">
        <v>11</v>
      </c>
      <c r="B14" s="59" t="s">
        <v>135</v>
      </c>
      <c r="C14" s="22">
        <v>0</v>
      </c>
      <c r="D14" s="22">
        <v>36500</v>
      </c>
      <c r="E14" s="22">
        <v>1000</v>
      </c>
      <c r="F14" s="22">
        <v>3000</v>
      </c>
      <c r="G14" s="22">
        <v>3200</v>
      </c>
      <c r="H14" s="22"/>
      <c r="I14" s="22"/>
      <c r="J14" s="22">
        <v>3500</v>
      </c>
      <c r="K14" s="22"/>
      <c r="L14" s="22">
        <f t="shared" si="0"/>
        <v>47200</v>
      </c>
      <c r="M14" s="14"/>
      <c r="N14" s="22">
        <f t="shared" si="1"/>
        <v>47200</v>
      </c>
      <c r="O14" s="15"/>
    </row>
    <row r="15" spans="1:15" x14ac:dyDescent="0.25">
      <c r="A15" s="58">
        <v>12</v>
      </c>
      <c r="B15" s="59" t="s">
        <v>200</v>
      </c>
      <c r="C15" s="22">
        <v>310</v>
      </c>
      <c r="D15" s="22">
        <v>36500</v>
      </c>
      <c r="E15" s="22">
        <v>1000</v>
      </c>
      <c r="F15" s="22">
        <v>3000</v>
      </c>
      <c r="G15" s="22">
        <v>3200</v>
      </c>
      <c r="H15" s="22"/>
      <c r="I15" s="22"/>
      <c r="J15" s="22">
        <v>3500</v>
      </c>
      <c r="K15" s="22">
        <v>15000</v>
      </c>
      <c r="L15" s="22">
        <f t="shared" si="0"/>
        <v>62510</v>
      </c>
      <c r="M15" s="14">
        <f>2800</f>
        <v>2800</v>
      </c>
      <c r="N15" s="22">
        <f t="shared" si="1"/>
        <v>59710</v>
      </c>
      <c r="O15" s="15">
        <v>43471</v>
      </c>
    </row>
    <row r="16" spans="1:15" s="21" customFormat="1" ht="15.6" customHeight="1" x14ac:dyDescent="0.25">
      <c r="A16" s="66"/>
      <c r="B16" s="60" t="s">
        <v>69</v>
      </c>
      <c r="C16" s="23">
        <f t="shared" ref="C16:N16" si="2">SUM(C4:C15)</f>
        <v>12930</v>
      </c>
      <c r="D16" s="23">
        <f t="shared" si="2"/>
        <v>438000</v>
      </c>
      <c r="E16" s="23">
        <f t="shared" si="2"/>
        <v>12000</v>
      </c>
      <c r="F16" s="23">
        <f t="shared" si="2"/>
        <v>36000</v>
      </c>
      <c r="G16" s="23">
        <f t="shared" si="2"/>
        <v>38400</v>
      </c>
      <c r="H16" s="23">
        <f t="shared" si="2"/>
        <v>0</v>
      </c>
      <c r="I16" s="23">
        <f t="shared" si="2"/>
        <v>0</v>
      </c>
      <c r="J16" s="23">
        <f t="shared" si="2"/>
        <v>42000</v>
      </c>
      <c r="K16" s="23">
        <f t="shared" si="2"/>
        <v>15000</v>
      </c>
      <c r="L16" s="23">
        <f t="shared" si="2"/>
        <v>594330</v>
      </c>
      <c r="M16" s="19">
        <f t="shared" si="2"/>
        <v>283210</v>
      </c>
      <c r="N16" s="23">
        <f t="shared" si="2"/>
        <v>311120</v>
      </c>
      <c r="O16" s="20"/>
    </row>
    <row r="22" spans="9:9" x14ac:dyDescent="0.25">
      <c r="I22" s="12" t="s">
        <v>99</v>
      </c>
    </row>
  </sheetData>
  <sheetProtection algorithmName="SHA-512" hashValue="XfCNY1MXniI8FN90EJHYjAJLYSr60seEJrIN6orY1MyOJJAums15sVK8D+luBQRvOAD7hWUgEoeySuqzF0pdWQ==" saltValue="Y5bdnQ8wXx8jjxLq1WPy2A==" spinCount="100000" sheet="1" objects="1" scenarios="1"/>
  <mergeCells count="1">
    <mergeCell ref="D2:L2"/>
  </mergeCells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 1</vt:lpstr>
      <vt:lpstr>Nur 2</vt:lpstr>
      <vt:lpstr>Pry 1</vt:lpstr>
      <vt:lpstr>Pry 2</vt:lpstr>
      <vt:lpstr>Pry 3</vt:lpstr>
      <vt:lpstr>Pry 4</vt:lpstr>
      <vt:lpstr>Pry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2007-01-01T00:05:58Z</dcterms:modified>
</cp:coreProperties>
</file>