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" sheetId="1" r:id="rId4"/>
    <sheet state="visible" name="COA" sheetId="2" r:id="rId5"/>
    <sheet state="visible" name="BCA" sheetId="3" r:id="rId6"/>
    <sheet state="visible" name="JURNAL TRANSACTION" sheetId="4" r:id="rId7"/>
  </sheets>
  <definedNames>
    <definedName hidden="1" localSheetId="2" name="_xlnm._FilterDatabase">BCA!$A$7:$K$507</definedName>
  </definedNames>
  <calcPr/>
</workbook>
</file>

<file path=xl/sharedStrings.xml><?xml version="1.0" encoding="utf-8"?>
<sst xmlns="http://schemas.openxmlformats.org/spreadsheetml/2006/main" count="1546" uniqueCount="673">
  <si>
    <t>AC</t>
  </si>
  <si>
    <t>Description</t>
  </si>
  <si>
    <t>This period transaction</t>
  </si>
  <si>
    <t>No.</t>
  </si>
  <si>
    <t>Dr.</t>
  </si>
  <si>
    <t>Cr.</t>
  </si>
  <si>
    <t>Harus nol</t>
  </si>
  <si>
    <t>Harus balance</t>
  </si>
  <si>
    <t>PT Mata Pensil Globalindo</t>
  </si>
  <si>
    <t>Chart of Account</t>
  </si>
  <si>
    <t>AC No.</t>
  </si>
  <si>
    <t>Catagory</t>
  </si>
  <si>
    <t>Assets</t>
  </si>
  <si>
    <t>Aktiva Lancar</t>
  </si>
  <si>
    <t>Kas dan Setara Kas</t>
  </si>
  <si>
    <t>Kas Kecil</t>
  </si>
  <si>
    <t>10010-00</t>
  </si>
  <si>
    <t>Kas Pusat</t>
  </si>
  <si>
    <t>10011-00</t>
  </si>
  <si>
    <t>Kas Operasional Kantor</t>
  </si>
  <si>
    <t>10020-00</t>
  </si>
  <si>
    <t>Bank MPG Giro BCA 478-888-3330</t>
  </si>
  <si>
    <t>10030-00</t>
  </si>
  <si>
    <t>Bank MPG Giro Mandiri 103-00-06-579-003</t>
  </si>
  <si>
    <t>10040-00</t>
  </si>
  <si>
    <t>Bank MPG Tab Mandiri 155-00-79-000-777</t>
  </si>
  <si>
    <t>10050-00</t>
  </si>
  <si>
    <t>Bank MPG Giro BJB 014-388-672-7001</t>
  </si>
  <si>
    <t>10900-00</t>
  </si>
  <si>
    <t>Clearing Account/ Overbooking</t>
  </si>
  <si>
    <t>11000-00</t>
  </si>
  <si>
    <t>AR Trade</t>
  </si>
  <si>
    <t>11101-00</t>
  </si>
  <si>
    <t>Piutang Usaha</t>
  </si>
  <si>
    <t>12000-00</t>
  </si>
  <si>
    <t>Other Receivable</t>
  </si>
  <si>
    <t>Piutang lain-lain</t>
  </si>
  <si>
    <t>12001-00</t>
  </si>
  <si>
    <t>Piutang Karyawan</t>
  </si>
  <si>
    <t>12002-00</t>
  </si>
  <si>
    <t>Piutang Lain-Lain</t>
  </si>
  <si>
    <t>12100-00</t>
  </si>
  <si>
    <t>Piutang Direksi</t>
  </si>
  <si>
    <t>Piutang pihak berelasi</t>
  </si>
  <si>
    <t>13000-00</t>
  </si>
  <si>
    <t>Persediaan</t>
  </si>
  <si>
    <t>13001-00</t>
  </si>
  <si>
    <t>Persediaan Barang Di Site</t>
  </si>
  <si>
    <t>13002-00</t>
  </si>
  <si>
    <t>Persediaan Barang Konsumsi Kantor</t>
  </si>
  <si>
    <t>14000-00</t>
  </si>
  <si>
    <t>Biaya dibayar dimuka</t>
  </si>
  <si>
    <t>14001-00</t>
  </si>
  <si>
    <t>Sewa dibayar dimuka</t>
  </si>
  <si>
    <t>Biaya dibayar dimuka dan Uang Muka</t>
  </si>
  <si>
    <t>14002-00</t>
  </si>
  <si>
    <t>Uang Muka Pembelian</t>
  </si>
  <si>
    <t>14003-00</t>
  </si>
  <si>
    <t>Uang Muka Project</t>
  </si>
  <si>
    <t>14100-00</t>
  </si>
  <si>
    <t>Uang Muka Pajak - PPh 22</t>
  </si>
  <si>
    <t>Prepaid Tax</t>
  </si>
  <si>
    <t>14200-00</t>
  </si>
  <si>
    <t>Uang Muka Pajak - PPh 23</t>
  </si>
  <si>
    <t>14300-00</t>
  </si>
  <si>
    <t>Uang Muka Pajak - PPh 25</t>
  </si>
  <si>
    <t>14400-00</t>
  </si>
  <si>
    <t>Uang Muka Pajak - PPh 21</t>
  </si>
  <si>
    <t>14500-00</t>
  </si>
  <si>
    <t>Uang Muka Pajak - PPN Masukan</t>
  </si>
  <si>
    <t>15000-00</t>
  </si>
  <si>
    <t>Fixed Asset</t>
  </si>
  <si>
    <t>15100-00</t>
  </si>
  <si>
    <t>Tanah</t>
  </si>
  <si>
    <t>15200-00</t>
  </si>
  <si>
    <t>Bangunan</t>
  </si>
  <si>
    <t>15300-00</t>
  </si>
  <si>
    <t>Kendaraan</t>
  </si>
  <si>
    <t>15400-00</t>
  </si>
  <si>
    <t>Inventaris Kantor</t>
  </si>
  <si>
    <t>15500-00</t>
  </si>
  <si>
    <t>Perlengkapan Kantor</t>
  </si>
  <si>
    <t>16000-00</t>
  </si>
  <si>
    <t>Ac. Depreciation</t>
  </si>
  <si>
    <t>16200-00</t>
  </si>
  <si>
    <t>AK Penyusutan Bangunan</t>
  </si>
  <si>
    <t>16300-00</t>
  </si>
  <si>
    <t>AK Penyusutan Kendaraan</t>
  </si>
  <si>
    <t>16400-00</t>
  </si>
  <si>
    <t>AK Penyusutan Inventaris</t>
  </si>
  <si>
    <t>16500-00</t>
  </si>
  <si>
    <t>AK Penyusutan Perlengkapan</t>
  </si>
  <si>
    <t>19000-00</t>
  </si>
  <si>
    <t>Others Assets</t>
  </si>
  <si>
    <t>19010-00</t>
  </si>
  <si>
    <t>Investment</t>
  </si>
  <si>
    <t>19020-00</t>
  </si>
  <si>
    <t>Deposit</t>
  </si>
  <si>
    <t>20000-00</t>
  </si>
  <si>
    <t>AP Trade</t>
  </si>
  <si>
    <t>20101-00</t>
  </si>
  <si>
    <t>Hutang Usaha</t>
  </si>
  <si>
    <t>20200-00</t>
  </si>
  <si>
    <t>Hutang kepada Pemegang Saham</t>
  </si>
  <si>
    <t>20510-00</t>
  </si>
  <si>
    <t>Customer Deposit</t>
  </si>
  <si>
    <t>Hutang lain lain</t>
  </si>
  <si>
    <t>20520-00</t>
  </si>
  <si>
    <t>21500-00</t>
  </si>
  <si>
    <t>Hutang Bank</t>
  </si>
  <si>
    <t>22000-00</t>
  </si>
  <si>
    <t>AP Tax</t>
  </si>
  <si>
    <t>22101-00</t>
  </si>
  <si>
    <t>Hutang PPN</t>
  </si>
  <si>
    <t>Hutang Pajak</t>
  </si>
  <si>
    <t>22102-00</t>
  </si>
  <si>
    <t>WHT Payable Art 21</t>
  </si>
  <si>
    <t>22103-00</t>
  </si>
  <si>
    <t>WHT Payable Art 23</t>
  </si>
  <si>
    <t>22104-00</t>
  </si>
  <si>
    <t>WHT Payable Art 4 Parg 2</t>
  </si>
  <si>
    <t>22105-00</t>
  </si>
  <si>
    <t>WHT Payable Final Income Tax</t>
  </si>
  <si>
    <t>22106-00</t>
  </si>
  <si>
    <t>WHT Payable Art 26</t>
  </si>
  <si>
    <t>22107-00</t>
  </si>
  <si>
    <t>WHT Payable Art 25</t>
  </si>
  <si>
    <t>22108-00</t>
  </si>
  <si>
    <t>WHT Payable Art 29</t>
  </si>
  <si>
    <t>23000-00</t>
  </si>
  <si>
    <t>Accruals</t>
  </si>
  <si>
    <t>23001-00</t>
  </si>
  <si>
    <t>Accrued Gaji</t>
  </si>
  <si>
    <t>Biaya yang masih harus dibayar</t>
  </si>
  <si>
    <t>23002-00</t>
  </si>
  <si>
    <t>Accrued Listrik</t>
  </si>
  <si>
    <t>30000-00</t>
  </si>
  <si>
    <t>Equity</t>
  </si>
  <si>
    <t>Ekuitas</t>
  </si>
  <si>
    <t>30010-00</t>
  </si>
  <si>
    <t>Setoran Modal Romy Syaf Putra</t>
  </si>
  <si>
    <t>30020-00</t>
  </si>
  <si>
    <t>Setoran Modal Harun Alrasyid</t>
  </si>
  <si>
    <t>32000-00</t>
  </si>
  <si>
    <t>Dividen Paid</t>
  </si>
  <si>
    <t>35000-00</t>
  </si>
  <si>
    <t>Retained Earning</t>
  </si>
  <si>
    <t>40010-00</t>
  </si>
  <si>
    <t>Revenue</t>
  </si>
  <si>
    <t>40020-00</t>
  </si>
  <si>
    <t>Sales Project</t>
  </si>
  <si>
    <t>Pendapatan</t>
  </si>
  <si>
    <t>40030-00</t>
  </si>
  <si>
    <t>Pendapatan Jasa</t>
  </si>
  <si>
    <t>40040-00</t>
  </si>
  <si>
    <t>Pendapatan Alkes</t>
  </si>
  <si>
    <t>45100-00</t>
  </si>
  <si>
    <t>Sales discount</t>
  </si>
  <si>
    <t>50000-00</t>
  </si>
  <si>
    <t>Cost of sales</t>
  </si>
  <si>
    <t>50100-00</t>
  </si>
  <si>
    <t>Pembelian</t>
  </si>
  <si>
    <t>Harga Pokok Penjualan</t>
  </si>
  <si>
    <t>50200-00</t>
  </si>
  <si>
    <t>Ongkos Angkut Pembelian</t>
  </si>
  <si>
    <t>50300-00</t>
  </si>
  <si>
    <t>Jasa Teknik</t>
  </si>
  <si>
    <t>50400-00</t>
  </si>
  <si>
    <t>Perjalanan Dinas</t>
  </si>
  <si>
    <t>50500-00</t>
  </si>
  <si>
    <t>Makan Project</t>
  </si>
  <si>
    <t>50600-00</t>
  </si>
  <si>
    <t>Transport Project</t>
  </si>
  <si>
    <t>50700-00</t>
  </si>
  <si>
    <t>Entertaint</t>
  </si>
  <si>
    <t>50800-00</t>
  </si>
  <si>
    <t>Sparepart</t>
  </si>
  <si>
    <t>50900-00</t>
  </si>
  <si>
    <t>Ongkos Kirim</t>
  </si>
  <si>
    <t>51000-00</t>
  </si>
  <si>
    <t>Biaya Marketing</t>
  </si>
  <si>
    <t>Beban Administrasi Umum</t>
  </si>
  <si>
    <t>60010-00</t>
  </si>
  <si>
    <t>Salary</t>
  </si>
  <si>
    <t>60020-00</t>
  </si>
  <si>
    <t>Bonus&amp;THR</t>
  </si>
  <si>
    <t>60030-00</t>
  </si>
  <si>
    <t>Overtime</t>
  </si>
  <si>
    <t>60040-00</t>
  </si>
  <si>
    <t>Makan Kantor</t>
  </si>
  <si>
    <t>60050-00</t>
  </si>
  <si>
    <t>Asuransi</t>
  </si>
  <si>
    <t>60060-00</t>
  </si>
  <si>
    <t>Tunjangan PPh 21</t>
  </si>
  <si>
    <t>61000-00</t>
  </si>
  <si>
    <t>Office Expenses</t>
  </si>
  <si>
    <t>61010-00</t>
  </si>
  <si>
    <t>Listrik</t>
  </si>
  <si>
    <t>61020-00</t>
  </si>
  <si>
    <t>Telephone and internet</t>
  </si>
  <si>
    <t>61030-00</t>
  </si>
  <si>
    <t xml:space="preserve">ATK dan Printing </t>
  </si>
  <si>
    <t>61035-00</t>
  </si>
  <si>
    <t>Pos &amp; Meterai</t>
  </si>
  <si>
    <t>61040-00</t>
  </si>
  <si>
    <t>61050-00</t>
  </si>
  <si>
    <t>Servise Mobil</t>
  </si>
  <si>
    <t>61060-00</t>
  </si>
  <si>
    <t>61070-00</t>
  </si>
  <si>
    <t>Beban Perizinan &amp; Lisensi</t>
  </si>
  <si>
    <t>62000-00</t>
  </si>
  <si>
    <t>Biaya Sewa</t>
  </si>
  <si>
    <t>62010-00</t>
  </si>
  <si>
    <t>Beban Pelatihan Karyawan</t>
  </si>
  <si>
    <t>62020-00</t>
  </si>
  <si>
    <t>Transport</t>
  </si>
  <si>
    <t>62030-00</t>
  </si>
  <si>
    <t>beban profesional fee</t>
  </si>
  <si>
    <t>62040-00</t>
  </si>
  <si>
    <t>Donation</t>
  </si>
  <si>
    <t>63000-00</t>
  </si>
  <si>
    <t>Entertainment</t>
  </si>
  <si>
    <t>63010-00</t>
  </si>
  <si>
    <t>Repair &amp; Maintenance</t>
  </si>
  <si>
    <t>63020-00</t>
  </si>
  <si>
    <t>Catering</t>
  </si>
  <si>
    <t>63030-00</t>
  </si>
  <si>
    <t>Biaya lain-lain</t>
  </si>
  <si>
    <t>64000-00</t>
  </si>
  <si>
    <t>Depreciation Expenses</t>
  </si>
  <si>
    <t>64010-00</t>
  </si>
  <si>
    <t>Depresiasi Bangunan</t>
  </si>
  <si>
    <t>64020-00</t>
  </si>
  <si>
    <t>Depresiasi Kendaraan</t>
  </si>
  <si>
    <t>64030-00</t>
  </si>
  <si>
    <t>Depresiasi Inventaris</t>
  </si>
  <si>
    <t>64040-00</t>
  </si>
  <si>
    <t>Depresiasi Perlengkapan</t>
  </si>
  <si>
    <t>69000-00</t>
  </si>
  <si>
    <t>Marketing</t>
  </si>
  <si>
    <t>79050-00</t>
  </si>
  <si>
    <t>Others Expenses</t>
  </si>
  <si>
    <t>79060-00</t>
  </si>
  <si>
    <t>Licences</t>
  </si>
  <si>
    <t>Beban lain-lain</t>
  </si>
  <si>
    <t>79070-00</t>
  </si>
  <si>
    <t>manajemen fee</t>
  </si>
  <si>
    <t>79080-00</t>
  </si>
  <si>
    <t>Bank Charges</t>
  </si>
  <si>
    <t>79090-00</t>
  </si>
  <si>
    <t>80000-00</t>
  </si>
  <si>
    <t>Others Income</t>
  </si>
  <si>
    <t>80010-00</t>
  </si>
  <si>
    <t>Interest Income Deposit</t>
  </si>
  <si>
    <t>Pendapatan lain-lain</t>
  </si>
  <si>
    <t>80020-00</t>
  </si>
  <si>
    <t>Interest Expenses</t>
  </si>
  <si>
    <t>80030-00</t>
  </si>
  <si>
    <t>85010-00</t>
  </si>
  <si>
    <t>PL Forex</t>
  </si>
  <si>
    <t>85020-00</t>
  </si>
  <si>
    <t>PL of Disposal FA</t>
  </si>
  <si>
    <t>85025-00</t>
  </si>
  <si>
    <t>Tax Pinalty</t>
  </si>
  <si>
    <t>85040-00</t>
  </si>
  <si>
    <t>Rounding</t>
  </si>
  <si>
    <t>90010-00</t>
  </si>
  <si>
    <t>Provision for income Tax</t>
  </si>
  <si>
    <t>Pajak kini</t>
  </si>
  <si>
    <t>No Rekening</t>
  </si>
  <si>
    <t>Nama</t>
  </si>
  <si>
    <t>MATA PENSIL GLOBALINDO P</t>
  </si>
  <si>
    <t>Periode</t>
  </si>
  <si>
    <t>1/1/23 - 31/12/23</t>
  </si>
  <si>
    <t>Mata Uang</t>
  </si>
  <si>
    <t>Rp</t>
  </si>
  <si>
    <t>Saldo Awal</t>
  </si>
  <si>
    <t>Date</t>
  </si>
  <si>
    <t>Vouc.No.</t>
  </si>
  <si>
    <t>Project</t>
  </si>
  <si>
    <t>Transaction</t>
  </si>
  <si>
    <t>Ref.</t>
  </si>
  <si>
    <t>In</t>
  </si>
  <si>
    <t>Out</t>
  </si>
  <si>
    <t>Balance</t>
  </si>
  <si>
    <t>Month</t>
  </si>
  <si>
    <t>Link Document</t>
  </si>
  <si>
    <t>Konsulatan KAP Jan 2023</t>
  </si>
  <si>
    <t>Konsultan Keuangan</t>
  </si>
  <si>
    <t>PPh 21 DSA masa Dec 2022</t>
  </si>
  <si>
    <t>Hutang Pajak PPh 21</t>
  </si>
  <si>
    <t>Pajak Final sewa Gedung Wahid Nov 2022 - Jan 2023</t>
  </si>
  <si>
    <t>Hutang Pajak Final Pasal 4 Ayat 2</t>
  </si>
  <si>
    <t>PPh 21 IMT masa Dec 2022</t>
  </si>
  <si>
    <t>PPh 21 MPG masa Dec 2022</t>
  </si>
  <si>
    <t>Transfer dari DSA Tab BNI ke MPG Giro BCA</t>
  </si>
  <si>
    <t>PPn DLN masa Apr 2022</t>
  </si>
  <si>
    <t>Hutang Pajak PPn</t>
  </si>
  <si>
    <t>PPn DLN masa Jul 2022</t>
  </si>
  <si>
    <t>PPn DLN masa Jun 2022</t>
  </si>
  <si>
    <t>PPn DLN masa Aug 2022</t>
  </si>
  <si>
    <t>PPn DLN masa Nov 2022</t>
  </si>
  <si>
    <t>PPn DLN masa Sep 2022</t>
  </si>
  <si>
    <t>PPn DLN masa Oct 2022</t>
  </si>
  <si>
    <t>Karangan bunga 2 buah 14 Jan 2023</t>
  </si>
  <si>
    <t>Manajemen</t>
  </si>
  <si>
    <t>BI Fast</t>
  </si>
  <si>
    <t>Biaya Transfer</t>
  </si>
  <si>
    <t>PPn DLN masa mar 2022</t>
  </si>
  <si>
    <t>Asuransi kesehatan Inhelath Komut</t>
  </si>
  <si>
    <t>Asuransi Kesehatan Komisaris Dibayar Dimuka</t>
  </si>
  <si>
    <t>Transfer online</t>
  </si>
  <si>
    <t>Transfer ke HL untuk honorarium</t>
  </si>
  <si>
    <t>Uang Muka HL</t>
  </si>
  <si>
    <t>Gaji MPG Jan 23</t>
  </si>
  <si>
    <t>Gaji Pegawai</t>
  </si>
  <si>
    <t>Lembur MPG Jan 23</t>
  </si>
  <si>
    <t>Lembur Pegawai</t>
  </si>
  <si>
    <t>Piutang MPG Jan 23</t>
  </si>
  <si>
    <t>Honor MPG Manajemen</t>
  </si>
  <si>
    <t>Honorarium Komisaris</t>
  </si>
  <si>
    <t>Honorarium Direksi</t>
  </si>
  <si>
    <t>Gaji DSA Jan 23</t>
  </si>
  <si>
    <t>Lembur DSA Jan 23</t>
  </si>
  <si>
    <t>Piutang DSA Jan 23</t>
  </si>
  <si>
    <t>Piutang Pegawai</t>
  </si>
  <si>
    <t>Upah DSA Jan 23</t>
  </si>
  <si>
    <t>Upah PKWT</t>
  </si>
  <si>
    <t>Lembur DSA PKWT Jan 23</t>
  </si>
  <si>
    <t>Lembur PKWT</t>
  </si>
  <si>
    <t>Gaji DSA Jan 23 Enrollment</t>
  </si>
  <si>
    <t>Harga Pokok Yang masih Harus Dibayar</t>
  </si>
  <si>
    <t>Piutang DSA Jan 23 Enrollment</t>
  </si>
  <si>
    <t>Gaji IMT Jan 23</t>
  </si>
  <si>
    <t>Piutang IMT Jan 23</t>
  </si>
  <si>
    <t>Gaji RBP Jan 23</t>
  </si>
  <si>
    <t>Piutang RBP Jan 23</t>
  </si>
  <si>
    <t>Gaji SAA Jan 23</t>
  </si>
  <si>
    <t>Piutang SAA Jan 23</t>
  </si>
  <si>
    <t>Biaya Payroll MPG</t>
  </si>
  <si>
    <t>Biaya Payroll DSA</t>
  </si>
  <si>
    <t>Biaya Payroll IMT</t>
  </si>
  <si>
    <t>Biaya Payroll RBP</t>
  </si>
  <si>
    <t>Biaya Payroll SAA</t>
  </si>
  <si>
    <t>Perpanjangan STNK motor kantor dan denda</t>
  </si>
  <si>
    <t>Biaya Administrasi Non Pajak</t>
  </si>
  <si>
    <t>STP MPG masa Nov 2022</t>
  </si>
  <si>
    <t>Hutang Pajak STP</t>
  </si>
  <si>
    <t>STP MPG masa Dec 2021</t>
  </si>
  <si>
    <t>STP MPG masa Mar 2022</t>
  </si>
  <si>
    <t>STP MPG masa Apr 2022</t>
  </si>
  <si>
    <t>STP MPG masa May 2022</t>
  </si>
  <si>
    <t>STP MPG masa Jun 2022</t>
  </si>
  <si>
    <t>STP MPG masa Jul 2022</t>
  </si>
  <si>
    <t>STP MPG masa Aug 2022</t>
  </si>
  <si>
    <t>STP MPG masa Sep 2022</t>
  </si>
  <si>
    <t>STP MPG masa Oct 2022</t>
  </si>
  <si>
    <t>Pendapatan dari DLN Nov 22</t>
  </si>
  <si>
    <t>Pendapatan dari DLN Dec 22</t>
  </si>
  <si>
    <t>STP MPG masa Dec 2018</t>
  </si>
  <si>
    <t>Biaya Adm</t>
  </si>
  <si>
    <t>Biaya Administrasi Bank</t>
  </si>
  <si>
    <t>Komisi DLN Nov 2022</t>
  </si>
  <si>
    <t>Hutang Komisi Penjualan</t>
  </si>
  <si>
    <t>Komisi DLN Dec 2022</t>
  </si>
  <si>
    <t>ND - LAINNYA BY REF BANK</t>
  </si>
  <si>
    <t>PPh 21 MPG masa Jan 2023</t>
  </si>
  <si>
    <t>Hutang Pajak Pph 21</t>
  </si>
  <si>
    <t>PPh 21 IMT masa Jan 2023</t>
  </si>
  <si>
    <t>PPh 21 DSA masa Jan 2023</t>
  </si>
  <si>
    <t>PPn DLN transaksi Dec 22 masa Jan 2023</t>
  </si>
  <si>
    <t>Hutang Pajak Ppn</t>
  </si>
  <si>
    <t>Sewa Kantor Feb - Apr 2023</t>
  </si>
  <si>
    <t>Sewa Kantor Dibayar Dimuka</t>
  </si>
  <si>
    <t>LLG</t>
  </si>
  <si>
    <t>Pendapatan dari DLN Jan 23</t>
  </si>
  <si>
    <t>Gaji MPG Feb 23</t>
  </si>
  <si>
    <t>Lembur MPG Feb 23</t>
  </si>
  <si>
    <t>Piutang MPG Feb 23</t>
  </si>
  <si>
    <t>Gaji DSA Feb 23</t>
  </si>
  <si>
    <t>Lembur DSA Feb 23</t>
  </si>
  <si>
    <t>Piutang DSA Feb 23</t>
  </si>
  <si>
    <t>Upah DSA Feb 23</t>
  </si>
  <si>
    <t>Lembur DSA PKWT Feb 23</t>
  </si>
  <si>
    <t>Gaji DSA Feb 23 Enrollment</t>
  </si>
  <si>
    <t>Piutang DSA Feb 23 Enrollment</t>
  </si>
  <si>
    <t>Gaji IMT Feb 23</t>
  </si>
  <si>
    <t>Piutang IMT Feb 23</t>
  </si>
  <si>
    <t>Sumbangan Irma ke 1 dari 12 Bulan</t>
  </si>
  <si>
    <t>Konsulatan KAP Mar 2023</t>
  </si>
  <si>
    <t>PPh 21 DSA masa Feb 2023</t>
  </si>
  <si>
    <t>PPh 21 MPG masa Feb 2023</t>
  </si>
  <si>
    <t>PPh 21 IMT masa Feb 2023</t>
  </si>
  <si>
    <t>PPn DLN transaksi Dec 22 masa Feb 2023</t>
  </si>
  <si>
    <t>Konsultan Hukum</t>
  </si>
  <si>
    <t>Laptop Lenovo</t>
  </si>
  <si>
    <t>Inventaris Kantor Lain</t>
  </si>
  <si>
    <t>Konsumsi puka puasa</t>
  </si>
  <si>
    <t>Konsumsi</t>
  </si>
  <si>
    <t>Gaji MPG Mar 23</t>
  </si>
  <si>
    <t>Lembur MPG Mar 23</t>
  </si>
  <si>
    <t>Piutang MPG Mar 23</t>
  </si>
  <si>
    <t>Gaji DSA Mar 23</t>
  </si>
  <si>
    <t>Lembur DSA Mar 23</t>
  </si>
  <si>
    <t>Piutang DSA Mar 23</t>
  </si>
  <si>
    <t>Upah DSA Mar 23</t>
  </si>
  <si>
    <t>Lembur DSA PKWT Mar 23</t>
  </si>
  <si>
    <t>Gaji DSA Mar 23 Enrollment</t>
  </si>
  <si>
    <t>Piutang DSA Mar 23 Enrollment</t>
  </si>
  <si>
    <t>Gaji IMT Mar 23</t>
  </si>
  <si>
    <t>Piutang IMT Mar 23</t>
  </si>
  <si>
    <t>Gaji RBP Mar 23</t>
  </si>
  <si>
    <t>Piutang RBP Mar 23</t>
  </si>
  <si>
    <t>Gaji SAA Mar 23</t>
  </si>
  <si>
    <t>Piutang SAA Mar 23</t>
  </si>
  <si>
    <t>Pendapatan dari DLN Feb 23</t>
  </si>
  <si>
    <t>Sumbangan Irma ke 2 dari 12 Bulan</t>
  </si>
  <si>
    <t>PPh 21 MPG masa Mar 2023</t>
  </si>
  <si>
    <t>PPh 21 DSA masa Mar 2023</t>
  </si>
  <si>
    <t>PPh 21 IMT masa Mar 2023</t>
  </si>
  <si>
    <t>PPh 21 RBP masa Mar 2023</t>
  </si>
  <si>
    <t>Konsulatan KAP Apr 2023</t>
  </si>
  <si>
    <t>THR MPG Apr 23</t>
  </si>
  <si>
    <t>Tunjangan Hari Raya Pegawai</t>
  </si>
  <si>
    <t>THR IMT Apr 23</t>
  </si>
  <si>
    <t>THR DSA Apr 23</t>
  </si>
  <si>
    <t>THR DSA Apr 23 Enroolment</t>
  </si>
  <si>
    <t>THR DSA Apr 23 PKWT</t>
  </si>
  <si>
    <t>Tunjangan Hari Raya PKWT</t>
  </si>
  <si>
    <t>THR RBP Apr 23</t>
  </si>
  <si>
    <t>THR SAA Apr 23</t>
  </si>
  <si>
    <t>Payroll MPG Apr 23</t>
  </si>
  <si>
    <t>Payroll IMT Apr 23</t>
  </si>
  <si>
    <t>Payroll DSA Apr 23</t>
  </si>
  <si>
    <t>Payroll RBP Apr 23</t>
  </si>
  <si>
    <t>Payroll SAA Apr 23</t>
  </si>
  <si>
    <t>Pendapatan dari DLN Mar 23</t>
  </si>
  <si>
    <t>Konsusmi buka puasa</t>
  </si>
  <si>
    <t>Perbaikan mesin Wrapping</t>
  </si>
  <si>
    <t>Perbaikan Inventaris Kantor</t>
  </si>
  <si>
    <t>Gaji MPG Apr 23</t>
  </si>
  <si>
    <t>Lembur MPG Apr 23</t>
  </si>
  <si>
    <t>Piutang MPG Apr 23</t>
  </si>
  <si>
    <t>Gaji DSA Apr 23</t>
  </si>
  <si>
    <t>Lembur DSA Apr 23</t>
  </si>
  <si>
    <t>Piutang DSA Apr 23</t>
  </si>
  <si>
    <t>Upah DSA Apr 23</t>
  </si>
  <si>
    <t>Lembur DSA PKWT Apr 23</t>
  </si>
  <si>
    <t>Gaji DSA Apr 23 Enrollment</t>
  </si>
  <si>
    <t>Piutang DSA Apr 23 Enrollment</t>
  </si>
  <si>
    <t>Gaji IMT Apr 23</t>
  </si>
  <si>
    <t>Piutang IMT Apr 23</t>
  </si>
  <si>
    <t>Gaji RBP Apr 23</t>
  </si>
  <si>
    <t>Piutang RBP Apr 23</t>
  </si>
  <si>
    <t>Gaji SAA Apr 23</t>
  </si>
  <si>
    <t>Piutang SAA Apr 23</t>
  </si>
  <si>
    <t>Upah Café Loading Apr 23</t>
  </si>
  <si>
    <t>Honorarium Lainnya</t>
  </si>
  <si>
    <t>PPn DLN transaksi Feb 2023 masa Mar 2023</t>
  </si>
  <si>
    <t>PPh 21 DSA masa Apr 2023</t>
  </si>
  <si>
    <t>PPh 21 RBP masa Apr 2023</t>
  </si>
  <si>
    <t>PPh 21 MPG masa Apr 2023</t>
  </si>
  <si>
    <t>Sumbangan Irma ke 3 dari 12 Bulan</t>
  </si>
  <si>
    <t>Kekurangan gaji Apr 23 (jam kerja menjadi 12 jam)</t>
  </si>
  <si>
    <t>Hutang Gaji</t>
  </si>
  <si>
    <t>Payroll</t>
  </si>
  <si>
    <t>DP jasa perizinan Alkes PT Alesha Aksara</t>
  </si>
  <si>
    <t>Paket Dinas Eko</t>
  </si>
  <si>
    <t>Paket Dinas</t>
  </si>
  <si>
    <t>Pajak Final sewa Gedung Wahid Feb-Apr 2023</t>
  </si>
  <si>
    <t>Pajak Final sewa Gedung Wahid May-Jul 2023</t>
  </si>
  <si>
    <t>PPn DLN transaksi Mar 2023 masa Apr 2023</t>
  </si>
  <si>
    <t>Gaji MPG May 23</t>
  </si>
  <si>
    <t>Lembur MPG May 23</t>
  </si>
  <si>
    <t>Piutang MPG May 23</t>
  </si>
  <si>
    <t>Gaji DSA May 23</t>
  </si>
  <si>
    <t>Lembur DSA May 23</t>
  </si>
  <si>
    <t>Piutang DSA May 23</t>
  </si>
  <si>
    <t>Upah DSA May 23</t>
  </si>
  <si>
    <t>Lembur DSA PKWT May 23</t>
  </si>
  <si>
    <t>Gaji DSA May 23 Enrollment</t>
  </si>
  <si>
    <t>Piutang DSA May 23 Enrollment</t>
  </si>
  <si>
    <t>Gaji IMT May 23</t>
  </si>
  <si>
    <t>Piutang IMT May 23</t>
  </si>
  <si>
    <t>Gaji RBP May 23</t>
  </si>
  <si>
    <t>Piutang RBP May 23</t>
  </si>
  <si>
    <t>Gaji SAA May 23</t>
  </si>
  <si>
    <t>Piutang SAA May 23</t>
  </si>
  <si>
    <t>Sumbangan Irma ke 4 dari 12 Bulan</t>
  </si>
  <si>
    <t>Pinjaman Jafar</t>
  </si>
  <si>
    <t>Piutang Lain-lain</t>
  </si>
  <si>
    <t>Konsulatan KAP Jun 2023</t>
  </si>
  <si>
    <t>PPh 21 RBP masa Feb 2023</t>
  </si>
  <si>
    <t>STP PPh 21 MPG masa Dec 2019</t>
  </si>
  <si>
    <t>STP PPh 21 MPG masa Aug 2020</t>
  </si>
  <si>
    <t>STP PPh 21 MPG masa Sep 2020</t>
  </si>
  <si>
    <t>STP PPh 21 MPG masa Oct 2020</t>
  </si>
  <si>
    <t>STP PPh 21 MPG masa Nov 2020</t>
  </si>
  <si>
    <t>STP PPh 21 MPG masa Feb 2023</t>
  </si>
  <si>
    <t>STP PPh 21 MPG masa Mar 2023</t>
  </si>
  <si>
    <t>Pelunasan jasa perizinan Alkes PT Alesha Aksara</t>
  </si>
  <si>
    <t>Operasional Yang Masih Harus Dibayar</t>
  </si>
  <si>
    <t>Transfer dari RBP Tab Victoria ke MPG Giro BCA</t>
  </si>
  <si>
    <t>Gaji MPG Jun 23</t>
  </si>
  <si>
    <t>Lembur MPG Jun 23</t>
  </si>
  <si>
    <t>Piutang MPG Jun 23</t>
  </si>
  <si>
    <t>Gaji DSA Jun 23</t>
  </si>
  <si>
    <t>Lembur DSA Jun 23</t>
  </si>
  <si>
    <t>Piutang DSA Jun 23</t>
  </si>
  <si>
    <t>Upah DSA Jun 23</t>
  </si>
  <si>
    <t>Lembur DSA PKWT Jun 23</t>
  </si>
  <si>
    <t>Gaji DSA Jun 23 Enrollment</t>
  </si>
  <si>
    <t>Piutang DSA Jun 23 Enrollment</t>
  </si>
  <si>
    <t>Gaji IMT Jun 23</t>
  </si>
  <si>
    <t>Piutang IMT Jun 23</t>
  </si>
  <si>
    <t>Gaji RBP Jun 23</t>
  </si>
  <si>
    <t>Piutang RBP Jun 23</t>
  </si>
  <si>
    <t>Gaji SAA Jun 23</t>
  </si>
  <si>
    <t>Piutang SAA Jun 23</t>
  </si>
  <si>
    <t>Konsumsi meeting dg BIO ID Njun Njan</t>
  </si>
  <si>
    <t>Konsumsi meeting dg BIO ID Snack</t>
  </si>
  <si>
    <t>Sumbangan Irma ke 5 dari 12 Bulan</t>
  </si>
  <si>
    <t>Transfer dari RBP Giro Victoria ke MPG Giro BCA</t>
  </si>
  <si>
    <t>Gaji MPG Jul 23</t>
  </si>
  <si>
    <t>Lembur MPG Jul 23</t>
  </si>
  <si>
    <t>Piutang MPG Jul 23</t>
  </si>
  <si>
    <t>Gaji DSA Jul 23</t>
  </si>
  <si>
    <t>Lembur DSA Jul 23</t>
  </si>
  <si>
    <t>Piutang DSA Jul 23</t>
  </si>
  <si>
    <t>Upah DSA Jul 23</t>
  </si>
  <si>
    <t>Lembur DSA PKWT Jul 23</t>
  </si>
  <si>
    <t>Gaji DSA Jul 23 Enrollment</t>
  </si>
  <si>
    <t>Harga Pokok Aplikasi IT</t>
  </si>
  <si>
    <t>Piutang DSA Jul 23 Enrollment</t>
  </si>
  <si>
    <t>Gaji IMT Jul 23</t>
  </si>
  <si>
    <t>Piutang IMT Jul 23</t>
  </si>
  <si>
    <t>Gaji RBP Jul 23</t>
  </si>
  <si>
    <t>Piutang RBP Jul 23</t>
  </si>
  <si>
    <t>Gaji SAA Jul 23</t>
  </si>
  <si>
    <t>Piutang SAA Jul 23</t>
  </si>
  <si>
    <t>Sumbangan Irma ke 6 dari 12 Bulan</t>
  </si>
  <si>
    <t>Sewa Kantor Aug - Oct 2023</t>
  </si>
  <si>
    <t>Pajak PPh 21 MPG</t>
  </si>
  <si>
    <t>Transfer ke HL untuk operasional lain</t>
  </si>
  <si>
    <t>Operasional Lain-lain</t>
  </si>
  <si>
    <t>Gaji MPG Aug 23</t>
  </si>
  <si>
    <t>Lembur MPG Aug 23</t>
  </si>
  <si>
    <t>Piutang MPG Aug 23</t>
  </si>
  <si>
    <t>Gaji DSA Aug 23</t>
  </si>
  <si>
    <t>Lembur DSA Aug 23</t>
  </si>
  <si>
    <t>Piutang DSA Aug 23</t>
  </si>
  <si>
    <t>Upah DSA Aug 23</t>
  </si>
  <si>
    <t>Lembur DSA PKWT Aug 23</t>
  </si>
  <si>
    <t>Gaji DSA Aug 23 Enrollment</t>
  </si>
  <si>
    <t>Piutang DSA Aug 23 Enrollment</t>
  </si>
  <si>
    <t>Gaji IMT Aug 23</t>
  </si>
  <si>
    <t>Piutang IMT Aug 23</t>
  </si>
  <si>
    <t>Gaji RBP Aug 23</t>
  </si>
  <si>
    <t>Piutang RBP Aug 23</t>
  </si>
  <si>
    <t>Gaji SAA Aug 23</t>
  </si>
  <si>
    <t>Piutang SAA Aug 23</t>
  </si>
  <si>
    <t>Gaji MPG Sep 23</t>
  </si>
  <si>
    <t>Lembur MPG Sep 23</t>
  </si>
  <si>
    <t>Piutang MPG Sep 23</t>
  </si>
  <si>
    <t>Gaji DSA Sep 23</t>
  </si>
  <si>
    <t>Lembur DSA Sep 23</t>
  </si>
  <si>
    <t>Piutang DSA Sep 23</t>
  </si>
  <si>
    <t>Upah DSA Sep 23</t>
  </si>
  <si>
    <t>Lembur DSA PKWT Sep 23</t>
  </si>
  <si>
    <t>Gaji DSA Sep 23 Enrollment</t>
  </si>
  <si>
    <t>Piutang DSA Sep 23 Enrollment</t>
  </si>
  <si>
    <t>Gaji IMT Sep 23</t>
  </si>
  <si>
    <t>Piutang IMT Sep 23</t>
  </si>
  <si>
    <t>Gaji RBP Sep 23</t>
  </si>
  <si>
    <t>Piutang RBP Sep 23</t>
  </si>
  <si>
    <t>Gaji SAA Sep 23</t>
  </si>
  <si>
    <t>Piutang SAA Sep 23</t>
  </si>
  <si>
    <t>Piutang Alpin IMT Sep 23</t>
  </si>
  <si>
    <t>Sumbangan Irma ke 8 dari 12 Bulan</t>
  </si>
  <si>
    <t>PPh 21 MPG masa Sep 2023</t>
  </si>
  <si>
    <t>Karangan bunga duka cita Alm. putri pak Daan</t>
  </si>
  <si>
    <t>Lain-lain</t>
  </si>
  <si>
    <t>Gaji MPG Oct 23</t>
  </si>
  <si>
    <t>Lembur MPG Oct 23</t>
  </si>
  <si>
    <t>Piutang MPG Oct 23</t>
  </si>
  <si>
    <t>Gaji DSA Oct 23</t>
  </si>
  <si>
    <t>Lembur DSA Oct 23</t>
  </si>
  <si>
    <t>Piutang DSA Oct 23</t>
  </si>
  <si>
    <t>Upah DSA Oct 23</t>
  </si>
  <si>
    <t>Lembur DSA PKWT Oct 23</t>
  </si>
  <si>
    <t>Honor DSA PKWT Oct 23</t>
  </si>
  <si>
    <t>Gaji DSA Oct 23 Enrollment</t>
  </si>
  <si>
    <t>Piutang DSA Oct 23 Enrollment</t>
  </si>
  <si>
    <t>Gaji IMT Oct 23</t>
  </si>
  <si>
    <t>Piutang IMT Oct 23</t>
  </si>
  <si>
    <t>Gaji RBP Oct 23</t>
  </si>
  <si>
    <t>Piutang RBP Oct 23</t>
  </si>
  <si>
    <t>Gaji SAA Oct 23</t>
  </si>
  <si>
    <t>Piutang SAA Oct 23</t>
  </si>
  <si>
    <t>Konsulatan KAP Dec 2023</t>
  </si>
  <si>
    <t>Piutang Jafar</t>
  </si>
  <si>
    <t>Sewa Kantor Nov 23 -Jan 24</t>
  </si>
  <si>
    <t>Pengembalian Alpin</t>
  </si>
  <si>
    <t>Piutang RS</t>
  </si>
  <si>
    <t>Insentif Jafar</t>
  </si>
  <si>
    <t>Transfer dari SAA Tab Mandiri ke MPG Giro BCA</t>
  </si>
  <si>
    <t>Gaji MPG Nov 23</t>
  </si>
  <si>
    <t>Lembur MPG Nov 23</t>
  </si>
  <si>
    <t>Piutang MPG Nov 23</t>
  </si>
  <si>
    <t>Gaji DSA Nov 23</t>
  </si>
  <si>
    <t>Lembur DSA Nov 23</t>
  </si>
  <si>
    <t>Piutang DSA Nov 23</t>
  </si>
  <si>
    <t>Upah DSA Nov 23</t>
  </si>
  <si>
    <t>Lembur DSA PKWT Nov 23</t>
  </si>
  <si>
    <t>Honor DSA PKWT Nov 23</t>
  </si>
  <si>
    <t>Gaji DSA Nov 23 Enrollment</t>
  </si>
  <si>
    <t>Piutang DSA Nov 23 Enrollment</t>
  </si>
  <si>
    <t>Gaji IMT Nov 23</t>
  </si>
  <si>
    <t>Piutang IMT Nov 23</t>
  </si>
  <si>
    <t>Gaji RBP Nov 23</t>
  </si>
  <si>
    <t>Piutang RBP Nov 23</t>
  </si>
  <si>
    <t>Gaji SAA Nov 23</t>
  </si>
  <si>
    <t>Piutang SAA Nov 23</t>
  </si>
  <si>
    <t>Manajemen Alkes RSUD Bekasi</t>
  </si>
  <si>
    <t>Sumbangan Irma ke 10 dari 12 Bulan</t>
  </si>
  <si>
    <t>Insentif Septi</t>
  </si>
  <si>
    <t>Insentif Pegawai</t>
  </si>
  <si>
    <t>Insentif Yudith</t>
  </si>
  <si>
    <t>Penggantian Helm</t>
  </si>
  <si>
    <t>Transport Jafar Abdullah</t>
  </si>
  <si>
    <t>Pajak Final sewa Gedung Wahid Aug-Oct 2023</t>
  </si>
  <si>
    <t>Gaji Dec 2023 Ramadhaniko Luqman</t>
  </si>
  <si>
    <t>Piutang Dec 2023 Ramadhaniko Luqman</t>
  </si>
  <si>
    <t>Manjemen</t>
  </si>
  <si>
    <t>Asuransi Allianz Dirut</t>
  </si>
  <si>
    <t>Asuransi Kesehatan Direksi Dibayar Dimuka</t>
  </si>
  <si>
    <t>Asuransi Allianz Direktur</t>
  </si>
  <si>
    <t>STNK 2 Mobil Eko Susanto</t>
  </si>
  <si>
    <t>Gaji MPG Dec 23</t>
  </si>
  <si>
    <t>Lembur MPG Dec 23</t>
  </si>
  <si>
    <t>Piutang MPG Dec 23</t>
  </si>
  <si>
    <t>Gaji DSA Dec 23</t>
  </si>
  <si>
    <t>Lembur DSA Dec 23</t>
  </si>
  <si>
    <t>Piutang DSA Dec 23</t>
  </si>
  <si>
    <t>Upah DSA Dec 23</t>
  </si>
  <si>
    <t>Lembur DSA PKWT Dec 23</t>
  </si>
  <si>
    <t>Honor DSA PKWT Dec 23</t>
  </si>
  <si>
    <t>Gaji DSA Dec 23 Enrollment</t>
  </si>
  <si>
    <t>Piutang DSA Dec 23 Enrollment</t>
  </si>
  <si>
    <t>Gaji IMT Dec 23</t>
  </si>
  <si>
    <t>Piutang IMT Dec 23</t>
  </si>
  <si>
    <t>Gaji RBP Dec 23</t>
  </si>
  <si>
    <t>Piutang RBP Dec 23</t>
  </si>
  <si>
    <t>Gaji SAA Dec 23</t>
  </si>
  <si>
    <t>Piutang SAA Dec 23</t>
  </si>
  <si>
    <t>Konsulatan KAP Jan 2024</t>
  </si>
  <si>
    <t>Operasional Dibayar Dimuka</t>
  </si>
  <si>
    <t>Total</t>
  </si>
  <si>
    <t>OK</t>
  </si>
  <si>
    <t>Client</t>
  </si>
  <si>
    <t>Diff.</t>
  </si>
  <si>
    <t>Beginning Balance</t>
  </si>
  <si>
    <t>Net Transaction</t>
  </si>
  <si>
    <t>Ending Balance</t>
  </si>
  <si>
    <t>Notes:</t>
  </si>
  <si>
    <t>Petty Cash Reconciliation</t>
  </si>
  <si>
    <t>Statement per book</t>
  </si>
  <si>
    <t>Per Cash Opname</t>
  </si>
  <si>
    <t xml:space="preserve">--&gt;see </t>
  </si>
  <si>
    <t>Different</t>
  </si>
  <si>
    <t>Cash Opname report</t>
  </si>
  <si>
    <t>Account Name</t>
  </si>
  <si>
    <t>BCA Journal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</si>
</sst>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(* #,##0_);_(* \(#,##0\);_(* &quot;-&quot;_);_(@_)"/>
    <numFmt numFmtId="165" formatCode="_(* #,##0_);_(* \(#,##0\);_(* &quot;-&quot;??_);_(@_)"/>
    <numFmt numFmtId="166" formatCode="[$-409]d\-mmm\-yy"/>
    <numFmt numFmtId="167" formatCode="dd-mmm-yy"/>
    <numFmt numFmtId="168" formatCode="d-mmm-yy"/>
    <numFmt numFmtId="169" formatCode="dd-mmmm-yy"/>
    <numFmt numFmtId="170" formatCode="d-mmmm-yy"/>
    <numFmt numFmtId="171" formatCode="[$-409]dd\-mmm\-yy"/>
    <numFmt numFmtId="172" formatCode="[$-409]mmm\-yy"/>
    <numFmt numFmtId="173" formatCode="_(* #,##0.00_);_(* \(#,##0.00\);_(* &quot;-&quot;??_);_(@_)"/>
    <numFmt numFmtId="174" formatCode="_([$Rp-421]* #,##0.00_);_([$Rp-421]* \(#,##0.00\);_([$Rp-421]* &quot;-&quot;??_);_(@_)"/>
  </numFmts>
  <fonts count="21">
    <font>
      <sz val="10.0"/>
      <color rgb="FF000000"/>
      <name val="Arial"/>
      <scheme val="minor"/>
    </font>
    <font>
      <color theme="1"/>
      <name val="Arial"/>
    </font>
    <font>
      <sz val="8.0"/>
      <color theme="1"/>
      <name val="Arial"/>
    </font>
    <font/>
    <font>
      <sz val="8.0"/>
      <color theme="1"/>
      <name val="Century Gothic"/>
    </font>
    <font>
      <sz val="8.0"/>
      <color rgb="FF0000FF"/>
      <name val="Arial"/>
    </font>
    <font>
      <sz val="8.0"/>
      <color rgb="FFFF0000"/>
      <name val="Arial"/>
    </font>
    <font>
      <color theme="1"/>
      <name val="Arial"/>
      <scheme val="minor"/>
    </font>
    <font>
      <b/>
      <color theme="1"/>
      <name val="Arial"/>
    </font>
    <font>
      <color rgb="FF0000FF"/>
      <name val="Arial"/>
    </font>
    <font>
      <color rgb="FFFF0000"/>
      <name val="Arial"/>
    </font>
    <font>
      <b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color rgb="FF000000"/>
      <name val="Arial"/>
    </font>
    <font>
      <sz val="11.0"/>
      <color rgb="FFFF0000"/>
      <name val="Calibri"/>
    </font>
    <font>
      <b/>
      <u/>
      <color theme="1"/>
      <name val="Arial"/>
    </font>
    <font>
      <u/>
      <color rgb="FF0000FF"/>
      <name val="Arial"/>
    </font>
    <font>
      <u/>
      <color rgb="FF0000FF"/>
      <name val="Arial"/>
    </font>
    <font>
      <i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rgb="FFF2DCDB"/>
        <bgColor rgb="FFF2DCDB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bottom"/>
    </xf>
    <xf borderId="1" fillId="2" fontId="2" numFmtId="164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0" fontId="3" numFmtId="0" xfId="0" applyBorder="1" applyFont="1"/>
    <xf borderId="4" fillId="2" fontId="2" numFmtId="0" xfId="0" applyAlignment="1" applyBorder="1" applyFont="1">
      <alignment horizontal="center" vertical="bottom"/>
    </xf>
    <xf borderId="4" fillId="2" fontId="4" numFmtId="0" xfId="0" applyAlignment="1" applyBorder="1" applyFont="1">
      <alignment vertical="bottom"/>
    </xf>
    <xf borderId="5" fillId="2" fontId="2" numFmtId="0" xfId="0" applyAlignment="1" applyBorder="1" applyFont="1">
      <alignment horizontal="center" vertical="bottom"/>
    </xf>
    <xf borderId="6" fillId="0" fontId="4" numFmtId="0" xfId="0" applyAlignment="1" applyBorder="1" applyFont="1">
      <alignment vertical="bottom"/>
    </xf>
    <xf borderId="6" fillId="0" fontId="4" numFmtId="165" xfId="0" applyAlignment="1" applyBorder="1" applyFont="1" applyNumberFormat="1">
      <alignment vertical="bottom"/>
    </xf>
    <xf borderId="6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vertical="bottom"/>
    </xf>
    <xf borderId="7" fillId="0" fontId="4" numFmtId="165" xfId="0" applyAlignment="1" applyBorder="1" applyFont="1" applyNumberFormat="1">
      <alignment vertical="bottom"/>
    </xf>
    <xf borderId="7" fillId="0" fontId="5" numFmtId="0" xfId="0" applyAlignment="1" applyBorder="1" applyFont="1">
      <alignment horizontal="center" vertical="bottom"/>
    </xf>
    <xf borderId="7" fillId="0" fontId="5" numFmtId="0" xfId="0" applyAlignment="1" applyBorder="1" applyFont="1">
      <alignment vertical="bottom"/>
    </xf>
    <xf borderId="7" fillId="0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vertical="bottom"/>
    </xf>
    <xf borderId="0" fillId="0" fontId="1" numFmtId="165" xfId="0" applyFont="1" applyNumberFormat="1"/>
    <xf borderId="0" fillId="0" fontId="4" numFmtId="0" xfId="0" applyAlignment="1" applyFont="1">
      <alignment horizontal="center" vertical="bottom"/>
    </xf>
    <xf borderId="8" fillId="0" fontId="4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8" fillId="0" fontId="2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vertical="bottom"/>
    </xf>
    <xf borderId="9" fillId="3" fontId="2" numFmtId="0" xfId="0" applyAlignment="1" applyBorder="1" applyFill="1" applyFont="1">
      <alignment vertical="bottom"/>
    </xf>
    <xf borderId="10" fillId="0" fontId="4" numFmtId="0" xfId="0" applyAlignment="1" applyBorder="1" applyFont="1">
      <alignment vertical="bottom"/>
    </xf>
    <xf borderId="5" fillId="0" fontId="2" numFmtId="165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vertical="bottom"/>
    </xf>
    <xf borderId="0" fillId="0" fontId="7" numFmtId="0" xfId="0" applyFont="1"/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11" fillId="2" fontId="8" numFmtId="0" xfId="0" applyAlignment="1" applyBorder="1" applyFont="1">
      <alignment horizontal="center" vertical="bottom"/>
    </xf>
    <xf borderId="6" fillId="2" fontId="8" numFmtId="164" xfId="0" applyAlignment="1" applyBorder="1" applyFont="1" applyNumberFormat="1">
      <alignment horizontal="center" vertical="bottom"/>
    </xf>
    <xf borderId="8" fillId="0" fontId="9" numFmtId="0" xfId="0" applyAlignment="1" applyBorder="1" applyFont="1">
      <alignment horizontal="center" vertical="bottom"/>
    </xf>
    <xf borderId="7" fillId="0" fontId="9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readingOrder="0" vertical="bottom"/>
    </xf>
    <xf borderId="7" fillId="0" fontId="1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8" fillId="0" fontId="1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8" fillId="0" fontId="10" numFmtId="0" xfId="0" applyAlignment="1" applyBorder="1" applyFont="1">
      <alignment vertical="bottom"/>
    </xf>
    <xf borderId="8" fillId="0" fontId="10" numFmtId="0" xfId="0" applyAlignment="1" applyBorder="1" applyFont="1">
      <alignment horizontal="center" vertical="bottom"/>
    </xf>
    <xf borderId="8" fillId="0" fontId="8" numFmtId="0" xfId="0" applyAlignment="1" applyBorder="1" applyFont="1">
      <alignment horizontal="center" vertical="bottom"/>
    </xf>
    <xf borderId="7" fillId="0" fontId="8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0" fillId="0" fontId="7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4" xfId="0" applyAlignment="1" applyFont="1" applyNumberFormat="1">
      <alignment readingOrder="0"/>
    </xf>
    <xf borderId="0" fillId="2" fontId="12" numFmtId="166" xfId="0" applyAlignment="1" applyFont="1" applyNumberFormat="1">
      <alignment horizontal="right" vertical="bottom"/>
    </xf>
    <xf borderId="0" fillId="2" fontId="12" numFmtId="0" xfId="0" applyAlignment="1" applyFont="1">
      <alignment horizontal="center" vertical="bottom"/>
    </xf>
    <xf borderId="0" fillId="2" fontId="12" numFmtId="0" xfId="0" applyAlignment="1" applyFont="1">
      <alignment horizontal="right" readingOrder="0" vertical="bottom"/>
    </xf>
    <xf borderId="0" fillId="2" fontId="12" numFmtId="0" xfId="0" applyAlignment="1" applyFont="1">
      <alignment horizontal="left" vertical="bottom"/>
    </xf>
    <xf borderId="0" fillId="2" fontId="12" numFmtId="0" xfId="0" applyAlignment="1" applyFont="1">
      <alignment horizontal="left" readingOrder="0" vertical="bottom"/>
    </xf>
    <xf borderId="0" fillId="2" fontId="12" numFmtId="3" xfId="0" applyAlignment="1" applyFont="1" applyNumberFormat="1">
      <alignment horizontal="center" vertical="bottom"/>
    </xf>
    <xf borderId="13" fillId="2" fontId="12" numFmtId="3" xfId="0" applyAlignment="1" applyBorder="1" applyFont="1" applyNumberFormat="1">
      <alignment horizontal="center" vertical="bottom"/>
    </xf>
    <xf borderId="14" fillId="2" fontId="12" numFmtId="0" xfId="0" applyAlignment="1" applyBorder="1" applyFont="1">
      <alignment horizontal="center" vertical="bottom"/>
    </xf>
    <xf borderId="14" fillId="2" fontId="13" numFmtId="0" xfId="0" applyAlignment="1" applyBorder="1" applyFont="1">
      <alignment horizontal="center" readingOrder="0" vertical="bottom"/>
    </xf>
    <xf borderId="0" fillId="0" fontId="12" numFmtId="167" xfId="0" applyAlignment="1" applyFont="1" applyNumberFormat="1">
      <alignment horizontal="right" readingOrder="0" shrinkToFit="0" wrapText="0"/>
    </xf>
    <xf borderId="0" fillId="0" fontId="12" numFmtId="0" xfId="0" applyAlignment="1" applyFont="1">
      <alignment horizontal="center" shrinkToFit="0" wrapText="0"/>
    </xf>
    <xf borderId="0" fillId="0" fontId="12" numFmtId="0" xfId="0" applyAlignment="1" applyFont="1">
      <alignment horizontal="right" readingOrder="0" shrinkToFit="0" wrapText="0"/>
    </xf>
    <xf borderId="0" fillId="0" fontId="1" numFmtId="0" xfId="0" applyAlignment="1" applyFont="1">
      <alignment horizontal="center" vertical="bottom"/>
    </xf>
    <xf borderId="0" fillId="0" fontId="12" numFmtId="0" xfId="0" applyAlignment="1" applyFont="1">
      <alignment readingOrder="0" shrinkToFit="0" wrapText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2" numFmtId="3" xfId="0" applyAlignment="1" applyFont="1" applyNumberFormat="1">
      <alignment horizontal="right" readingOrder="0" shrinkToFit="0" wrapText="0"/>
    </xf>
    <xf borderId="0" fillId="4" fontId="12" numFmtId="3" xfId="0" applyAlignment="1" applyFill="1" applyFont="1" applyNumberFormat="1">
      <alignment horizontal="right" shrinkToFit="0" wrapText="0"/>
    </xf>
    <xf borderId="9" fillId="5" fontId="14" numFmtId="3" xfId="0" applyAlignment="1" applyBorder="1" applyFill="1" applyFont="1" applyNumberFormat="1">
      <alignment horizontal="center" vertical="bottom"/>
    </xf>
    <xf borderId="0" fillId="0" fontId="12" numFmtId="0" xfId="0" applyAlignment="1" applyFont="1">
      <alignment horizontal="right" shrinkToFit="0" wrapText="0"/>
    </xf>
    <xf borderId="0" fillId="0" fontId="12" numFmtId="3" xfId="0" applyAlignment="1" applyFont="1" applyNumberFormat="1">
      <alignment readingOrder="0" shrinkToFit="0" wrapText="0"/>
    </xf>
    <xf borderId="0" fillId="0" fontId="12" numFmtId="3" xfId="0" applyAlignment="1" applyFont="1" applyNumberFormat="1">
      <alignment horizontal="right" shrinkToFit="0" wrapText="0"/>
    </xf>
    <xf borderId="0" fillId="0" fontId="14" numFmtId="0" xfId="0" applyAlignment="1" applyFont="1">
      <alignment horizontal="center" shrinkToFit="0" wrapText="0"/>
    </xf>
    <xf borderId="0" fillId="0" fontId="12" numFmtId="0" xfId="0" applyAlignment="1" applyFont="1">
      <alignment horizontal="left" readingOrder="0" vertical="bottom"/>
    </xf>
    <xf borderId="0" fillId="0" fontId="12" numFmtId="168" xfId="0" applyAlignment="1" applyFont="1" applyNumberFormat="1">
      <alignment horizontal="right" readingOrder="0" shrinkToFit="0" wrapText="0"/>
    </xf>
    <xf borderId="0" fillId="0" fontId="12" numFmtId="0" xfId="0" applyAlignment="1" applyFont="1">
      <alignment horizontal="center" shrinkToFit="0" wrapText="0"/>
    </xf>
    <xf borderId="0" fillId="0" fontId="14" numFmtId="168" xfId="0" applyAlignment="1" applyFont="1" applyNumberFormat="1">
      <alignment horizontal="right" readingOrder="0" shrinkToFit="0" wrapText="0"/>
    </xf>
    <xf borderId="0" fillId="0" fontId="14" numFmtId="0" xfId="0" applyAlignment="1" applyFont="1">
      <alignment horizontal="center" shrinkToFit="0" wrapText="0"/>
    </xf>
    <xf borderId="0" fillId="0" fontId="14" numFmtId="0" xfId="0" applyAlignment="1" applyFont="1">
      <alignment horizontal="right" shrinkToFit="0" wrapText="0"/>
    </xf>
    <xf borderId="0" fillId="0" fontId="14" numFmtId="0" xfId="0" applyAlignment="1" applyFont="1">
      <alignment readingOrder="0" shrinkToFit="0" wrapText="0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14" numFmtId="3" xfId="0" applyAlignment="1" applyFont="1" applyNumberFormat="1">
      <alignment readingOrder="0" shrinkToFit="0" wrapText="0"/>
    </xf>
    <xf borderId="0" fillId="0" fontId="14" numFmtId="3" xfId="0" applyAlignment="1" applyFont="1" applyNumberFormat="1">
      <alignment horizontal="right" readingOrder="0" shrinkToFit="0" wrapText="0"/>
    </xf>
    <xf borderId="0" fillId="0" fontId="15" numFmtId="0" xfId="0" applyFont="1"/>
    <xf borderId="0" fillId="0" fontId="12" numFmtId="169" xfId="0" applyAlignment="1" applyFont="1" applyNumberFormat="1">
      <alignment horizontal="right" readingOrder="0"/>
    </xf>
    <xf borderId="0" fillId="0" fontId="12" numFmtId="3" xfId="0" applyAlignment="1" applyFont="1" applyNumberFormat="1">
      <alignment readingOrder="0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horizontal="center" vertical="bottom"/>
    </xf>
    <xf borderId="0" fillId="0" fontId="12" numFmtId="0" xfId="0" applyAlignment="1" applyFont="1">
      <alignment horizontal="right"/>
    </xf>
    <xf borderId="0" fillId="0" fontId="12" numFmtId="170" xfId="0" applyAlignment="1" applyFont="1" applyNumberFormat="1">
      <alignment horizontal="right" readingOrder="0"/>
    </xf>
    <xf borderId="0" fillId="0" fontId="12" numFmtId="0" xfId="0" applyAlignment="1" applyFont="1">
      <alignment horizontal="right" readingOrder="0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readingOrder="0" shrinkToFit="0" wrapText="1"/>
    </xf>
    <xf borderId="0" fillId="0" fontId="12" numFmtId="3" xfId="0" applyAlignment="1" applyFont="1" applyNumberFormat="1">
      <alignment horizontal="right" readingOrder="0" shrinkToFit="0" wrapText="1"/>
    </xf>
    <xf borderId="0" fillId="0" fontId="16" numFmtId="0" xfId="0" applyAlignment="1" applyFont="1">
      <alignment readingOrder="0"/>
    </xf>
    <xf borderId="0" fillId="0" fontId="16" numFmtId="170" xfId="0" applyAlignment="1" applyFont="1" applyNumberFormat="1">
      <alignment horizontal="right" readingOrder="0"/>
    </xf>
    <xf borderId="0" fillId="0" fontId="16" numFmtId="0" xfId="0" applyFont="1"/>
    <xf borderId="0" fillId="0" fontId="16" numFmtId="0" xfId="0" applyAlignment="1" applyFont="1">
      <alignment horizontal="right" shrinkToFit="0" wrapText="0"/>
    </xf>
    <xf borderId="0" fillId="0" fontId="16" numFmtId="3" xfId="0" applyAlignment="1" applyFont="1" applyNumberFormat="1">
      <alignment readingOrder="0"/>
    </xf>
    <xf borderId="9" fillId="5" fontId="16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5" fontId="14" numFmtId="0" xfId="0" applyAlignment="1" applyFont="1">
      <alignment horizontal="left" readingOrder="0" shrinkToFit="0" vertical="center" wrapText="1"/>
    </xf>
    <xf borderId="0" fillId="0" fontId="14" numFmtId="170" xfId="0" applyAlignment="1" applyFont="1" applyNumberFormat="1">
      <alignment horizontal="right" readingOrder="0"/>
    </xf>
    <xf borderId="0" fillId="0" fontId="14" numFmtId="3" xfId="0" applyAlignment="1" applyFont="1" applyNumberFormat="1">
      <alignment readingOrder="0"/>
    </xf>
    <xf borderId="7" fillId="0" fontId="14" numFmtId="3" xfId="0" applyAlignment="1" applyBorder="1" applyFont="1" applyNumberFormat="1">
      <alignment horizontal="center" vertical="bottom"/>
    </xf>
    <xf borderId="0" fillId="0" fontId="12" numFmtId="170" xfId="0" applyAlignment="1" applyFont="1" applyNumberFormat="1">
      <alignment horizontal="right" readingOrder="0" vertical="bottom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horizontal="right"/>
    </xf>
    <xf borderId="0" fillId="0" fontId="14" numFmtId="0" xfId="0" applyAlignment="1" applyFont="1">
      <alignment horizontal="center"/>
    </xf>
    <xf borderId="0" fillId="0" fontId="12" numFmtId="3" xfId="0" applyFont="1" applyNumberFormat="1"/>
    <xf borderId="11" fillId="0" fontId="4" numFmtId="171" xfId="0" applyAlignment="1" applyBorder="1" applyFont="1" applyNumberFormat="1">
      <alignment horizontal="right" vertical="bottom"/>
    </xf>
    <xf borderId="15" fillId="0" fontId="4" numFmtId="16" xfId="0" applyAlignment="1" applyBorder="1" applyFont="1" applyNumberFormat="1">
      <alignment vertical="bottom"/>
    </xf>
    <xf borderId="15" fillId="0" fontId="4" numFmtId="0" xfId="0" applyAlignment="1" applyBorder="1" applyFont="1">
      <alignment vertical="bottom"/>
    </xf>
    <xf borderId="15" fillId="0" fontId="4" numFmtId="0" xfId="0" applyAlignment="1" applyBorder="1" applyFont="1">
      <alignment horizontal="center" vertical="bottom"/>
    </xf>
    <xf borderId="15" fillId="0" fontId="4" numFmtId="0" xfId="0" applyAlignment="1" applyBorder="1" applyFont="1">
      <alignment horizontal="left" vertical="bottom"/>
    </xf>
    <xf borderId="6" fillId="0" fontId="4" numFmtId="164" xfId="0" applyAlignment="1" applyBorder="1" applyFont="1" applyNumberFormat="1">
      <alignment vertical="bottom"/>
    </xf>
    <xf borderId="16" fillId="0" fontId="4" numFmtId="164" xfId="0" applyAlignment="1" applyBorder="1" applyFont="1" applyNumberFormat="1">
      <alignment vertical="bottom"/>
    </xf>
    <xf borderId="6" fillId="0" fontId="4" numFmtId="172" xfId="0" applyAlignment="1" applyBorder="1" applyFont="1" applyNumberFormat="1">
      <alignment vertical="bottom"/>
    </xf>
    <xf borderId="12" fillId="0" fontId="4" numFmtId="171" xfId="0" applyAlignment="1" applyBorder="1" applyFont="1" applyNumberFormat="1">
      <alignment horizontal="right" vertical="bottom"/>
    </xf>
    <xf borderId="17" fillId="0" fontId="4" numFmtId="0" xfId="0" applyAlignment="1" applyBorder="1" applyFont="1">
      <alignment vertical="bottom"/>
    </xf>
    <xf borderId="17" fillId="0" fontId="4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left" vertical="bottom"/>
    </xf>
    <xf borderId="10" fillId="0" fontId="1" numFmtId="164" xfId="0" applyAlignment="1" applyBorder="1" applyFont="1" applyNumberFormat="1">
      <alignment horizontal="right" vertical="bottom"/>
    </xf>
    <xf borderId="10" fillId="0" fontId="4" numFmtId="172" xfId="0" applyAlignment="1" applyBorder="1" applyFont="1" applyNumberFormat="1">
      <alignment vertical="bottom"/>
    </xf>
    <xf borderId="0" fillId="0" fontId="4" numFmtId="171" xfId="0" applyAlignment="1" applyFont="1" applyNumberFormat="1">
      <alignment horizontal="right" vertical="bottom"/>
    </xf>
    <xf borderId="0" fillId="0" fontId="4" numFmtId="0" xfId="0" applyAlignment="1" applyFont="1">
      <alignment horizontal="left" vertical="bottom"/>
    </xf>
    <xf borderId="0" fillId="0" fontId="4" numFmtId="173" xfId="0" applyAlignment="1" applyFont="1" applyNumberFormat="1">
      <alignment vertical="bottom"/>
    </xf>
    <xf borderId="0" fillId="0" fontId="1" numFmtId="3" xfId="0" applyAlignment="1" applyFont="1" applyNumberFormat="1">
      <alignment vertical="bottom"/>
    </xf>
    <xf borderId="0" fillId="0" fontId="4" numFmtId="172" xfId="0" applyAlignment="1" applyFont="1" applyNumberFormat="1">
      <alignment vertical="bottom"/>
    </xf>
    <xf borderId="0" fillId="0" fontId="1" numFmtId="0" xfId="0" applyAlignment="1" applyFont="1">
      <alignment vertical="bottom"/>
    </xf>
    <xf borderId="5" fillId="0" fontId="4" numFmtId="164" xfId="0" applyAlignment="1" applyBorder="1" applyFont="1" applyNumberFormat="1">
      <alignment vertical="bottom"/>
    </xf>
    <xf borderId="3" fillId="0" fontId="4" numFmtId="164" xfId="0" applyAlignment="1" applyBorder="1" applyFont="1" applyNumberFormat="1">
      <alignment vertical="bottom"/>
    </xf>
    <xf borderId="5" fillId="0" fontId="4" numFmtId="165" xfId="0" applyAlignment="1" applyBorder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4" numFmtId="3" xfId="0" applyAlignment="1" applyFont="1" applyNumberFormat="1">
      <alignment vertical="bottom"/>
    </xf>
    <xf borderId="0" fillId="0" fontId="4" numFmtId="165" xfId="0" applyAlignment="1" applyFont="1" applyNumberFormat="1">
      <alignment horizontal="center" vertical="bottom"/>
    </xf>
    <xf borderId="0" fillId="0" fontId="4" numFmtId="174" xfId="0" applyAlignment="1" applyFont="1" applyNumberFormat="1">
      <alignment horizontal="left" vertical="bottom"/>
    </xf>
    <xf borderId="0" fillId="0" fontId="1" numFmtId="165" xfId="0" applyAlignment="1" applyFont="1" applyNumberFormat="1">
      <alignment horizontal="center" vertical="bottom"/>
    </xf>
    <xf borderId="18" fillId="0" fontId="1" numFmtId="165" xfId="0" applyAlignment="1" applyBorder="1" applyFont="1" applyNumberFormat="1">
      <alignment horizontal="center" vertical="bottom"/>
    </xf>
    <xf borderId="0" fillId="0" fontId="17" numFmtId="0" xfId="0" applyAlignment="1" applyFont="1">
      <alignment vertical="bottom"/>
    </xf>
    <xf borderId="0" fillId="0" fontId="4" numFmtId="165" xfId="0" applyAlignment="1" applyFont="1" applyNumberFormat="1">
      <alignment horizontal="left" vertical="bottom"/>
    </xf>
    <xf borderId="0" fillId="0" fontId="1" numFmtId="165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readingOrder="0" vertical="bottom"/>
    </xf>
    <xf quotePrefix="1" borderId="0" fillId="0" fontId="1" numFmtId="173" xfId="0" applyAlignment="1" applyFont="1" applyNumberFormat="1">
      <alignment vertical="bottom"/>
    </xf>
    <xf borderId="19" fillId="0" fontId="1" numFmtId="165" xfId="0" applyAlignment="1" applyBorder="1" applyFont="1" applyNumberFormat="1">
      <alignment horizontal="right" vertical="bottom"/>
    </xf>
    <xf borderId="0" fillId="0" fontId="1" numFmtId="173" xfId="0" applyAlignment="1" applyFont="1" applyNumberFormat="1">
      <alignment vertical="bottom"/>
    </xf>
    <xf borderId="0" fillId="0" fontId="12" numFmtId="0" xfId="0" applyAlignment="1" applyFont="1">
      <alignment horizontal="left"/>
    </xf>
    <xf borderId="5" fillId="2" fontId="1" numFmtId="0" xfId="0" applyAlignment="1" applyBorder="1" applyFont="1">
      <alignment horizontal="center" vertical="bottom"/>
    </xf>
    <xf borderId="20" fillId="2" fontId="1" numFmtId="0" xfId="0" applyAlignment="1" applyBorder="1" applyFont="1">
      <alignment horizontal="center" vertical="bottom"/>
    </xf>
    <xf borderId="7" fillId="6" fontId="4" numFmtId="0" xfId="0" applyAlignment="1" applyBorder="1" applyFill="1" applyFont="1">
      <alignment vertical="bottom"/>
    </xf>
    <xf borderId="0" fillId="6" fontId="18" numFmtId="0" xfId="0" applyAlignment="1" applyFont="1">
      <alignment vertical="bottom"/>
    </xf>
    <xf borderId="7" fillId="6" fontId="4" numFmtId="164" xfId="0" applyAlignment="1" applyBorder="1" applyFont="1" applyNumberFormat="1">
      <alignment vertical="bottom"/>
    </xf>
    <xf borderId="9" fillId="6" fontId="4" numFmtId="0" xfId="0" applyAlignment="1" applyBorder="1" applyFont="1">
      <alignment vertical="bottom"/>
    </xf>
    <xf borderId="21" fillId="6" fontId="19" numFmtId="0" xfId="0" applyAlignment="1" applyBorder="1" applyFont="1">
      <alignment readingOrder="0" vertical="bottom"/>
    </xf>
    <xf borderId="9" fillId="6" fontId="4" numFmtId="164" xfId="0" applyAlignment="1" applyBorder="1" applyFont="1" applyNumberFormat="1">
      <alignment vertical="bottom"/>
    </xf>
    <xf borderId="9" fillId="6" fontId="1" numFmtId="0" xfId="0" applyAlignment="1" applyBorder="1" applyFont="1">
      <alignment vertical="bottom"/>
    </xf>
    <xf borderId="9" fillId="6" fontId="1" numFmtId="164" xfId="0" applyAlignment="1" applyBorder="1" applyFont="1" applyNumberFormat="1">
      <alignment horizontal="right" vertical="bottom"/>
    </xf>
    <xf borderId="21" fillId="6" fontId="4" numFmtId="0" xfId="0" applyAlignment="1" applyBorder="1" applyFont="1">
      <alignment vertical="bottom"/>
    </xf>
    <xf borderId="22" fillId="0" fontId="1" numFmtId="164" xfId="0" applyAlignment="1" applyBorder="1" applyFont="1" applyNumberFormat="1">
      <alignment horizontal="right" vertical="bottom"/>
    </xf>
    <xf borderId="22" fillId="0" fontId="4" numFmtId="0" xfId="0" applyAlignment="1" applyBorder="1" applyFont="1">
      <alignment vertical="bottom"/>
    </xf>
    <xf borderId="18" fillId="0" fontId="20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1.5"/>
    <col customWidth="1" min="3" max="3" width="20.0"/>
    <col customWidth="1" min="4" max="4" width="18.63"/>
    <col customWidth="1" min="5" max="6" width="12.63"/>
  </cols>
  <sheetData>
    <row r="1" ht="15.75" customHeight="1">
      <c r="A1" s="1">
        <v>109.0</v>
      </c>
    </row>
    <row r="2" ht="15.75" customHeight="1"/>
    <row r="3" ht="15.75" customHeight="1">
      <c r="A3" s="2" t="s">
        <v>0</v>
      </c>
      <c r="B3" s="3" t="s">
        <v>1</v>
      </c>
      <c r="C3" s="4" t="s">
        <v>2</v>
      </c>
      <c r="D3" s="5"/>
    </row>
    <row r="4" ht="15.75" customHeight="1">
      <c r="A4" s="6" t="s">
        <v>3</v>
      </c>
      <c r="B4" s="7"/>
      <c r="C4" s="8" t="s">
        <v>4</v>
      </c>
      <c r="D4" s="8" t="s">
        <v>5</v>
      </c>
    </row>
    <row r="5" ht="15.75" customHeight="1">
      <c r="A5" s="9"/>
      <c r="B5" s="9"/>
      <c r="C5" s="10"/>
      <c r="D5" s="10"/>
    </row>
    <row r="6" ht="15.75" customHeight="1">
      <c r="A6" s="11" t="str">
        <f>IFERROR(__xludf.DUMMYFUNCTION("query(COA!A5:B157)"),"10000")</f>
        <v>10000</v>
      </c>
      <c r="B6" s="12" t="str">
        <f>IFERROR(__xludf.DUMMYFUNCTION("""COMPUTED_VALUE"""),"Assets")</f>
        <v>Assets</v>
      </c>
      <c r="C6" s="13"/>
      <c r="D6" s="13"/>
    </row>
    <row r="7" ht="15.75" customHeight="1">
      <c r="A7" s="14" t="str">
        <f>IFERROR(__xludf.DUMMYFUNCTION("""COMPUTED_VALUE"""),"11000")</f>
        <v>11000</v>
      </c>
      <c r="B7" s="15" t="str">
        <f>IFERROR(__xludf.DUMMYFUNCTION("""COMPUTED_VALUE"""),"Aktiva Lancar")</f>
        <v>Aktiva Lancar</v>
      </c>
      <c r="C7" s="13"/>
      <c r="D7" s="13"/>
    </row>
    <row r="8" ht="15.75" customHeight="1">
      <c r="A8" s="14" t="str">
        <f>IFERROR(__xludf.DUMMYFUNCTION("""COMPUTED_VALUE"""),"11100")</f>
        <v>11100</v>
      </c>
      <c r="B8" s="15" t="str">
        <f>IFERROR(__xludf.DUMMYFUNCTION("""COMPUTED_VALUE"""),"Kas dan Setara Kas")</f>
        <v>Kas dan Setara Kas</v>
      </c>
      <c r="C8" s="13" t="str">
        <f>SUMIFS('JURNAL TRANSACTION'!C:C,'JURNAL TRANSACTION'!A:A,A8)</f>
        <v>#N/A</v>
      </c>
      <c r="D8" s="13" t="str">
        <f>SUMIFS('JURNAL TRANSACTION'!D:D,'JURNAL TRANSACTION'!A:A,A8)</f>
        <v>#N/A</v>
      </c>
    </row>
    <row r="9" ht="15.75" customHeight="1">
      <c r="A9" s="14" t="str">
        <f>IFERROR(__xludf.DUMMYFUNCTION("""COMPUTED_VALUE"""),"11110")</f>
        <v>11110</v>
      </c>
      <c r="B9" s="15" t="str">
        <f>IFERROR(__xludf.DUMMYFUNCTION("""COMPUTED_VALUE"""),"Kas Kecil")</f>
        <v>Kas Kecil</v>
      </c>
      <c r="C9" s="13" t="str">
        <f>SUMIFS('JURNAL TRANSACTION'!C:C,'JURNAL TRANSACTION'!A:A,A9)</f>
        <v>#N/A</v>
      </c>
      <c r="D9" s="13" t="str">
        <f>SUMIFS('JURNAL TRANSACTION'!D:D,'JURNAL TRANSACTION'!A:A,A9)</f>
        <v>#N/A</v>
      </c>
    </row>
    <row r="10" ht="15.75" customHeight="1">
      <c r="A10" s="16"/>
      <c r="B10" s="17"/>
      <c r="C10" s="13">
        <f>SUMIFS('JURNAL TRANSACTION'!C:C,'JURNAL TRANSACTION'!A:A,A10)</f>
        <v>0</v>
      </c>
      <c r="D10" s="13">
        <f>SUMIFS('JURNAL TRANSACTION'!D:D,'JURNAL TRANSACTION'!A:A,A10)</f>
        <v>0</v>
      </c>
    </row>
    <row r="11" ht="15.75" customHeight="1">
      <c r="A11" s="16"/>
      <c r="B11" s="17"/>
      <c r="C11" s="13">
        <f>SUMIFS('JURNAL TRANSACTION'!C:C,'JURNAL TRANSACTION'!A:A,A11)</f>
        <v>0</v>
      </c>
      <c r="D11" s="13">
        <f>SUMIFS('JURNAL TRANSACTION'!D:D,'JURNAL TRANSACTION'!A:A,A11)</f>
        <v>0</v>
      </c>
    </row>
    <row r="12" ht="15.75" customHeight="1">
      <c r="A12" s="16" t="str">
        <f>IFERROR(__xludf.DUMMYFUNCTION("""COMPUTED_VALUE"""),"10010-00")</f>
        <v>10010-00</v>
      </c>
      <c r="B12" s="17" t="str">
        <f>IFERROR(__xludf.DUMMYFUNCTION("""COMPUTED_VALUE"""),"Kas Pusat")</f>
        <v>Kas Pusat</v>
      </c>
      <c r="C12" s="13" t="str">
        <f>SUMIFS('JURNAL TRANSACTION'!C:C,'JURNAL TRANSACTION'!A:A,A12)</f>
        <v>#N/A</v>
      </c>
      <c r="D12" s="13" t="str">
        <f>SUMIFS('JURNAL TRANSACTION'!D:D,'JURNAL TRANSACTION'!A:A,A12)</f>
        <v>#N/A</v>
      </c>
    </row>
    <row r="13" ht="15.75" customHeight="1">
      <c r="A13" s="16" t="str">
        <f>IFERROR(__xludf.DUMMYFUNCTION("""COMPUTED_VALUE"""),"10011-00")</f>
        <v>10011-00</v>
      </c>
      <c r="B13" s="17" t="str">
        <f>IFERROR(__xludf.DUMMYFUNCTION("""COMPUTED_VALUE"""),"Kas Operasional Kantor")</f>
        <v>Kas Operasional Kantor</v>
      </c>
      <c r="C13" s="13" t="str">
        <f>SUMIFS('JURNAL TRANSACTION'!C:C,'JURNAL TRANSACTION'!A:A,A13)</f>
        <v>#N/A</v>
      </c>
      <c r="D13" s="13" t="str">
        <f>SUMIFS('JURNAL TRANSACTION'!D:D,'JURNAL TRANSACTION'!A:A,A13)</f>
        <v>#N/A</v>
      </c>
    </row>
    <row r="14" ht="15.75" customHeight="1">
      <c r="A14" s="16" t="str">
        <f>IFERROR(__xludf.DUMMYFUNCTION("""COMPUTED_VALUE"""),"10020-00")</f>
        <v>10020-00</v>
      </c>
      <c r="B14" s="17" t="str">
        <f>IFERROR(__xludf.DUMMYFUNCTION("""COMPUTED_VALUE"""),"Bank MPG Giro BCA 478-888-3330")</f>
        <v>Bank MPG Giro BCA 478-888-3330</v>
      </c>
      <c r="C14" s="13" t="str">
        <f>SUMIFS('JURNAL TRANSACTION'!C:C,'JURNAL TRANSACTION'!A:A,A14)</f>
        <v>#N/A</v>
      </c>
      <c r="D14" s="13" t="str">
        <f>SUMIFS('JURNAL TRANSACTION'!D:D,'JURNAL TRANSACTION'!A:A,A14)</f>
        <v>#N/A</v>
      </c>
      <c r="E14" s="18" t="str">
        <f>C14-D14</f>
        <v>#N/A</v>
      </c>
      <c r="F14" s="1" t="s">
        <v>6</v>
      </c>
    </row>
    <row r="15" ht="15.75" customHeight="1">
      <c r="A15" s="14" t="str">
        <f>IFERROR(__xludf.DUMMYFUNCTION("""COMPUTED_VALUE"""),"10030-00")</f>
        <v>10030-00</v>
      </c>
      <c r="B15" s="15" t="str">
        <f>IFERROR(__xludf.DUMMYFUNCTION("""COMPUTED_VALUE"""),"Bank MPG Giro Mandiri 103-00-06-579-003")</f>
        <v>Bank MPG Giro Mandiri 103-00-06-579-003</v>
      </c>
      <c r="C15" s="13" t="str">
        <f>SUMIFS('JURNAL TRANSACTION'!C:C,'JURNAL TRANSACTION'!A:A,A15)</f>
        <v>#N/A</v>
      </c>
      <c r="D15" s="13" t="str">
        <f>SUMIFS('JURNAL TRANSACTION'!D:D,'JURNAL TRANSACTION'!A:A,A15)</f>
        <v>#N/A</v>
      </c>
    </row>
    <row r="16" ht="15.75" customHeight="1">
      <c r="A16" s="16" t="str">
        <f>IFERROR(__xludf.DUMMYFUNCTION("""COMPUTED_VALUE"""),"10040-00")</f>
        <v>10040-00</v>
      </c>
      <c r="B16" s="17" t="str">
        <f>IFERROR(__xludf.DUMMYFUNCTION("""COMPUTED_VALUE"""),"Bank MPG Tab Mandiri 155-00-79-000-777")</f>
        <v>Bank MPG Tab Mandiri 155-00-79-000-777</v>
      </c>
      <c r="C16" s="13" t="str">
        <f>SUMIFS('JURNAL TRANSACTION'!C:C,'JURNAL TRANSACTION'!A:A,A16)</f>
        <v>#N/A</v>
      </c>
      <c r="D16" s="13" t="str">
        <f>SUMIFS('JURNAL TRANSACTION'!D:D,'JURNAL TRANSACTION'!A:A,A16)</f>
        <v>#N/A</v>
      </c>
    </row>
    <row r="17" ht="15.75" customHeight="1">
      <c r="A17" s="16" t="str">
        <f>IFERROR(__xludf.DUMMYFUNCTION("""COMPUTED_VALUE"""),"10050-00")</f>
        <v>10050-00</v>
      </c>
      <c r="B17" s="17" t="str">
        <f>IFERROR(__xludf.DUMMYFUNCTION("""COMPUTED_VALUE"""),"Bank MPG Giro BJB 014-388-672-7001")</f>
        <v>Bank MPG Giro BJB 014-388-672-7001</v>
      </c>
      <c r="C17" s="13" t="str">
        <f>SUMIFS('JURNAL TRANSACTION'!C:C,'JURNAL TRANSACTION'!A:A,A17)</f>
        <v>#N/A</v>
      </c>
      <c r="D17" s="13" t="str">
        <f>SUMIFS('JURNAL TRANSACTION'!D:D,'JURNAL TRANSACTION'!A:A,A17)</f>
        <v>#N/A</v>
      </c>
    </row>
    <row r="18" ht="15.75" customHeight="1">
      <c r="A18" s="16" t="str">
        <f>IFERROR(__xludf.DUMMYFUNCTION("""COMPUTED_VALUE"""),"10900-00")</f>
        <v>10900-00</v>
      </c>
      <c r="B18" s="17" t="str">
        <f>IFERROR(__xludf.DUMMYFUNCTION("""COMPUTED_VALUE"""),"Clearing Account/ Overbooking")</f>
        <v>Clearing Account/ Overbooking</v>
      </c>
      <c r="C18" s="13" t="str">
        <f>SUMIFS('JURNAL TRANSACTION'!C:C,'JURNAL TRANSACTION'!A:A,A18)</f>
        <v>#N/A</v>
      </c>
      <c r="D18" s="13" t="str">
        <f>SUMIFS('JURNAL TRANSACTION'!D:D,'JURNAL TRANSACTION'!A:A,A18)</f>
        <v>#N/A</v>
      </c>
    </row>
    <row r="19" ht="15.75" customHeight="1">
      <c r="A19" s="16" t="str">
        <f>IFERROR(__xludf.DUMMYFUNCTION("""COMPUTED_VALUE"""),"11000-00")</f>
        <v>11000-00</v>
      </c>
      <c r="B19" s="17" t="str">
        <f>IFERROR(__xludf.DUMMYFUNCTION("""COMPUTED_VALUE"""),"AR Trade")</f>
        <v>AR Trade</v>
      </c>
      <c r="C19" s="13" t="str">
        <f>SUMIFS('JURNAL TRANSACTION'!C:C,'JURNAL TRANSACTION'!A:A,A19)</f>
        <v>#N/A</v>
      </c>
      <c r="D19" s="13" t="str">
        <f>SUMIFS('JURNAL TRANSACTION'!D:D,'JURNAL TRANSACTION'!A:A,A19)</f>
        <v>#N/A</v>
      </c>
    </row>
    <row r="20" ht="15.75" customHeight="1">
      <c r="A20" s="16" t="str">
        <f>IFERROR(__xludf.DUMMYFUNCTION("""COMPUTED_VALUE"""),"11101-00")</f>
        <v>11101-00</v>
      </c>
      <c r="B20" s="17" t="str">
        <f>IFERROR(__xludf.DUMMYFUNCTION("""COMPUTED_VALUE"""),"Piutang Usaha")</f>
        <v>Piutang Usaha</v>
      </c>
      <c r="C20" s="13" t="str">
        <f>SUMIFS('JURNAL TRANSACTION'!C:C,'JURNAL TRANSACTION'!A:A,A20)</f>
        <v>#N/A</v>
      </c>
      <c r="D20" s="13" t="str">
        <f>SUMIFS('JURNAL TRANSACTION'!D:D,'JURNAL TRANSACTION'!A:A,A20)</f>
        <v>#N/A</v>
      </c>
    </row>
    <row r="21" ht="15.75" customHeight="1">
      <c r="A21" s="16" t="str">
        <f>IFERROR(__xludf.DUMMYFUNCTION("""COMPUTED_VALUE"""),"12000-00")</f>
        <v>12000-00</v>
      </c>
      <c r="B21" s="17" t="str">
        <f>IFERROR(__xludf.DUMMYFUNCTION("""COMPUTED_VALUE"""),"Other Receivable")</f>
        <v>Other Receivable</v>
      </c>
      <c r="C21" s="13" t="str">
        <f>SUMIFS('JURNAL TRANSACTION'!C:C,'JURNAL TRANSACTION'!A:A,A21)</f>
        <v>#N/A</v>
      </c>
      <c r="D21" s="13" t="str">
        <f>SUMIFS('JURNAL TRANSACTION'!D:D,'JURNAL TRANSACTION'!A:A,A21)</f>
        <v>#N/A</v>
      </c>
    </row>
    <row r="22" ht="15.75" customHeight="1">
      <c r="A22" s="19" t="str">
        <f>IFERROR(__xludf.DUMMYFUNCTION("""COMPUTED_VALUE"""),"12001-00")</f>
        <v>12001-00</v>
      </c>
      <c r="B22" s="20" t="str">
        <f>IFERROR(__xludf.DUMMYFUNCTION("""COMPUTED_VALUE"""),"Piutang Karyawan")</f>
        <v>Piutang Karyawan</v>
      </c>
      <c r="C22" s="13" t="str">
        <f>SUMIFS('JURNAL TRANSACTION'!C:C,'JURNAL TRANSACTION'!A:A,A22)</f>
        <v>#N/A</v>
      </c>
      <c r="D22" s="13" t="str">
        <f>SUMIFS('JURNAL TRANSACTION'!D:D,'JURNAL TRANSACTION'!A:A,A22)</f>
        <v>#N/A</v>
      </c>
    </row>
    <row r="23" ht="15.75" customHeight="1">
      <c r="A23" s="19" t="str">
        <f>IFERROR(__xludf.DUMMYFUNCTION("""COMPUTED_VALUE"""),"12002-00")</f>
        <v>12002-00</v>
      </c>
      <c r="B23" s="20" t="str">
        <f>IFERROR(__xludf.DUMMYFUNCTION("""COMPUTED_VALUE"""),"Piutang Lain-Lain")</f>
        <v>Piutang Lain-Lain</v>
      </c>
      <c r="C23" s="13" t="str">
        <f>SUMIFS('JURNAL TRANSACTION'!C:C,'JURNAL TRANSACTION'!A:A,A23)</f>
        <v>#N/A</v>
      </c>
      <c r="D23" s="13" t="str">
        <f>SUMIFS('JURNAL TRANSACTION'!D:D,'JURNAL TRANSACTION'!A:A,A23)</f>
        <v>#N/A</v>
      </c>
    </row>
    <row r="24" ht="15.75" customHeight="1">
      <c r="A24" s="21" t="str">
        <f>IFERROR(__xludf.DUMMYFUNCTION("""COMPUTED_VALUE"""),"12100-00")</f>
        <v>12100-00</v>
      </c>
      <c r="B24" s="22" t="str">
        <f>IFERROR(__xludf.DUMMYFUNCTION("""COMPUTED_VALUE"""),"Piutang Direksi")</f>
        <v>Piutang Direksi</v>
      </c>
      <c r="C24" s="13" t="str">
        <f>SUMIFS('JURNAL TRANSACTION'!C:C,'JURNAL TRANSACTION'!A:A,A24)</f>
        <v>#N/A</v>
      </c>
      <c r="D24" s="13" t="str">
        <f>SUMIFS('JURNAL TRANSACTION'!D:D,'JURNAL TRANSACTION'!A:A,A24)</f>
        <v>#N/A</v>
      </c>
    </row>
    <row r="25" ht="15.75" customHeight="1">
      <c r="A25" s="16" t="str">
        <f>IFERROR(__xludf.DUMMYFUNCTION("""COMPUTED_VALUE"""),"13000-00")</f>
        <v>13000-00</v>
      </c>
      <c r="B25" s="17" t="str">
        <f>IFERROR(__xludf.DUMMYFUNCTION("""COMPUTED_VALUE"""),"Persediaan")</f>
        <v>Persediaan</v>
      </c>
      <c r="C25" s="13" t="str">
        <f>SUMIFS('JURNAL TRANSACTION'!C:C,'JURNAL TRANSACTION'!A:A,A25)</f>
        <v>#N/A</v>
      </c>
      <c r="D25" s="13" t="str">
        <f>SUMIFS('JURNAL TRANSACTION'!D:D,'JURNAL TRANSACTION'!A:A,A25)</f>
        <v>#N/A</v>
      </c>
    </row>
    <row r="26" ht="15.75" customHeight="1">
      <c r="A26" s="16" t="str">
        <f>IFERROR(__xludf.DUMMYFUNCTION("""COMPUTED_VALUE"""),"13001-00")</f>
        <v>13001-00</v>
      </c>
      <c r="B26" s="17" t="str">
        <f>IFERROR(__xludf.DUMMYFUNCTION("""COMPUTED_VALUE"""),"Persediaan Barang Di Site")</f>
        <v>Persediaan Barang Di Site</v>
      </c>
      <c r="C26" s="13" t="str">
        <f>SUMIFS('JURNAL TRANSACTION'!C:C,'JURNAL TRANSACTION'!A:A,A26)</f>
        <v>#N/A</v>
      </c>
      <c r="D26" s="13" t="str">
        <f>SUMIFS('JURNAL TRANSACTION'!D:D,'JURNAL TRANSACTION'!A:A,A26)</f>
        <v>#N/A</v>
      </c>
    </row>
    <row r="27" ht="15.75" customHeight="1">
      <c r="A27" s="14" t="str">
        <f>IFERROR(__xludf.DUMMYFUNCTION("""COMPUTED_VALUE"""),"13002-00")</f>
        <v>13002-00</v>
      </c>
      <c r="B27" s="15" t="str">
        <f>IFERROR(__xludf.DUMMYFUNCTION("""COMPUTED_VALUE"""),"Persediaan Barang Konsumsi Kantor")</f>
        <v>Persediaan Barang Konsumsi Kantor</v>
      </c>
      <c r="C27" s="13" t="str">
        <f>SUMIFS('JURNAL TRANSACTION'!C:C,'JURNAL TRANSACTION'!A:A,A27)</f>
        <v>#N/A</v>
      </c>
      <c r="D27" s="13" t="str">
        <f>SUMIFS('JURNAL TRANSACTION'!D:D,'JURNAL TRANSACTION'!A:A,A27)</f>
        <v>#N/A</v>
      </c>
    </row>
    <row r="28" ht="15.75" customHeight="1">
      <c r="A28" s="16" t="str">
        <f>IFERROR(__xludf.DUMMYFUNCTION("""COMPUTED_VALUE"""),"14000-00")</f>
        <v>14000-00</v>
      </c>
      <c r="B28" s="17" t="str">
        <f>IFERROR(__xludf.DUMMYFUNCTION("""COMPUTED_VALUE"""),"Biaya dibayar dimuka")</f>
        <v>Biaya dibayar dimuka</v>
      </c>
      <c r="C28" s="13" t="str">
        <f>SUMIFS('JURNAL TRANSACTION'!C:C,'JURNAL TRANSACTION'!A:A,A28)</f>
        <v>#N/A</v>
      </c>
      <c r="D28" s="13" t="str">
        <f>SUMIFS('JURNAL TRANSACTION'!D:D,'JURNAL TRANSACTION'!A:A,A28)</f>
        <v>#N/A</v>
      </c>
    </row>
    <row r="29" ht="15.75" customHeight="1">
      <c r="A29" s="23" t="str">
        <f>IFERROR(__xludf.DUMMYFUNCTION("""COMPUTED_VALUE"""),"14001-00")</f>
        <v>14001-00</v>
      </c>
      <c r="B29" s="23" t="str">
        <f>IFERROR(__xludf.DUMMYFUNCTION("""COMPUTED_VALUE"""),"Sewa dibayar dimuka")</f>
        <v>Sewa dibayar dimuka</v>
      </c>
      <c r="C29" s="13" t="str">
        <f>SUMIFS('JURNAL TRANSACTION'!C:C,'JURNAL TRANSACTION'!A:A,A29)</f>
        <v>#N/A</v>
      </c>
      <c r="D29" s="13" t="str">
        <f>SUMIFS('JURNAL TRANSACTION'!D:D,'JURNAL TRANSACTION'!A:A,A29)</f>
        <v>#N/A</v>
      </c>
    </row>
    <row r="30" ht="15.75" customHeight="1">
      <c r="A30" s="14" t="str">
        <f>IFERROR(__xludf.DUMMYFUNCTION("""COMPUTED_VALUE"""),"14002-00")</f>
        <v>14002-00</v>
      </c>
      <c r="B30" s="15" t="str">
        <f>IFERROR(__xludf.DUMMYFUNCTION("""COMPUTED_VALUE"""),"Uang Muka Pembelian")</f>
        <v>Uang Muka Pembelian</v>
      </c>
      <c r="C30" s="13" t="str">
        <f>SUMIFS('JURNAL TRANSACTION'!C:C,'JURNAL TRANSACTION'!A:A,A30)</f>
        <v>#N/A</v>
      </c>
      <c r="D30" s="13" t="str">
        <f>SUMIFS('JURNAL TRANSACTION'!D:D,'JURNAL TRANSACTION'!A:A,A30)</f>
        <v>#N/A</v>
      </c>
    </row>
    <row r="31" ht="15.75" customHeight="1">
      <c r="A31" s="14" t="str">
        <f>IFERROR(__xludf.DUMMYFUNCTION("""COMPUTED_VALUE"""),"14003-00")</f>
        <v>14003-00</v>
      </c>
      <c r="B31" s="15" t="str">
        <f>IFERROR(__xludf.DUMMYFUNCTION("""COMPUTED_VALUE"""),"Uang Muka Project")</f>
        <v>Uang Muka Project</v>
      </c>
      <c r="C31" s="13" t="str">
        <f>SUMIFS('JURNAL TRANSACTION'!C:C,'JURNAL TRANSACTION'!A:A,A31)</f>
        <v>#N/A</v>
      </c>
      <c r="D31" s="13" t="str">
        <f>SUMIFS('JURNAL TRANSACTION'!D:D,'JURNAL TRANSACTION'!A:A,A31)</f>
        <v>#N/A</v>
      </c>
    </row>
    <row r="32" ht="15.75" customHeight="1">
      <c r="A32" s="16" t="str">
        <f>IFERROR(__xludf.DUMMYFUNCTION("""COMPUTED_VALUE"""),"14100-00")</f>
        <v>14100-00</v>
      </c>
      <c r="B32" s="17" t="str">
        <f>IFERROR(__xludf.DUMMYFUNCTION("""COMPUTED_VALUE"""),"Uang Muka Pajak - PPh 22")</f>
        <v>Uang Muka Pajak - PPh 22</v>
      </c>
      <c r="C32" s="13" t="str">
        <f>SUMIFS('JURNAL TRANSACTION'!C:C,'JURNAL TRANSACTION'!A:A,A32)</f>
        <v>#N/A</v>
      </c>
      <c r="D32" s="13" t="str">
        <f>SUMIFS('JURNAL TRANSACTION'!D:D,'JURNAL TRANSACTION'!A:A,A32)</f>
        <v>#N/A</v>
      </c>
    </row>
    <row r="33" ht="15.75" customHeight="1">
      <c r="A33" s="16" t="str">
        <f>IFERROR(__xludf.DUMMYFUNCTION("""COMPUTED_VALUE"""),"14200-00")</f>
        <v>14200-00</v>
      </c>
      <c r="B33" s="17" t="str">
        <f>IFERROR(__xludf.DUMMYFUNCTION("""COMPUTED_VALUE"""),"Uang Muka Pajak - PPh 23")</f>
        <v>Uang Muka Pajak - PPh 23</v>
      </c>
      <c r="C33" s="13" t="str">
        <f>SUMIFS('JURNAL TRANSACTION'!C:C,'JURNAL TRANSACTION'!A:A,A33)</f>
        <v>#N/A</v>
      </c>
      <c r="D33" s="13" t="str">
        <f>SUMIFS('JURNAL TRANSACTION'!D:D,'JURNAL TRANSACTION'!A:A,A33)</f>
        <v>#N/A</v>
      </c>
    </row>
    <row r="34" ht="15.75" customHeight="1">
      <c r="A34" s="16" t="str">
        <f>IFERROR(__xludf.DUMMYFUNCTION("""COMPUTED_VALUE"""),"14300-00")</f>
        <v>14300-00</v>
      </c>
      <c r="B34" s="17" t="str">
        <f>IFERROR(__xludf.DUMMYFUNCTION("""COMPUTED_VALUE"""),"Uang Muka Pajak - PPh 25")</f>
        <v>Uang Muka Pajak - PPh 25</v>
      </c>
      <c r="C34" s="13" t="str">
        <f>SUMIFS('JURNAL TRANSACTION'!C:C,'JURNAL TRANSACTION'!A:A,A34)</f>
        <v>#N/A</v>
      </c>
      <c r="D34" s="13" t="str">
        <f>SUMIFS('JURNAL TRANSACTION'!D:D,'JURNAL TRANSACTION'!A:A,A34)</f>
        <v>#N/A</v>
      </c>
    </row>
    <row r="35" ht="15.75" customHeight="1">
      <c r="A35" s="16" t="str">
        <f>IFERROR(__xludf.DUMMYFUNCTION("""COMPUTED_VALUE"""),"14400-00")</f>
        <v>14400-00</v>
      </c>
      <c r="B35" s="17" t="str">
        <f>IFERROR(__xludf.DUMMYFUNCTION("""COMPUTED_VALUE"""),"Uang Muka Pajak - PPh 21")</f>
        <v>Uang Muka Pajak - PPh 21</v>
      </c>
      <c r="C35" s="13" t="str">
        <f>SUMIFS('JURNAL TRANSACTION'!C:C,'JURNAL TRANSACTION'!A:A,A35)</f>
        <v>#N/A</v>
      </c>
      <c r="D35" s="13" t="str">
        <f>SUMIFS('JURNAL TRANSACTION'!D:D,'JURNAL TRANSACTION'!A:A,A35)</f>
        <v>#N/A</v>
      </c>
    </row>
    <row r="36" ht="15.75" customHeight="1">
      <c r="A36" s="14" t="str">
        <f>IFERROR(__xludf.DUMMYFUNCTION("""COMPUTED_VALUE"""),"14500-00")</f>
        <v>14500-00</v>
      </c>
      <c r="B36" s="15" t="str">
        <f>IFERROR(__xludf.DUMMYFUNCTION("""COMPUTED_VALUE"""),"Uang Muka Pajak - PPN Masukan")</f>
        <v>Uang Muka Pajak - PPN Masukan</v>
      </c>
      <c r="C36" s="13" t="str">
        <f>SUMIFS('JURNAL TRANSACTION'!C:C,'JURNAL TRANSACTION'!A:A,A36)</f>
        <v>#N/A</v>
      </c>
      <c r="D36" s="13" t="str">
        <f>SUMIFS('JURNAL TRANSACTION'!D:D,'JURNAL TRANSACTION'!A:A,A36)</f>
        <v>#N/A</v>
      </c>
    </row>
    <row r="37" ht="15.75" customHeight="1">
      <c r="A37" s="16" t="str">
        <f>IFERROR(__xludf.DUMMYFUNCTION("""COMPUTED_VALUE"""),"15000-00")</f>
        <v>15000-00</v>
      </c>
      <c r="B37" s="17" t="str">
        <f>IFERROR(__xludf.DUMMYFUNCTION("""COMPUTED_VALUE"""),"Fixed Asset")</f>
        <v>Fixed Asset</v>
      </c>
      <c r="C37" s="13" t="str">
        <f>SUMIFS('JURNAL TRANSACTION'!C:C,'JURNAL TRANSACTION'!A:A,A37)</f>
        <v>#N/A</v>
      </c>
      <c r="D37" s="13" t="str">
        <f>SUMIFS('JURNAL TRANSACTION'!D:D,'JURNAL TRANSACTION'!A:A,A37)</f>
        <v>#N/A</v>
      </c>
    </row>
    <row r="38" ht="15.75" customHeight="1">
      <c r="A38" s="16" t="str">
        <f>IFERROR(__xludf.DUMMYFUNCTION("""COMPUTED_VALUE"""),"15100-00")</f>
        <v>15100-00</v>
      </c>
      <c r="B38" s="17" t="str">
        <f>IFERROR(__xludf.DUMMYFUNCTION("""COMPUTED_VALUE"""),"Tanah")</f>
        <v>Tanah</v>
      </c>
      <c r="C38" s="13" t="str">
        <f>SUMIFS('JURNAL TRANSACTION'!C:C,'JURNAL TRANSACTION'!A:A,A38)</f>
        <v>#N/A</v>
      </c>
      <c r="D38" s="13" t="str">
        <f>SUMIFS('JURNAL TRANSACTION'!D:D,'JURNAL TRANSACTION'!A:A,A38)</f>
        <v>#N/A</v>
      </c>
    </row>
    <row r="39" ht="15.75" customHeight="1">
      <c r="A39" s="16" t="str">
        <f>IFERROR(__xludf.DUMMYFUNCTION("""COMPUTED_VALUE"""),"15200-00")</f>
        <v>15200-00</v>
      </c>
      <c r="B39" s="17" t="str">
        <f>IFERROR(__xludf.DUMMYFUNCTION("""COMPUTED_VALUE"""),"Bangunan")</f>
        <v>Bangunan</v>
      </c>
      <c r="C39" s="13" t="str">
        <f>SUMIFS('JURNAL TRANSACTION'!C:C,'JURNAL TRANSACTION'!A:A,A39)</f>
        <v>#N/A</v>
      </c>
      <c r="D39" s="13" t="str">
        <f>SUMIFS('JURNAL TRANSACTION'!D:D,'JURNAL TRANSACTION'!A:A,A39)</f>
        <v>#N/A</v>
      </c>
    </row>
    <row r="40" ht="15.75" customHeight="1">
      <c r="A40" s="14" t="str">
        <f>IFERROR(__xludf.DUMMYFUNCTION("""COMPUTED_VALUE"""),"15300-00")</f>
        <v>15300-00</v>
      </c>
      <c r="B40" s="15" t="str">
        <f>IFERROR(__xludf.DUMMYFUNCTION("""COMPUTED_VALUE"""),"Kendaraan")</f>
        <v>Kendaraan</v>
      </c>
      <c r="C40" s="13" t="str">
        <f>SUMIFS('JURNAL TRANSACTION'!C:C,'JURNAL TRANSACTION'!A:A,A40)</f>
        <v>#N/A</v>
      </c>
      <c r="D40" s="13" t="str">
        <f>SUMIFS('JURNAL TRANSACTION'!D:D,'JURNAL TRANSACTION'!A:A,A40)</f>
        <v>#N/A</v>
      </c>
    </row>
    <row r="41" ht="15.75" customHeight="1">
      <c r="A41" s="16" t="str">
        <f>IFERROR(__xludf.DUMMYFUNCTION("""COMPUTED_VALUE"""),"15400-00")</f>
        <v>15400-00</v>
      </c>
      <c r="B41" s="17" t="str">
        <f>IFERROR(__xludf.DUMMYFUNCTION("""COMPUTED_VALUE"""),"Inventaris Kantor")</f>
        <v>Inventaris Kantor</v>
      </c>
      <c r="C41" s="13" t="str">
        <f>SUMIFS('JURNAL TRANSACTION'!C:C,'JURNAL TRANSACTION'!A:A,A41)</f>
        <v>#N/A</v>
      </c>
      <c r="D41" s="13" t="str">
        <f>SUMIFS('JURNAL TRANSACTION'!D:D,'JURNAL TRANSACTION'!A:A,A41)</f>
        <v>#N/A</v>
      </c>
    </row>
    <row r="42" ht="15.75" customHeight="1">
      <c r="A42" s="16" t="str">
        <f>IFERROR(__xludf.DUMMYFUNCTION("""COMPUTED_VALUE"""),"15500-00")</f>
        <v>15500-00</v>
      </c>
      <c r="B42" s="17" t="str">
        <f>IFERROR(__xludf.DUMMYFUNCTION("""COMPUTED_VALUE"""),"Perlengkapan Kantor")</f>
        <v>Perlengkapan Kantor</v>
      </c>
      <c r="C42" s="13" t="str">
        <f>SUMIFS('JURNAL TRANSACTION'!C:C,'JURNAL TRANSACTION'!A:A,A42)</f>
        <v>#N/A</v>
      </c>
      <c r="D42" s="13" t="str">
        <f>SUMIFS('JURNAL TRANSACTION'!D:D,'JURNAL TRANSACTION'!A:A,A42)</f>
        <v>#N/A</v>
      </c>
    </row>
    <row r="43" ht="15.75" customHeight="1">
      <c r="A43" s="16" t="str">
        <f>IFERROR(__xludf.DUMMYFUNCTION("""COMPUTED_VALUE"""),"16000-00")</f>
        <v>16000-00</v>
      </c>
      <c r="B43" s="17" t="str">
        <f>IFERROR(__xludf.DUMMYFUNCTION("""COMPUTED_VALUE"""),"Ac. Depreciation")</f>
        <v>Ac. Depreciation</v>
      </c>
      <c r="C43" s="13" t="str">
        <f>SUMIFS('JURNAL TRANSACTION'!C:C,'JURNAL TRANSACTION'!A:A,A43)</f>
        <v>#N/A</v>
      </c>
      <c r="D43" s="13" t="str">
        <f>SUMIFS('JURNAL TRANSACTION'!D:D,'JURNAL TRANSACTION'!A:A,A43)</f>
        <v>#N/A</v>
      </c>
    </row>
    <row r="44" ht="15.75" customHeight="1">
      <c r="A44" s="14" t="str">
        <f>IFERROR(__xludf.DUMMYFUNCTION("""COMPUTED_VALUE"""),"16200-00")</f>
        <v>16200-00</v>
      </c>
      <c r="B44" s="15" t="str">
        <f>IFERROR(__xludf.DUMMYFUNCTION("""COMPUTED_VALUE"""),"AK Penyusutan Bangunan")</f>
        <v>AK Penyusutan Bangunan</v>
      </c>
      <c r="C44" s="13" t="str">
        <f>SUMIFS('JURNAL TRANSACTION'!C:C,'JURNAL TRANSACTION'!A:A,A44)</f>
        <v>#N/A</v>
      </c>
      <c r="D44" s="13" t="str">
        <f>SUMIFS('JURNAL TRANSACTION'!D:D,'JURNAL TRANSACTION'!A:A,A44)</f>
        <v>#N/A</v>
      </c>
    </row>
    <row r="45" ht="15.75" customHeight="1">
      <c r="A45" s="16" t="str">
        <f>IFERROR(__xludf.DUMMYFUNCTION("""COMPUTED_VALUE"""),"16300-00")</f>
        <v>16300-00</v>
      </c>
      <c r="B45" s="17" t="str">
        <f>IFERROR(__xludf.DUMMYFUNCTION("""COMPUTED_VALUE"""),"AK Penyusutan Kendaraan")</f>
        <v>AK Penyusutan Kendaraan</v>
      </c>
      <c r="C45" s="13" t="str">
        <f>SUMIFS('JURNAL TRANSACTION'!C:C,'JURNAL TRANSACTION'!A:A,A45)</f>
        <v>#N/A</v>
      </c>
      <c r="D45" s="13" t="str">
        <f>SUMIFS('JURNAL TRANSACTION'!D:D,'JURNAL TRANSACTION'!A:A,A45)</f>
        <v>#N/A</v>
      </c>
    </row>
    <row r="46" ht="15.75" customHeight="1">
      <c r="A46" s="16" t="str">
        <f>IFERROR(__xludf.DUMMYFUNCTION("""COMPUTED_VALUE"""),"16400-00")</f>
        <v>16400-00</v>
      </c>
      <c r="B46" s="17" t="str">
        <f>IFERROR(__xludf.DUMMYFUNCTION("""COMPUTED_VALUE"""),"AK Penyusutan Inventaris")</f>
        <v>AK Penyusutan Inventaris</v>
      </c>
      <c r="C46" s="13" t="str">
        <f>SUMIFS('JURNAL TRANSACTION'!C:C,'JURNAL TRANSACTION'!A:A,A46)</f>
        <v>#N/A</v>
      </c>
      <c r="D46" s="13" t="str">
        <f>SUMIFS('JURNAL TRANSACTION'!D:D,'JURNAL TRANSACTION'!A:A,A46)</f>
        <v>#N/A</v>
      </c>
    </row>
    <row r="47" ht="15.75" customHeight="1">
      <c r="A47" s="16" t="str">
        <f>IFERROR(__xludf.DUMMYFUNCTION("""COMPUTED_VALUE"""),"16500-00")</f>
        <v>16500-00</v>
      </c>
      <c r="B47" s="17" t="str">
        <f>IFERROR(__xludf.DUMMYFUNCTION("""COMPUTED_VALUE"""),"AK Penyusutan Perlengkapan")</f>
        <v>AK Penyusutan Perlengkapan</v>
      </c>
      <c r="C47" s="13" t="str">
        <f>SUMIFS('JURNAL TRANSACTION'!C:C,'JURNAL TRANSACTION'!A:A,A47)</f>
        <v>#N/A</v>
      </c>
      <c r="D47" s="13" t="str">
        <f>SUMIFS('JURNAL TRANSACTION'!D:D,'JURNAL TRANSACTION'!A:A,A47)</f>
        <v>#N/A</v>
      </c>
    </row>
    <row r="48" ht="15.75" customHeight="1">
      <c r="A48" s="16" t="str">
        <f>IFERROR(__xludf.DUMMYFUNCTION("""COMPUTED_VALUE"""),"19000-00")</f>
        <v>19000-00</v>
      </c>
      <c r="B48" s="17" t="str">
        <f>IFERROR(__xludf.DUMMYFUNCTION("""COMPUTED_VALUE"""),"Others Assets")</f>
        <v>Others Assets</v>
      </c>
      <c r="C48" s="13" t="str">
        <f>SUMIFS('JURNAL TRANSACTION'!C:C,'JURNAL TRANSACTION'!A:A,A48)</f>
        <v>#N/A</v>
      </c>
      <c r="D48" s="13" t="str">
        <f>SUMIFS('JURNAL TRANSACTION'!D:D,'JURNAL TRANSACTION'!A:A,A48)</f>
        <v>#N/A</v>
      </c>
    </row>
    <row r="49" ht="15.75" customHeight="1">
      <c r="A49" s="16" t="str">
        <f>IFERROR(__xludf.DUMMYFUNCTION("""COMPUTED_VALUE"""),"19010-00")</f>
        <v>19010-00</v>
      </c>
      <c r="B49" s="17" t="str">
        <f>IFERROR(__xludf.DUMMYFUNCTION("""COMPUTED_VALUE"""),"Investment")</f>
        <v>Investment</v>
      </c>
      <c r="C49" s="13" t="str">
        <f>SUMIFS('JURNAL TRANSACTION'!C:C,'JURNAL TRANSACTION'!A:A,A49)</f>
        <v>#N/A</v>
      </c>
      <c r="D49" s="13" t="str">
        <f>SUMIFS('JURNAL TRANSACTION'!D:D,'JURNAL TRANSACTION'!A:A,A49)</f>
        <v>#N/A</v>
      </c>
    </row>
    <row r="50" ht="15.75" customHeight="1">
      <c r="A50" s="16" t="str">
        <f>IFERROR(__xludf.DUMMYFUNCTION("""COMPUTED_VALUE"""),"19020-00")</f>
        <v>19020-00</v>
      </c>
      <c r="B50" s="15" t="str">
        <f>IFERROR(__xludf.DUMMYFUNCTION("""COMPUTED_VALUE"""),"Deposit")</f>
        <v>Deposit</v>
      </c>
      <c r="C50" s="13" t="str">
        <f>SUMIFS('JURNAL TRANSACTION'!C:C,'JURNAL TRANSACTION'!A:A,A50)</f>
        <v>#N/A</v>
      </c>
      <c r="D50" s="13" t="str">
        <f>SUMIFS('JURNAL TRANSACTION'!D:D,'JURNAL TRANSACTION'!A:A,A50)</f>
        <v>#N/A</v>
      </c>
    </row>
    <row r="51" ht="15.75" customHeight="1">
      <c r="A51" s="16" t="str">
        <f>IFERROR(__xludf.DUMMYFUNCTION("""COMPUTED_VALUE"""),"20000-00")</f>
        <v>20000-00</v>
      </c>
      <c r="B51" s="17" t="str">
        <f>IFERROR(__xludf.DUMMYFUNCTION("""COMPUTED_VALUE"""),"AP Trade")</f>
        <v>AP Trade</v>
      </c>
      <c r="C51" s="13" t="str">
        <f>SUMIFS('JURNAL TRANSACTION'!C:C,'JURNAL TRANSACTION'!A:A,A51)</f>
        <v>#N/A</v>
      </c>
      <c r="D51" s="13" t="str">
        <f>SUMIFS('JURNAL TRANSACTION'!D:D,'JURNAL TRANSACTION'!A:A,A51)</f>
        <v>#N/A</v>
      </c>
    </row>
    <row r="52" ht="15.75" customHeight="1">
      <c r="A52" s="16" t="str">
        <f>IFERROR(__xludf.DUMMYFUNCTION("""COMPUTED_VALUE"""),"20101-00")</f>
        <v>20101-00</v>
      </c>
      <c r="B52" s="17" t="str">
        <f>IFERROR(__xludf.DUMMYFUNCTION("""COMPUTED_VALUE"""),"Hutang Usaha")</f>
        <v>Hutang Usaha</v>
      </c>
      <c r="C52" s="13" t="str">
        <f>SUMIFS('JURNAL TRANSACTION'!C:C,'JURNAL TRANSACTION'!A:A,A52)</f>
        <v>#N/A</v>
      </c>
      <c r="D52" s="13" t="str">
        <f>SUMIFS('JURNAL TRANSACTION'!D:D,'JURNAL TRANSACTION'!A:A,A52)</f>
        <v>#N/A</v>
      </c>
    </row>
    <row r="53" ht="15.75" customHeight="1">
      <c r="A53" s="16" t="str">
        <f>IFERROR(__xludf.DUMMYFUNCTION("""COMPUTED_VALUE"""),"20200-00")</f>
        <v>20200-00</v>
      </c>
      <c r="B53" s="17" t="str">
        <f>IFERROR(__xludf.DUMMYFUNCTION("""COMPUTED_VALUE"""),"Hutang kepada Pemegang Saham")</f>
        <v>Hutang kepada Pemegang Saham</v>
      </c>
      <c r="C53" s="13" t="str">
        <f>SUMIFS('JURNAL TRANSACTION'!C:C,'JURNAL TRANSACTION'!A:A,A53)</f>
        <v>#N/A</v>
      </c>
      <c r="D53" s="13" t="str">
        <f>SUMIFS('JURNAL TRANSACTION'!D:D,'JURNAL TRANSACTION'!A:A,A53)</f>
        <v>#N/A</v>
      </c>
    </row>
    <row r="54" ht="15.75" customHeight="1">
      <c r="A54" s="9" t="str">
        <f>IFERROR(__xludf.DUMMYFUNCTION("""COMPUTED_VALUE"""),"20510-00")</f>
        <v>20510-00</v>
      </c>
      <c r="B54" s="9" t="str">
        <f>IFERROR(__xludf.DUMMYFUNCTION("""COMPUTED_VALUE"""),"Customer Deposit")</f>
        <v>Customer Deposit</v>
      </c>
      <c r="C54" s="13" t="str">
        <f>SUMIFS('JURNAL TRANSACTION'!C:C,'JURNAL TRANSACTION'!A:A,A54)</f>
        <v>#N/A</v>
      </c>
      <c r="D54" s="13" t="str">
        <f>SUMIFS('JURNAL TRANSACTION'!D:D,'JURNAL TRANSACTION'!A:A,A54)</f>
        <v>#N/A</v>
      </c>
    </row>
    <row r="55" ht="15.75" customHeight="1">
      <c r="A55" s="24" t="str">
        <f>IFERROR(__xludf.DUMMYFUNCTION("""COMPUTED_VALUE"""),"20520-00")</f>
        <v>20520-00</v>
      </c>
      <c r="B55" s="25" t="str">
        <f>IFERROR(__xludf.DUMMYFUNCTION("""COMPUTED_VALUE"""),"Hutang lain lain")</f>
        <v>Hutang lain lain</v>
      </c>
      <c r="C55" s="13" t="str">
        <f>SUMIFS('JURNAL TRANSACTION'!C:C,'JURNAL TRANSACTION'!A:A,A55)</f>
        <v>#N/A</v>
      </c>
      <c r="D55" s="13" t="str">
        <f>SUMIFS('JURNAL TRANSACTION'!D:D,'JURNAL TRANSACTION'!A:A,A55)</f>
        <v>#N/A</v>
      </c>
    </row>
    <row r="56" ht="15.75" customHeight="1">
      <c r="A56" s="24" t="str">
        <f>IFERROR(__xludf.DUMMYFUNCTION("""COMPUTED_VALUE"""),"21500-00")</f>
        <v>21500-00</v>
      </c>
      <c r="B56" s="25" t="str">
        <f>IFERROR(__xludf.DUMMYFUNCTION("""COMPUTED_VALUE"""),"Hutang Bank")</f>
        <v>Hutang Bank</v>
      </c>
      <c r="C56" s="13" t="str">
        <f>SUMIFS('JURNAL TRANSACTION'!C:C,'JURNAL TRANSACTION'!A:A,A56)</f>
        <v>#N/A</v>
      </c>
      <c r="D56" s="13" t="str">
        <f>SUMIFS('JURNAL TRANSACTION'!D:D,'JURNAL TRANSACTION'!A:A,A56)</f>
        <v>#N/A</v>
      </c>
    </row>
    <row r="57" ht="15.75" customHeight="1">
      <c r="A57" s="16" t="str">
        <f>IFERROR(__xludf.DUMMYFUNCTION("""COMPUTED_VALUE"""),"22000-00")</f>
        <v>22000-00</v>
      </c>
      <c r="B57" s="17" t="str">
        <f>IFERROR(__xludf.DUMMYFUNCTION("""COMPUTED_VALUE"""),"AP Tax")</f>
        <v>AP Tax</v>
      </c>
      <c r="C57" s="13" t="str">
        <f>SUMIFS('JURNAL TRANSACTION'!C:C,'JURNAL TRANSACTION'!A:A,A57)</f>
        <v>#N/A</v>
      </c>
      <c r="D57" s="13" t="str">
        <f>SUMIFS('JURNAL TRANSACTION'!D:D,'JURNAL TRANSACTION'!A:A,A57)</f>
        <v>#N/A</v>
      </c>
    </row>
    <row r="58" ht="15.75" customHeight="1">
      <c r="A58" s="16" t="str">
        <f>IFERROR(__xludf.DUMMYFUNCTION("""COMPUTED_VALUE"""),"22101-00")</f>
        <v>22101-00</v>
      </c>
      <c r="B58" s="17" t="str">
        <f>IFERROR(__xludf.DUMMYFUNCTION("""COMPUTED_VALUE"""),"Hutang PPN")</f>
        <v>Hutang PPN</v>
      </c>
      <c r="C58" s="13" t="str">
        <f>SUMIFS('JURNAL TRANSACTION'!C:C,'JURNAL TRANSACTION'!A:A,A58)</f>
        <v>#N/A</v>
      </c>
      <c r="D58" s="13" t="str">
        <f>SUMIFS('JURNAL TRANSACTION'!D:D,'JURNAL TRANSACTION'!A:A,A58)</f>
        <v>#N/A</v>
      </c>
    </row>
    <row r="59" ht="15.75" customHeight="1">
      <c r="A59" s="23" t="str">
        <f>IFERROR(__xludf.DUMMYFUNCTION("""COMPUTED_VALUE"""),"22102-00")</f>
        <v>22102-00</v>
      </c>
      <c r="B59" s="23" t="str">
        <f>IFERROR(__xludf.DUMMYFUNCTION("""COMPUTED_VALUE"""),"WHT Payable Art 21")</f>
        <v>WHT Payable Art 21</v>
      </c>
      <c r="C59" s="13" t="str">
        <f>SUMIFS('JURNAL TRANSACTION'!C:C,'JURNAL TRANSACTION'!A:A,A59)</f>
        <v>#N/A</v>
      </c>
      <c r="D59" s="13" t="str">
        <f>SUMIFS('JURNAL TRANSACTION'!D:D,'JURNAL TRANSACTION'!A:A,A59)</f>
        <v>#N/A</v>
      </c>
    </row>
    <row r="60" ht="15.75" customHeight="1">
      <c r="A60" s="23" t="str">
        <f>IFERROR(__xludf.DUMMYFUNCTION("""COMPUTED_VALUE"""),"22103-00")</f>
        <v>22103-00</v>
      </c>
      <c r="B60" s="23" t="str">
        <f>IFERROR(__xludf.DUMMYFUNCTION("""COMPUTED_VALUE"""),"WHT Payable Art 23")</f>
        <v>WHT Payable Art 23</v>
      </c>
      <c r="C60" s="13" t="str">
        <f>SUMIFS('JURNAL TRANSACTION'!C:C,'JURNAL TRANSACTION'!A:A,A60)</f>
        <v>#N/A</v>
      </c>
      <c r="D60" s="13" t="str">
        <f>SUMIFS('JURNAL TRANSACTION'!D:D,'JURNAL TRANSACTION'!A:A,A60)</f>
        <v>#N/A</v>
      </c>
    </row>
    <row r="61" ht="15.75" customHeight="1">
      <c r="A61" s="16" t="str">
        <f>IFERROR(__xludf.DUMMYFUNCTION("""COMPUTED_VALUE"""),"22104-00")</f>
        <v>22104-00</v>
      </c>
      <c r="B61" s="17" t="str">
        <f>IFERROR(__xludf.DUMMYFUNCTION("""COMPUTED_VALUE"""),"WHT Payable Art 4 Parg 2")</f>
        <v>WHT Payable Art 4 Parg 2</v>
      </c>
      <c r="C61" s="13" t="str">
        <f>SUMIFS('JURNAL TRANSACTION'!C:C,'JURNAL TRANSACTION'!A:A,A61)</f>
        <v>#N/A</v>
      </c>
      <c r="D61" s="13" t="str">
        <f>SUMIFS('JURNAL TRANSACTION'!D:D,'JURNAL TRANSACTION'!A:A,A61)</f>
        <v>#N/A</v>
      </c>
    </row>
    <row r="62" ht="15.75" customHeight="1">
      <c r="A62" s="16" t="str">
        <f>IFERROR(__xludf.DUMMYFUNCTION("""COMPUTED_VALUE"""),"22105-00")</f>
        <v>22105-00</v>
      </c>
      <c r="B62" s="17" t="str">
        <f>IFERROR(__xludf.DUMMYFUNCTION("""COMPUTED_VALUE"""),"WHT Payable Final Income Tax")</f>
        <v>WHT Payable Final Income Tax</v>
      </c>
      <c r="C62" s="13" t="str">
        <f>SUMIFS('JURNAL TRANSACTION'!C:C,'JURNAL TRANSACTION'!A:A,A62)</f>
        <v>#N/A</v>
      </c>
      <c r="D62" s="13" t="str">
        <f>SUMIFS('JURNAL TRANSACTION'!D:D,'JURNAL TRANSACTION'!A:A,A62)</f>
        <v>#N/A</v>
      </c>
    </row>
    <row r="63" ht="15.75" customHeight="1">
      <c r="A63" s="24" t="str">
        <f>IFERROR(__xludf.DUMMYFUNCTION("""COMPUTED_VALUE"""),"22106-00")</f>
        <v>22106-00</v>
      </c>
      <c r="B63" s="25" t="str">
        <f>IFERROR(__xludf.DUMMYFUNCTION("""COMPUTED_VALUE"""),"WHT Payable Art 26")</f>
        <v>WHT Payable Art 26</v>
      </c>
      <c r="C63" s="13" t="str">
        <f>SUMIFS('JURNAL TRANSACTION'!C:C,'JURNAL TRANSACTION'!A:A,A63)</f>
        <v>#N/A</v>
      </c>
      <c r="D63" s="13" t="str">
        <f>SUMIFS('JURNAL TRANSACTION'!D:D,'JURNAL TRANSACTION'!A:A,A63)</f>
        <v>#N/A</v>
      </c>
    </row>
    <row r="64" ht="15.75" customHeight="1">
      <c r="A64" s="16" t="str">
        <f>IFERROR(__xludf.DUMMYFUNCTION("""COMPUTED_VALUE"""),"22107-00")</f>
        <v>22107-00</v>
      </c>
      <c r="B64" s="17" t="str">
        <f>IFERROR(__xludf.DUMMYFUNCTION("""COMPUTED_VALUE"""),"WHT Payable Art 25")</f>
        <v>WHT Payable Art 25</v>
      </c>
      <c r="C64" s="13" t="str">
        <f>SUMIFS('JURNAL TRANSACTION'!C:C,'JURNAL TRANSACTION'!A:A,A64)</f>
        <v>#N/A</v>
      </c>
      <c r="D64" s="13" t="str">
        <f>SUMIFS('JURNAL TRANSACTION'!D:D,'JURNAL TRANSACTION'!A:A,A64)</f>
        <v>#N/A</v>
      </c>
    </row>
    <row r="65" ht="15.75" customHeight="1">
      <c r="A65" s="16" t="str">
        <f>IFERROR(__xludf.DUMMYFUNCTION("""COMPUTED_VALUE"""),"22108-00")</f>
        <v>22108-00</v>
      </c>
      <c r="B65" s="17" t="str">
        <f>IFERROR(__xludf.DUMMYFUNCTION("""COMPUTED_VALUE"""),"WHT Payable Art 29")</f>
        <v>WHT Payable Art 29</v>
      </c>
      <c r="C65" s="13" t="str">
        <f>SUMIFS('JURNAL TRANSACTION'!C:C,'JURNAL TRANSACTION'!A:A,A65)</f>
        <v>#N/A</v>
      </c>
      <c r="D65" s="13" t="str">
        <f>SUMIFS('JURNAL TRANSACTION'!D:D,'JURNAL TRANSACTION'!A:A,A65)</f>
        <v>#N/A</v>
      </c>
    </row>
    <row r="66" ht="15.75" customHeight="1">
      <c r="A66" s="16"/>
      <c r="B66" s="17"/>
      <c r="C66" s="13">
        <f>SUMIFS('JURNAL TRANSACTION'!C:C,'JURNAL TRANSACTION'!A:A,A66)</f>
        <v>0</v>
      </c>
      <c r="D66" s="13">
        <f>SUMIFS('JURNAL TRANSACTION'!D:D,'JURNAL TRANSACTION'!A:A,A66)</f>
        <v>0</v>
      </c>
    </row>
    <row r="67" ht="15.75" customHeight="1">
      <c r="A67" s="16"/>
      <c r="B67" s="17"/>
      <c r="C67" s="13">
        <f>SUMIFS('JURNAL TRANSACTION'!C:C,'JURNAL TRANSACTION'!A:A,A67)</f>
        <v>0</v>
      </c>
      <c r="D67" s="13">
        <f>SUMIFS('JURNAL TRANSACTION'!D:D,'JURNAL TRANSACTION'!A:A,A67)</f>
        <v>0</v>
      </c>
    </row>
    <row r="68" ht="15.75" customHeight="1">
      <c r="A68" s="24" t="str">
        <f>IFERROR(__xludf.DUMMYFUNCTION("""COMPUTED_VALUE"""),"23000-00")</f>
        <v>23000-00</v>
      </c>
      <c r="B68" s="25" t="str">
        <f>IFERROR(__xludf.DUMMYFUNCTION("""COMPUTED_VALUE"""),"Accruals")</f>
        <v>Accruals</v>
      </c>
      <c r="C68" s="13" t="str">
        <f>SUMIFS('JURNAL TRANSACTION'!C:C,'JURNAL TRANSACTION'!A:A,A68)</f>
        <v>#N/A</v>
      </c>
      <c r="D68" s="13" t="str">
        <f>SUMIFS('JURNAL TRANSACTION'!D:D,'JURNAL TRANSACTION'!A:A,A68)</f>
        <v>#N/A</v>
      </c>
    </row>
    <row r="69" ht="15.75" customHeight="1">
      <c r="A69" s="16" t="str">
        <f>IFERROR(__xludf.DUMMYFUNCTION("""COMPUTED_VALUE"""),"23001-00")</f>
        <v>23001-00</v>
      </c>
      <c r="B69" s="17" t="str">
        <f>IFERROR(__xludf.DUMMYFUNCTION("""COMPUTED_VALUE"""),"Accrued Gaji")</f>
        <v>Accrued Gaji</v>
      </c>
      <c r="C69" s="13" t="str">
        <f>SUMIFS('JURNAL TRANSACTION'!C:C,'JURNAL TRANSACTION'!A:A,A69)</f>
        <v>#N/A</v>
      </c>
      <c r="D69" s="13" t="str">
        <f>SUMIFS('JURNAL TRANSACTION'!D:D,'JURNAL TRANSACTION'!A:A,A69)</f>
        <v>#N/A</v>
      </c>
    </row>
    <row r="70" ht="15.75" customHeight="1">
      <c r="A70" s="16" t="str">
        <f>IFERROR(__xludf.DUMMYFUNCTION("""COMPUTED_VALUE"""),"23002-00")</f>
        <v>23002-00</v>
      </c>
      <c r="B70" s="17" t="str">
        <f>IFERROR(__xludf.DUMMYFUNCTION("""COMPUTED_VALUE"""),"Accrued Listrik")</f>
        <v>Accrued Listrik</v>
      </c>
      <c r="C70" s="13" t="str">
        <f>SUMIFS('JURNAL TRANSACTION'!C:C,'JURNAL TRANSACTION'!A:A,A70)</f>
        <v>#N/A</v>
      </c>
      <c r="D70" s="13" t="str">
        <f>SUMIFS('JURNAL TRANSACTION'!D:D,'JURNAL TRANSACTION'!A:A,A70)</f>
        <v>#N/A</v>
      </c>
    </row>
    <row r="71" ht="15.75" customHeight="1">
      <c r="A71" s="16" t="str">
        <f>IFERROR(__xludf.DUMMYFUNCTION("""COMPUTED_VALUE"""),"30000-00")</f>
        <v>30000-00</v>
      </c>
      <c r="B71" s="17" t="str">
        <f>IFERROR(__xludf.DUMMYFUNCTION("""COMPUTED_VALUE"""),"Equity")</f>
        <v>Equity</v>
      </c>
      <c r="C71" s="13" t="str">
        <f>SUMIFS('JURNAL TRANSACTION'!C:C,'JURNAL TRANSACTION'!A:A,A71)</f>
        <v>#N/A</v>
      </c>
      <c r="D71" s="13" t="str">
        <f>SUMIFS('JURNAL TRANSACTION'!D:D,'JURNAL TRANSACTION'!A:A,A71)</f>
        <v>#N/A</v>
      </c>
    </row>
    <row r="72" ht="15.75" customHeight="1">
      <c r="A72" s="24" t="str">
        <f>IFERROR(__xludf.DUMMYFUNCTION("""COMPUTED_VALUE"""),"30010-00")</f>
        <v>30010-00</v>
      </c>
      <c r="B72" s="25" t="str">
        <f>IFERROR(__xludf.DUMMYFUNCTION("""COMPUTED_VALUE"""),"Setoran Modal Romy Syaf Putra")</f>
        <v>Setoran Modal Romy Syaf Putra</v>
      </c>
      <c r="C72" s="13" t="str">
        <f>SUMIFS('JURNAL TRANSACTION'!C:C,'JURNAL TRANSACTION'!A:A,A72)</f>
        <v>#N/A</v>
      </c>
      <c r="D72" s="13" t="str">
        <f>SUMIFS('JURNAL TRANSACTION'!D:D,'JURNAL TRANSACTION'!A:A,A72)</f>
        <v>#N/A</v>
      </c>
    </row>
    <row r="73" ht="15.75" customHeight="1">
      <c r="A73" s="16" t="str">
        <f>IFERROR(__xludf.DUMMYFUNCTION("""COMPUTED_VALUE"""),"30020-00")</f>
        <v>30020-00</v>
      </c>
      <c r="B73" s="17" t="str">
        <f>IFERROR(__xludf.DUMMYFUNCTION("""COMPUTED_VALUE"""),"Setoran Modal Harun Alrasyid")</f>
        <v>Setoran Modal Harun Alrasyid</v>
      </c>
      <c r="C73" s="13" t="str">
        <f>SUMIFS('JURNAL TRANSACTION'!C:C,'JURNAL TRANSACTION'!A:A,A73)</f>
        <v>#N/A</v>
      </c>
      <c r="D73" s="13" t="str">
        <f>SUMIFS('JURNAL TRANSACTION'!D:D,'JURNAL TRANSACTION'!A:A,A73)</f>
        <v>#N/A</v>
      </c>
    </row>
    <row r="74" ht="15.75" customHeight="1">
      <c r="A74" s="16" t="str">
        <f>IFERROR(__xludf.DUMMYFUNCTION("""COMPUTED_VALUE"""),"32000-00")</f>
        <v>32000-00</v>
      </c>
      <c r="B74" s="17" t="str">
        <f>IFERROR(__xludf.DUMMYFUNCTION("""COMPUTED_VALUE"""),"Dividen Paid")</f>
        <v>Dividen Paid</v>
      </c>
      <c r="C74" s="13" t="str">
        <f>SUMIFS('JURNAL TRANSACTION'!C:C,'JURNAL TRANSACTION'!A:A,A74)</f>
        <v>#N/A</v>
      </c>
      <c r="D74" s="13" t="str">
        <f>SUMIFS('JURNAL TRANSACTION'!D:D,'JURNAL TRANSACTION'!A:A,A74)</f>
        <v>#N/A</v>
      </c>
    </row>
    <row r="75" ht="15.75" customHeight="1">
      <c r="A75" s="16" t="str">
        <f>IFERROR(__xludf.DUMMYFUNCTION("""COMPUTED_VALUE"""),"35000-00")</f>
        <v>35000-00</v>
      </c>
      <c r="B75" s="17" t="str">
        <f>IFERROR(__xludf.DUMMYFUNCTION("""COMPUTED_VALUE"""),"Retained Earning")</f>
        <v>Retained Earning</v>
      </c>
      <c r="C75" s="13" t="str">
        <f>SUMIFS('JURNAL TRANSACTION'!C:C,'JURNAL TRANSACTION'!A:A,A75)</f>
        <v>#N/A</v>
      </c>
      <c r="D75" s="13" t="str">
        <f>SUMIFS('JURNAL TRANSACTION'!D:D,'JURNAL TRANSACTION'!A:A,A75)</f>
        <v>#N/A</v>
      </c>
    </row>
    <row r="76" ht="15.75" customHeight="1">
      <c r="A76" s="16"/>
      <c r="B76" s="17"/>
      <c r="C76" s="13">
        <f>SUMIFS('JURNAL TRANSACTION'!C:C,'JURNAL TRANSACTION'!A:A,A76)</f>
        <v>0</v>
      </c>
      <c r="D76" s="13">
        <f>SUMIFS('JURNAL TRANSACTION'!D:D,'JURNAL TRANSACTION'!A:A,A76)</f>
        <v>0</v>
      </c>
    </row>
    <row r="77" ht="15.75" customHeight="1">
      <c r="A77" s="16" t="str">
        <f>IFERROR(__xludf.DUMMYFUNCTION("""COMPUTED_VALUE"""),"40010-00")</f>
        <v>40010-00</v>
      </c>
      <c r="B77" s="17" t="str">
        <f>IFERROR(__xludf.DUMMYFUNCTION("""COMPUTED_VALUE"""),"Revenue")</f>
        <v>Revenue</v>
      </c>
      <c r="C77" s="13" t="str">
        <f>SUMIFS('JURNAL TRANSACTION'!C:C,'JURNAL TRANSACTION'!A:A,A77)</f>
        <v>#N/A</v>
      </c>
      <c r="D77" s="13" t="str">
        <f>SUMIFS('JURNAL TRANSACTION'!D:D,'JURNAL TRANSACTION'!A:A,A77)</f>
        <v>#N/A</v>
      </c>
    </row>
    <row r="78" ht="15.75" customHeight="1">
      <c r="A78" s="16" t="str">
        <f>IFERROR(__xludf.DUMMYFUNCTION("""COMPUTED_VALUE"""),"40020-00")</f>
        <v>40020-00</v>
      </c>
      <c r="B78" s="17" t="str">
        <f>IFERROR(__xludf.DUMMYFUNCTION("""COMPUTED_VALUE"""),"Sales Project")</f>
        <v>Sales Project</v>
      </c>
      <c r="C78" s="13" t="str">
        <f>SUMIFS('JURNAL TRANSACTION'!C:C,'JURNAL TRANSACTION'!A:A,A78)</f>
        <v>#N/A</v>
      </c>
      <c r="D78" s="13" t="str">
        <f>SUMIFS('JURNAL TRANSACTION'!D:D,'JURNAL TRANSACTION'!A:A,A78)</f>
        <v>#N/A</v>
      </c>
    </row>
    <row r="79" ht="15.75" customHeight="1">
      <c r="A79" s="16" t="str">
        <f>IFERROR(__xludf.DUMMYFUNCTION("""COMPUTED_VALUE"""),"40030-00")</f>
        <v>40030-00</v>
      </c>
      <c r="B79" s="17" t="str">
        <f>IFERROR(__xludf.DUMMYFUNCTION("""COMPUTED_VALUE"""),"Pendapatan Jasa")</f>
        <v>Pendapatan Jasa</v>
      </c>
      <c r="C79" s="13" t="str">
        <f>SUMIFS('JURNAL TRANSACTION'!C:C,'JURNAL TRANSACTION'!A:A,A79)</f>
        <v>#N/A</v>
      </c>
      <c r="D79" s="13" t="str">
        <f>SUMIFS('JURNAL TRANSACTION'!D:D,'JURNAL TRANSACTION'!A:A,A79)</f>
        <v>#N/A</v>
      </c>
    </row>
    <row r="80" ht="15.75" customHeight="1">
      <c r="A80" s="16" t="str">
        <f>IFERROR(__xludf.DUMMYFUNCTION("""COMPUTED_VALUE"""),"40040-00")</f>
        <v>40040-00</v>
      </c>
      <c r="B80" s="26" t="str">
        <f>IFERROR(__xludf.DUMMYFUNCTION("""COMPUTED_VALUE"""),"Pendapatan Alkes")</f>
        <v>Pendapatan Alkes</v>
      </c>
      <c r="C80" s="13" t="str">
        <f>SUMIFS('JURNAL TRANSACTION'!C:C,'JURNAL TRANSACTION'!A:A,A80)</f>
        <v>#N/A</v>
      </c>
      <c r="D80" s="13" t="str">
        <f>SUMIFS('JURNAL TRANSACTION'!D:D,'JURNAL TRANSACTION'!A:A,A80)</f>
        <v>#N/A</v>
      </c>
    </row>
    <row r="81" ht="15.75" customHeight="1">
      <c r="A81" s="23" t="str">
        <f>IFERROR(__xludf.DUMMYFUNCTION("""COMPUTED_VALUE"""),"45100-00")</f>
        <v>45100-00</v>
      </c>
      <c r="B81" s="23" t="str">
        <f>IFERROR(__xludf.DUMMYFUNCTION("""COMPUTED_VALUE"""),"Sales discount")</f>
        <v>Sales discount</v>
      </c>
      <c r="C81" s="13" t="str">
        <f>SUMIFS('JURNAL TRANSACTION'!C:C,'JURNAL TRANSACTION'!A:A,A81)</f>
        <v>#N/A</v>
      </c>
      <c r="D81" s="13" t="str">
        <f>SUMIFS('JURNAL TRANSACTION'!D:D,'JURNAL TRANSACTION'!A:A,A81)</f>
        <v>#N/A</v>
      </c>
    </row>
    <row r="82" ht="15.75" customHeight="1">
      <c r="A82" s="16"/>
      <c r="B82" s="17"/>
      <c r="C82" s="13">
        <f>SUMIFS('JURNAL TRANSACTION'!C:C,'JURNAL TRANSACTION'!A:A,A82)</f>
        <v>0</v>
      </c>
      <c r="D82" s="13">
        <f>SUMIFS('JURNAL TRANSACTION'!D:D,'JURNAL TRANSACTION'!A:A,A82)</f>
        <v>0</v>
      </c>
    </row>
    <row r="83" ht="15.75" customHeight="1">
      <c r="A83" s="16" t="str">
        <f>IFERROR(__xludf.DUMMYFUNCTION("""COMPUTED_VALUE"""),"50000-00")</f>
        <v>50000-00</v>
      </c>
      <c r="B83" s="17" t="str">
        <f>IFERROR(__xludf.DUMMYFUNCTION("""COMPUTED_VALUE"""),"Cost of sales")</f>
        <v>Cost of sales</v>
      </c>
      <c r="C83" s="13" t="str">
        <f>SUMIFS('JURNAL TRANSACTION'!C:C,'JURNAL TRANSACTION'!A:A,A83)</f>
        <v>#N/A</v>
      </c>
      <c r="D83" s="13" t="str">
        <f>SUMIFS('JURNAL TRANSACTION'!D:D,'JURNAL TRANSACTION'!A:A,A83)</f>
        <v>#N/A</v>
      </c>
    </row>
    <row r="84" ht="15.75" customHeight="1">
      <c r="A84" s="16" t="str">
        <f>IFERROR(__xludf.DUMMYFUNCTION("""COMPUTED_VALUE"""),"50100-00")</f>
        <v>50100-00</v>
      </c>
      <c r="B84" s="17" t="str">
        <f>IFERROR(__xludf.DUMMYFUNCTION("""COMPUTED_VALUE"""),"Pembelian")</f>
        <v>Pembelian</v>
      </c>
      <c r="C84" s="13" t="str">
        <f>SUMIFS('JURNAL TRANSACTION'!C:C,'JURNAL TRANSACTION'!A:A,A84)</f>
        <v>#N/A</v>
      </c>
      <c r="D84" s="13" t="str">
        <f>SUMIFS('JURNAL TRANSACTION'!D:D,'JURNAL TRANSACTION'!A:A,A84)</f>
        <v>#N/A</v>
      </c>
    </row>
    <row r="85" ht="15.75" customHeight="1">
      <c r="A85" s="16" t="str">
        <f>IFERROR(__xludf.DUMMYFUNCTION("""COMPUTED_VALUE"""),"50200-00")</f>
        <v>50200-00</v>
      </c>
      <c r="B85" s="26" t="str">
        <f>IFERROR(__xludf.DUMMYFUNCTION("""COMPUTED_VALUE"""),"Ongkos Angkut Pembelian")</f>
        <v>Ongkos Angkut Pembelian</v>
      </c>
      <c r="C85" s="13" t="str">
        <f>SUMIFS('JURNAL TRANSACTION'!C:C,'JURNAL TRANSACTION'!A:A,A85)</f>
        <v>#N/A</v>
      </c>
      <c r="D85" s="13" t="str">
        <f>SUMIFS('JURNAL TRANSACTION'!D:D,'JURNAL TRANSACTION'!A:A,A85)</f>
        <v>#N/A</v>
      </c>
    </row>
    <row r="86" ht="15.75" customHeight="1">
      <c r="A86" s="23" t="str">
        <f>IFERROR(__xludf.DUMMYFUNCTION("""COMPUTED_VALUE"""),"50300-00")</f>
        <v>50300-00</v>
      </c>
      <c r="B86" s="23" t="str">
        <f>IFERROR(__xludf.DUMMYFUNCTION("""COMPUTED_VALUE"""),"Jasa Teknik")</f>
        <v>Jasa Teknik</v>
      </c>
      <c r="C86" s="13" t="str">
        <f>SUMIFS('JURNAL TRANSACTION'!C:C,'JURNAL TRANSACTION'!A:A,A86)</f>
        <v>#N/A</v>
      </c>
      <c r="D86" s="13" t="str">
        <f>SUMIFS('JURNAL TRANSACTION'!D:D,'JURNAL TRANSACTION'!A:A,A86)</f>
        <v>#N/A</v>
      </c>
    </row>
    <row r="87" ht="15.75" customHeight="1">
      <c r="A87" s="16" t="str">
        <f>IFERROR(__xludf.DUMMYFUNCTION("""COMPUTED_VALUE"""),"50400-00")</f>
        <v>50400-00</v>
      </c>
      <c r="B87" s="17" t="str">
        <f>IFERROR(__xludf.DUMMYFUNCTION("""COMPUTED_VALUE"""),"Perjalanan Dinas")</f>
        <v>Perjalanan Dinas</v>
      </c>
      <c r="C87" s="13" t="str">
        <f>SUMIFS('JURNAL TRANSACTION'!C:C,'JURNAL TRANSACTION'!A:A,A87)</f>
        <v>#N/A</v>
      </c>
      <c r="D87" s="13" t="str">
        <f>SUMIFS('JURNAL TRANSACTION'!D:D,'JURNAL TRANSACTION'!A:A,A87)</f>
        <v>#N/A</v>
      </c>
    </row>
    <row r="88" ht="15.75" customHeight="1">
      <c r="A88" s="16" t="str">
        <f>IFERROR(__xludf.DUMMYFUNCTION("""COMPUTED_VALUE"""),"50500-00")</f>
        <v>50500-00</v>
      </c>
      <c r="B88" s="17" t="str">
        <f>IFERROR(__xludf.DUMMYFUNCTION("""COMPUTED_VALUE"""),"Makan Project")</f>
        <v>Makan Project</v>
      </c>
      <c r="C88" s="13" t="str">
        <f>SUMIFS('JURNAL TRANSACTION'!C:C,'JURNAL TRANSACTION'!A:A,A88)</f>
        <v>#N/A</v>
      </c>
      <c r="D88" s="13" t="str">
        <f>SUMIFS('JURNAL TRANSACTION'!D:D,'JURNAL TRANSACTION'!A:A,A88)</f>
        <v>#N/A</v>
      </c>
    </row>
    <row r="89" ht="15.75" customHeight="1">
      <c r="A89" s="16" t="str">
        <f>IFERROR(__xludf.DUMMYFUNCTION("""COMPUTED_VALUE"""),"50600-00")</f>
        <v>50600-00</v>
      </c>
      <c r="B89" s="17" t="str">
        <f>IFERROR(__xludf.DUMMYFUNCTION("""COMPUTED_VALUE"""),"Transport Project")</f>
        <v>Transport Project</v>
      </c>
      <c r="C89" s="13" t="str">
        <f>SUMIFS('JURNAL TRANSACTION'!C:C,'JURNAL TRANSACTION'!A:A,A89)</f>
        <v>#N/A</v>
      </c>
      <c r="D89" s="13" t="str">
        <f>SUMIFS('JURNAL TRANSACTION'!D:D,'JURNAL TRANSACTION'!A:A,A89)</f>
        <v>#N/A</v>
      </c>
    </row>
    <row r="90" ht="15.75" customHeight="1">
      <c r="A90" s="16" t="str">
        <f>IFERROR(__xludf.DUMMYFUNCTION("""COMPUTED_VALUE"""),"50700-00")</f>
        <v>50700-00</v>
      </c>
      <c r="B90" s="17" t="str">
        <f>IFERROR(__xludf.DUMMYFUNCTION("""COMPUTED_VALUE"""),"Entertaint")</f>
        <v>Entertaint</v>
      </c>
      <c r="C90" s="13" t="str">
        <f>SUMIFS('JURNAL TRANSACTION'!C:C,'JURNAL TRANSACTION'!A:A,A90)</f>
        <v>#N/A</v>
      </c>
      <c r="D90" s="13" t="str">
        <f>SUMIFS('JURNAL TRANSACTION'!D:D,'JURNAL TRANSACTION'!A:A,A90)</f>
        <v>#N/A</v>
      </c>
    </row>
    <row r="91" ht="15.75" customHeight="1">
      <c r="A91" s="16" t="str">
        <f>IFERROR(__xludf.DUMMYFUNCTION("""COMPUTED_VALUE"""),"50800-00")</f>
        <v>50800-00</v>
      </c>
      <c r="B91" s="17" t="str">
        <f>IFERROR(__xludf.DUMMYFUNCTION("""COMPUTED_VALUE"""),"Sparepart")</f>
        <v>Sparepart</v>
      </c>
      <c r="C91" s="13" t="str">
        <f>SUMIFS('JURNAL TRANSACTION'!C:C,'JURNAL TRANSACTION'!A:A,A91)</f>
        <v>#N/A</v>
      </c>
      <c r="D91" s="13" t="str">
        <f>SUMIFS('JURNAL TRANSACTION'!D:D,'JURNAL TRANSACTION'!A:A,A91)</f>
        <v>#N/A</v>
      </c>
    </row>
    <row r="92" ht="15.75" customHeight="1">
      <c r="A92" s="16" t="str">
        <f>IFERROR(__xludf.DUMMYFUNCTION("""COMPUTED_VALUE"""),"50900-00")</f>
        <v>50900-00</v>
      </c>
      <c r="B92" s="17" t="str">
        <f>IFERROR(__xludf.DUMMYFUNCTION("""COMPUTED_VALUE"""),"Ongkos Kirim")</f>
        <v>Ongkos Kirim</v>
      </c>
      <c r="C92" s="13" t="str">
        <f>SUMIFS('JURNAL TRANSACTION'!C:C,'JURNAL TRANSACTION'!A:A,A92)</f>
        <v>#N/A</v>
      </c>
      <c r="D92" s="13" t="str">
        <f>SUMIFS('JURNAL TRANSACTION'!D:D,'JURNAL TRANSACTION'!A:A,A92)</f>
        <v>#N/A</v>
      </c>
    </row>
    <row r="93" ht="15.75" customHeight="1">
      <c r="A93" s="16" t="str">
        <f>IFERROR(__xludf.DUMMYFUNCTION("""COMPUTED_VALUE"""),"51000-00")</f>
        <v>51000-00</v>
      </c>
      <c r="B93" s="17" t="str">
        <f>IFERROR(__xludf.DUMMYFUNCTION("""COMPUTED_VALUE"""),"Biaya Marketing")</f>
        <v>Biaya Marketing</v>
      </c>
      <c r="C93" s="13" t="str">
        <f>SUMIFS('JURNAL TRANSACTION'!C:C,'JURNAL TRANSACTION'!A:A,A93)</f>
        <v>#N/A</v>
      </c>
      <c r="D93" s="13" t="str">
        <f>SUMIFS('JURNAL TRANSACTION'!D:D,'JURNAL TRANSACTION'!A:A,A93)</f>
        <v>#N/A</v>
      </c>
    </row>
    <row r="94" ht="15.75" customHeight="1">
      <c r="A94" s="16"/>
      <c r="B94" s="25"/>
      <c r="C94" s="13">
        <f>SUMIFS('JURNAL TRANSACTION'!C:C,'JURNAL TRANSACTION'!A:A,A94)</f>
        <v>0</v>
      </c>
      <c r="D94" s="13">
        <f>SUMIFS('JURNAL TRANSACTION'!D:D,'JURNAL TRANSACTION'!A:A,A94)</f>
        <v>0</v>
      </c>
    </row>
    <row r="95" ht="15.75" customHeight="1">
      <c r="A95" s="16" t="str">
        <f>IFERROR(__xludf.DUMMYFUNCTION("""COMPUTED_VALUE"""),"Beban Administrasi Umum")</f>
        <v>Beban Administrasi Umum</v>
      </c>
      <c r="B95" s="17"/>
      <c r="C95" s="13" t="str">
        <f>SUMIFS('JURNAL TRANSACTION'!C:C,'JURNAL TRANSACTION'!A:A,A95)</f>
        <v>#N/A</v>
      </c>
      <c r="D95" s="13" t="str">
        <f>SUMIFS('JURNAL TRANSACTION'!D:D,'JURNAL TRANSACTION'!A:A,A95)</f>
        <v>#N/A</v>
      </c>
    </row>
    <row r="96" ht="15.75" customHeight="1">
      <c r="A96" s="16" t="str">
        <f>IFERROR(__xludf.DUMMYFUNCTION("""COMPUTED_VALUE"""),"60010-00")</f>
        <v>60010-00</v>
      </c>
      <c r="B96" s="17" t="str">
        <f>IFERROR(__xludf.DUMMYFUNCTION("""COMPUTED_VALUE"""),"Salary")</f>
        <v>Salary</v>
      </c>
      <c r="C96" s="13" t="str">
        <f>SUMIFS('JURNAL TRANSACTION'!C:C,'JURNAL TRANSACTION'!A:A,A96)</f>
        <v>#N/A</v>
      </c>
      <c r="D96" s="13" t="str">
        <f>SUMIFS('JURNAL TRANSACTION'!D:D,'JURNAL TRANSACTION'!A:A,A96)</f>
        <v>#N/A</v>
      </c>
    </row>
    <row r="97" ht="15.75" customHeight="1">
      <c r="A97" s="16" t="str">
        <f>IFERROR(__xludf.DUMMYFUNCTION("""COMPUTED_VALUE"""),"60020-00")</f>
        <v>60020-00</v>
      </c>
      <c r="B97" s="17" t="str">
        <f>IFERROR(__xludf.DUMMYFUNCTION("""COMPUTED_VALUE"""),"Bonus&amp;THR")</f>
        <v>Bonus&amp;THR</v>
      </c>
      <c r="C97" s="13" t="str">
        <f>SUMIFS('JURNAL TRANSACTION'!C:C,'JURNAL TRANSACTION'!A:A,A97)</f>
        <v>#N/A</v>
      </c>
      <c r="D97" s="13" t="str">
        <f>SUMIFS('JURNAL TRANSACTION'!D:D,'JURNAL TRANSACTION'!A:A,A97)</f>
        <v>#N/A</v>
      </c>
    </row>
    <row r="98" ht="15.75" customHeight="1">
      <c r="A98" s="23" t="str">
        <f>IFERROR(__xludf.DUMMYFUNCTION("""COMPUTED_VALUE"""),"60030-00")</f>
        <v>60030-00</v>
      </c>
      <c r="B98" s="23" t="str">
        <f>IFERROR(__xludf.DUMMYFUNCTION("""COMPUTED_VALUE"""),"Overtime")</f>
        <v>Overtime</v>
      </c>
      <c r="C98" s="13" t="str">
        <f>SUMIFS('JURNAL TRANSACTION'!C:C,'JURNAL TRANSACTION'!A:A,A98)</f>
        <v>#N/A</v>
      </c>
      <c r="D98" s="13" t="str">
        <f>SUMIFS('JURNAL TRANSACTION'!D:D,'JURNAL TRANSACTION'!A:A,A98)</f>
        <v>#N/A</v>
      </c>
    </row>
    <row r="99" ht="15.75" customHeight="1">
      <c r="A99" s="16" t="str">
        <f>IFERROR(__xludf.DUMMYFUNCTION("""COMPUTED_VALUE"""),"60040-00")</f>
        <v>60040-00</v>
      </c>
      <c r="B99" s="17" t="str">
        <f>IFERROR(__xludf.DUMMYFUNCTION("""COMPUTED_VALUE"""),"Makan Kantor")</f>
        <v>Makan Kantor</v>
      </c>
      <c r="C99" s="13" t="str">
        <f>SUMIFS('JURNAL TRANSACTION'!C:C,'JURNAL TRANSACTION'!A:A,A99)</f>
        <v>#N/A</v>
      </c>
      <c r="D99" s="13" t="str">
        <f>SUMIFS('JURNAL TRANSACTION'!D:D,'JURNAL TRANSACTION'!A:A,A99)</f>
        <v>#N/A</v>
      </c>
    </row>
    <row r="100" ht="15.75" customHeight="1">
      <c r="A100" s="16" t="str">
        <f>IFERROR(__xludf.DUMMYFUNCTION("""COMPUTED_VALUE"""),"60050-00")</f>
        <v>60050-00</v>
      </c>
      <c r="B100" s="17" t="str">
        <f>IFERROR(__xludf.DUMMYFUNCTION("""COMPUTED_VALUE"""),"Asuransi")</f>
        <v>Asuransi</v>
      </c>
      <c r="C100" s="13" t="str">
        <f>SUMIFS('JURNAL TRANSACTION'!C:C,'JURNAL TRANSACTION'!A:A,A100)</f>
        <v>#N/A</v>
      </c>
      <c r="D100" s="13" t="str">
        <f>SUMIFS('JURNAL TRANSACTION'!D:D,'JURNAL TRANSACTION'!A:A,A100)</f>
        <v>#N/A</v>
      </c>
    </row>
    <row r="101" ht="15.75" customHeight="1">
      <c r="A101" s="16" t="str">
        <f>IFERROR(__xludf.DUMMYFUNCTION("""COMPUTED_VALUE"""),"60060-00")</f>
        <v>60060-00</v>
      </c>
      <c r="B101" s="17" t="str">
        <f>IFERROR(__xludf.DUMMYFUNCTION("""COMPUTED_VALUE"""),"Tunjangan PPh 21")</f>
        <v>Tunjangan PPh 21</v>
      </c>
      <c r="C101" s="13" t="str">
        <f>SUMIFS('JURNAL TRANSACTION'!C:C,'JURNAL TRANSACTION'!A:A,A101)</f>
        <v>#N/A</v>
      </c>
      <c r="D101" s="13" t="str">
        <f>SUMIFS('JURNAL TRANSACTION'!D:D,'JURNAL TRANSACTION'!A:A,A101)</f>
        <v>#N/A</v>
      </c>
    </row>
    <row r="102" ht="15.75" customHeight="1">
      <c r="A102" s="16" t="str">
        <f>IFERROR(__xludf.DUMMYFUNCTION("""COMPUTED_VALUE"""),"61000-00")</f>
        <v>61000-00</v>
      </c>
      <c r="B102" s="17" t="str">
        <f>IFERROR(__xludf.DUMMYFUNCTION("""COMPUTED_VALUE"""),"Office Expenses")</f>
        <v>Office Expenses</v>
      </c>
      <c r="C102" s="13" t="str">
        <f>SUMIFS('JURNAL TRANSACTION'!C:C,'JURNAL TRANSACTION'!A:A,A102)</f>
        <v>#N/A</v>
      </c>
      <c r="D102" s="13" t="str">
        <f>SUMIFS('JURNAL TRANSACTION'!D:D,'JURNAL TRANSACTION'!A:A,A102)</f>
        <v>#N/A</v>
      </c>
    </row>
    <row r="103" ht="15.75" customHeight="1">
      <c r="A103" s="16" t="str">
        <f>IFERROR(__xludf.DUMMYFUNCTION("""COMPUTED_VALUE"""),"61010-00")</f>
        <v>61010-00</v>
      </c>
      <c r="B103" s="17" t="str">
        <f>IFERROR(__xludf.DUMMYFUNCTION("""COMPUTED_VALUE"""),"Listrik")</f>
        <v>Listrik</v>
      </c>
      <c r="C103" s="13" t="str">
        <f>SUMIFS('JURNAL TRANSACTION'!C:C,'JURNAL TRANSACTION'!A:A,A103)</f>
        <v>#N/A</v>
      </c>
      <c r="D103" s="13" t="str">
        <f>SUMIFS('JURNAL TRANSACTION'!D:D,'JURNAL TRANSACTION'!A:A,A103)</f>
        <v>#N/A</v>
      </c>
    </row>
    <row r="104" ht="15.75" customHeight="1">
      <c r="A104" s="16" t="str">
        <f>IFERROR(__xludf.DUMMYFUNCTION("""COMPUTED_VALUE"""),"61020-00")</f>
        <v>61020-00</v>
      </c>
      <c r="B104" s="26" t="str">
        <f>IFERROR(__xludf.DUMMYFUNCTION("""COMPUTED_VALUE"""),"Telephone and internet")</f>
        <v>Telephone and internet</v>
      </c>
      <c r="C104" s="13" t="str">
        <f>SUMIFS('JURNAL TRANSACTION'!C:C,'JURNAL TRANSACTION'!A:A,A104)</f>
        <v>#N/A</v>
      </c>
      <c r="D104" s="13" t="str">
        <f>SUMIFS('JURNAL TRANSACTION'!D:D,'JURNAL TRANSACTION'!A:A,A104)</f>
        <v>#N/A</v>
      </c>
    </row>
    <row r="105" ht="15.75" customHeight="1">
      <c r="A105" s="16" t="str">
        <f>IFERROR(__xludf.DUMMYFUNCTION("""COMPUTED_VALUE"""),"61030-00")</f>
        <v>61030-00</v>
      </c>
      <c r="B105" s="25" t="str">
        <f>IFERROR(__xludf.DUMMYFUNCTION("""COMPUTED_VALUE"""),"ATK dan Printing ")</f>
        <v>ATK dan Printing </v>
      </c>
      <c r="C105" s="13" t="str">
        <f>SUMIFS('JURNAL TRANSACTION'!C:C,'JURNAL TRANSACTION'!A:A,A105)</f>
        <v>#N/A</v>
      </c>
      <c r="D105" s="13" t="str">
        <f>SUMIFS('JURNAL TRANSACTION'!D:D,'JURNAL TRANSACTION'!A:A,A105)</f>
        <v>#N/A</v>
      </c>
    </row>
    <row r="106" ht="15.75" customHeight="1">
      <c r="A106" s="16" t="str">
        <f>IFERROR(__xludf.DUMMYFUNCTION("""COMPUTED_VALUE"""),"61035-00")</f>
        <v>61035-00</v>
      </c>
      <c r="B106" s="17" t="str">
        <f>IFERROR(__xludf.DUMMYFUNCTION("""COMPUTED_VALUE"""),"Pos &amp; Meterai")</f>
        <v>Pos &amp; Meterai</v>
      </c>
      <c r="C106" s="13" t="str">
        <f>SUMIFS('JURNAL TRANSACTION'!C:C,'JURNAL TRANSACTION'!A:A,A106)</f>
        <v>#N/A</v>
      </c>
      <c r="D106" s="13" t="str">
        <f>SUMIFS('JURNAL TRANSACTION'!D:D,'JURNAL TRANSACTION'!A:A,A106)</f>
        <v>#N/A</v>
      </c>
    </row>
    <row r="107" ht="15.75" customHeight="1">
      <c r="A107" s="16" t="str">
        <f>IFERROR(__xludf.DUMMYFUNCTION("""COMPUTED_VALUE"""),"61040-00")</f>
        <v>61040-00</v>
      </c>
      <c r="B107" s="17" t="str">
        <f>IFERROR(__xludf.DUMMYFUNCTION("""COMPUTED_VALUE"""),"Perjalanan Dinas")</f>
        <v>Perjalanan Dinas</v>
      </c>
      <c r="C107" s="13" t="str">
        <f>SUMIFS('JURNAL TRANSACTION'!C:C,'JURNAL TRANSACTION'!A:A,A107)</f>
        <v>#N/A</v>
      </c>
      <c r="D107" s="13" t="str">
        <f>SUMIFS('JURNAL TRANSACTION'!D:D,'JURNAL TRANSACTION'!A:A,A107)</f>
        <v>#N/A</v>
      </c>
    </row>
    <row r="108" ht="15.75" customHeight="1">
      <c r="A108" s="16" t="str">
        <f>IFERROR(__xludf.DUMMYFUNCTION("""COMPUTED_VALUE"""),"61050-00")</f>
        <v>61050-00</v>
      </c>
      <c r="B108" s="17" t="str">
        <f>IFERROR(__xludf.DUMMYFUNCTION("""COMPUTED_VALUE"""),"Servise Mobil")</f>
        <v>Servise Mobil</v>
      </c>
      <c r="C108" s="13" t="str">
        <f>SUMIFS('JURNAL TRANSACTION'!C:C,'JURNAL TRANSACTION'!A:A,A108)</f>
        <v>#N/A</v>
      </c>
      <c r="D108" s="13" t="str">
        <f>SUMIFS('JURNAL TRANSACTION'!D:D,'JURNAL TRANSACTION'!A:A,A108)</f>
        <v>#N/A</v>
      </c>
    </row>
    <row r="109" ht="15.75" customHeight="1">
      <c r="A109" s="16" t="str">
        <f>IFERROR(__xludf.DUMMYFUNCTION("""COMPUTED_VALUE"""),"61060-00")</f>
        <v>61060-00</v>
      </c>
      <c r="B109" s="25" t="str">
        <f>IFERROR(__xludf.DUMMYFUNCTION("""COMPUTED_VALUE"""),"Perlengkapan Kantor")</f>
        <v>Perlengkapan Kantor</v>
      </c>
      <c r="C109" s="13" t="str">
        <f>SUMIFS('JURNAL TRANSACTION'!C:C,'JURNAL TRANSACTION'!A:A,A109)</f>
        <v>#N/A</v>
      </c>
      <c r="D109" s="13" t="str">
        <f>SUMIFS('JURNAL TRANSACTION'!D:D,'JURNAL TRANSACTION'!A:A,A109)</f>
        <v>#N/A</v>
      </c>
    </row>
    <row r="110" ht="15.75" customHeight="1">
      <c r="A110" s="16" t="str">
        <f>IFERROR(__xludf.DUMMYFUNCTION("""COMPUTED_VALUE"""),"61070-00")</f>
        <v>61070-00</v>
      </c>
      <c r="B110" s="17" t="str">
        <f>IFERROR(__xludf.DUMMYFUNCTION("""COMPUTED_VALUE"""),"Beban Perizinan &amp; Lisensi")</f>
        <v>Beban Perizinan &amp; Lisensi</v>
      </c>
      <c r="C110" s="13" t="str">
        <f>SUMIFS('JURNAL TRANSACTION'!C:C,'JURNAL TRANSACTION'!A:A,A110)</f>
        <v>#N/A</v>
      </c>
      <c r="D110" s="13" t="str">
        <f>SUMIFS('JURNAL TRANSACTION'!D:D,'JURNAL TRANSACTION'!A:A,A110)</f>
        <v>#N/A</v>
      </c>
    </row>
    <row r="111" ht="15.75" customHeight="1">
      <c r="A111" s="16" t="str">
        <f>IFERROR(__xludf.DUMMYFUNCTION("""COMPUTED_VALUE"""),"62000-00")</f>
        <v>62000-00</v>
      </c>
      <c r="B111" s="17" t="str">
        <f>IFERROR(__xludf.DUMMYFUNCTION("""COMPUTED_VALUE"""),"Biaya Sewa")</f>
        <v>Biaya Sewa</v>
      </c>
      <c r="C111" s="13" t="str">
        <f>SUMIFS('JURNAL TRANSACTION'!C:C,'JURNAL TRANSACTION'!A:A,A111)</f>
        <v>#N/A</v>
      </c>
      <c r="D111" s="13" t="str">
        <f>SUMIFS('JURNAL TRANSACTION'!D:D,'JURNAL TRANSACTION'!A:A,A111)</f>
        <v>#N/A</v>
      </c>
    </row>
    <row r="112" ht="15.75" customHeight="1">
      <c r="A112" s="16" t="str">
        <f>IFERROR(__xludf.DUMMYFUNCTION("""COMPUTED_VALUE"""),"62010-00")</f>
        <v>62010-00</v>
      </c>
      <c r="B112" s="17" t="str">
        <f>IFERROR(__xludf.DUMMYFUNCTION("""COMPUTED_VALUE"""),"Beban Pelatihan Karyawan")</f>
        <v>Beban Pelatihan Karyawan</v>
      </c>
      <c r="C112" s="13" t="str">
        <f>SUMIFS('JURNAL TRANSACTION'!C:C,'JURNAL TRANSACTION'!A:A,A112)</f>
        <v>#N/A</v>
      </c>
      <c r="D112" s="13" t="str">
        <f>SUMIFS('JURNAL TRANSACTION'!D:D,'JURNAL TRANSACTION'!A:A,A112)</f>
        <v>#N/A</v>
      </c>
    </row>
    <row r="113" ht="15.75" customHeight="1">
      <c r="A113" s="16" t="str">
        <f>IFERROR(__xludf.DUMMYFUNCTION("""COMPUTED_VALUE"""),"62020-00")</f>
        <v>62020-00</v>
      </c>
      <c r="B113" s="17" t="str">
        <f>IFERROR(__xludf.DUMMYFUNCTION("""COMPUTED_VALUE"""),"Transport")</f>
        <v>Transport</v>
      </c>
      <c r="C113" s="13" t="str">
        <f>SUMIFS('JURNAL TRANSACTION'!C:C,'JURNAL TRANSACTION'!A:A,A113)</f>
        <v>#N/A</v>
      </c>
      <c r="D113" s="13" t="str">
        <f>SUMIFS('JURNAL TRANSACTION'!D:D,'JURNAL TRANSACTION'!A:A,A113)</f>
        <v>#N/A</v>
      </c>
    </row>
    <row r="114" ht="15.75" customHeight="1">
      <c r="A114" s="16" t="str">
        <f>IFERROR(__xludf.DUMMYFUNCTION("""COMPUTED_VALUE"""),"62030-00")</f>
        <v>62030-00</v>
      </c>
      <c r="B114" s="26" t="str">
        <f>IFERROR(__xludf.DUMMYFUNCTION("""COMPUTED_VALUE"""),"beban profesional fee")</f>
        <v>beban profesional fee</v>
      </c>
      <c r="C114" s="13" t="str">
        <f>SUMIFS('JURNAL TRANSACTION'!C:C,'JURNAL TRANSACTION'!A:A,A114)</f>
        <v>#N/A</v>
      </c>
      <c r="D114" s="13" t="str">
        <f>SUMIFS('JURNAL TRANSACTION'!D:D,'JURNAL TRANSACTION'!A:A,A114)</f>
        <v>#N/A</v>
      </c>
    </row>
    <row r="115" ht="15.75" customHeight="1">
      <c r="A115" s="15" t="str">
        <f>IFERROR(__xludf.DUMMYFUNCTION("""COMPUTED_VALUE"""),"62040-00")</f>
        <v>62040-00</v>
      </c>
      <c r="B115" s="15" t="str">
        <f>IFERROR(__xludf.DUMMYFUNCTION("""COMPUTED_VALUE"""),"Donation")</f>
        <v>Donation</v>
      </c>
      <c r="C115" s="13" t="str">
        <f>SUMIFS('JURNAL TRANSACTION'!C:C,'JURNAL TRANSACTION'!A:A,A115)</f>
        <v>#N/A</v>
      </c>
      <c r="D115" s="13" t="str">
        <f>SUMIFS('JURNAL TRANSACTION'!D:D,'JURNAL TRANSACTION'!A:A,A115)</f>
        <v>#N/A</v>
      </c>
    </row>
    <row r="116" ht="15.75" customHeight="1">
      <c r="A116" s="15" t="str">
        <f>IFERROR(__xludf.DUMMYFUNCTION("""COMPUTED_VALUE"""),"63000-00")</f>
        <v>63000-00</v>
      </c>
      <c r="B116" s="15" t="str">
        <f>IFERROR(__xludf.DUMMYFUNCTION("""COMPUTED_VALUE"""),"Entertainment")</f>
        <v>Entertainment</v>
      </c>
      <c r="C116" s="13" t="str">
        <f>SUMIFS('JURNAL TRANSACTION'!C:C,'JURNAL TRANSACTION'!A:A,A116)</f>
        <v>#N/A</v>
      </c>
      <c r="D116" s="13" t="str">
        <f>SUMIFS('JURNAL TRANSACTION'!D:D,'JURNAL TRANSACTION'!A:A,A116)</f>
        <v>#N/A</v>
      </c>
    </row>
    <row r="117" ht="15.75" customHeight="1">
      <c r="A117" s="15" t="str">
        <f>IFERROR(__xludf.DUMMYFUNCTION("""COMPUTED_VALUE"""),"63010-00")</f>
        <v>63010-00</v>
      </c>
      <c r="B117" s="15" t="str">
        <f>IFERROR(__xludf.DUMMYFUNCTION("""COMPUTED_VALUE"""),"Repair &amp; Maintenance")</f>
        <v>Repair &amp; Maintenance</v>
      </c>
      <c r="C117" s="13" t="str">
        <f>SUMIFS('JURNAL TRANSACTION'!C:C,'JURNAL TRANSACTION'!A:A,A117)</f>
        <v>#N/A</v>
      </c>
      <c r="D117" s="13" t="str">
        <f>SUMIFS('JURNAL TRANSACTION'!D:D,'JURNAL TRANSACTION'!A:A,A117)</f>
        <v>#N/A</v>
      </c>
    </row>
    <row r="118" ht="15.75" customHeight="1">
      <c r="A118" s="15" t="str">
        <f>IFERROR(__xludf.DUMMYFUNCTION("""COMPUTED_VALUE"""),"63020-00")</f>
        <v>63020-00</v>
      </c>
      <c r="B118" s="17" t="str">
        <f>IFERROR(__xludf.DUMMYFUNCTION("""COMPUTED_VALUE"""),"Catering")</f>
        <v>Catering</v>
      </c>
      <c r="C118" s="13" t="str">
        <f>SUMIFS('JURNAL TRANSACTION'!C:C,'JURNAL TRANSACTION'!A:A,A118)</f>
        <v>#N/A</v>
      </c>
      <c r="D118" s="13" t="str">
        <f>SUMIFS('JURNAL TRANSACTION'!D:D,'JURNAL TRANSACTION'!A:A,A118)</f>
        <v>#N/A</v>
      </c>
    </row>
    <row r="119" ht="15.75" customHeight="1">
      <c r="A119" s="15" t="str">
        <f>IFERROR(__xludf.DUMMYFUNCTION("""COMPUTED_VALUE"""),"63030-00")</f>
        <v>63030-00</v>
      </c>
      <c r="B119" s="17" t="str">
        <f>IFERROR(__xludf.DUMMYFUNCTION("""COMPUTED_VALUE"""),"Biaya lain-lain")</f>
        <v>Biaya lain-lain</v>
      </c>
      <c r="C119" s="13" t="str">
        <f>SUMIFS('JURNAL TRANSACTION'!C:C,'JURNAL TRANSACTION'!A:A,A119)</f>
        <v>#N/A</v>
      </c>
      <c r="D119" s="13" t="str">
        <f>SUMIFS('JURNAL TRANSACTION'!D:D,'JURNAL TRANSACTION'!A:A,A119)</f>
        <v>#N/A</v>
      </c>
    </row>
    <row r="120" ht="15.75" customHeight="1">
      <c r="A120" s="15" t="str">
        <f>IFERROR(__xludf.DUMMYFUNCTION("""COMPUTED_VALUE"""),"64000-00")</f>
        <v>64000-00</v>
      </c>
      <c r="B120" s="17" t="str">
        <f>IFERROR(__xludf.DUMMYFUNCTION("""COMPUTED_VALUE"""),"Depreciation Expenses")</f>
        <v>Depreciation Expenses</v>
      </c>
      <c r="C120" s="13" t="str">
        <f>SUMIFS('JURNAL TRANSACTION'!C:C,'JURNAL TRANSACTION'!A:A,A120)</f>
        <v>#N/A</v>
      </c>
      <c r="D120" s="13" t="str">
        <f>SUMIFS('JURNAL TRANSACTION'!D:D,'JURNAL TRANSACTION'!A:A,A120)</f>
        <v>#N/A</v>
      </c>
    </row>
    <row r="121" ht="15.75" customHeight="1">
      <c r="A121" s="15" t="str">
        <f>IFERROR(__xludf.DUMMYFUNCTION("""COMPUTED_VALUE"""),"64010-00")</f>
        <v>64010-00</v>
      </c>
      <c r="B121" s="17" t="str">
        <f>IFERROR(__xludf.DUMMYFUNCTION("""COMPUTED_VALUE"""),"Depresiasi Bangunan")</f>
        <v>Depresiasi Bangunan</v>
      </c>
      <c r="C121" s="13" t="str">
        <f>SUMIFS('JURNAL TRANSACTION'!C:C,'JURNAL TRANSACTION'!A:A,A121)</f>
        <v>#N/A</v>
      </c>
      <c r="D121" s="13" t="str">
        <f>SUMIFS('JURNAL TRANSACTION'!D:D,'JURNAL TRANSACTION'!A:A,A121)</f>
        <v>#N/A</v>
      </c>
    </row>
    <row r="122" ht="15.75" customHeight="1">
      <c r="A122" s="15" t="str">
        <f>IFERROR(__xludf.DUMMYFUNCTION("""COMPUTED_VALUE"""),"64020-00")</f>
        <v>64020-00</v>
      </c>
      <c r="B122" s="15" t="str">
        <f>IFERROR(__xludf.DUMMYFUNCTION("""COMPUTED_VALUE"""),"Depresiasi Kendaraan")</f>
        <v>Depresiasi Kendaraan</v>
      </c>
      <c r="C122" s="13" t="str">
        <f>SUMIFS('JURNAL TRANSACTION'!C:C,'JURNAL TRANSACTION'!A:A,A122)</f>
        <v>#N/A</v>
      </c>
      <c r="D122" s="13" t="str">
        <f>SUMIFS('JURNAL TRANSACTION'!D:D,'JURNAL TRANSACTION'!A:A,A122)</f>
        <v>#N/A</v>
      </c>
    </row>
    <row r="123" ht="15.75" customHeight="1">
      <c r="A123" s="15" t="str">
        <f>IFERROR(__xludf.DUMMYFUNCTION("""COMPUTED_VALUE"""),"64030-00")</f>
        <v>64030-00</v>
      </c>
      <c r="B123" s="17" t="str">
        <f>IFERROR(__xludf.DUMMYFUNCTION("""COMPUTED_VALUE"""),"Depresiasi Inventaris")</f>
        <v>Depresiasi Inventaris</v>
      </c>
      <c r="C123" s="13" t="str">
        <f>SUMIFS('JURNAL TRANSACTION'!C:C,'JURNAL TRANSACTION'!A:A,A123)</f>
        <v>#N/A</v>
      </c>
      <c r="D123" s="13" t="str">
        <f>SUMIFS('JURNAL TRANSACTION'!D:D,'JURNAL TRANSACTION'!A:A,A123)</f>
        <v>#N/A</v>
      </c>
    </row>
    <row r="124" ht="15.75" customHeight="1">
      <c r="A124" s="15" t="str">
        <f>IFERROR(__xludf.DUMMYFUNCTION("""COMPUTED_VALUE"""),"64040-00")</f>
        <v>64040-00</v>
      </c>
      <c r="B124" s="17" t="str">
        <f>IFERROR(__xludf.DUMMYFUNCTION("""COMPUTED_VALUE"""),"Depresiasi Perlengkapan")</f>
        <v>Depresiasi Perlengkapan</v>
      </c>
      <c r="C124" s="13" t="str">
        <f>SUMIFS('JURNAL TRANSACTION'!C:C,'JURNAL TRANSACTION'!A:A,A124)</f>
        <v>#N/A</v>
      </c>
      <c r="D124" s="13" t="str">
        <f>SUMIFS('JURNAL TRANSACTION'!D:D,'JURNAL TRANSACTION'!A:A,A124)</f>
        <v>#N/A</v>
      </c>
    </row>
    <row r="125" ht="15.75" customHeight="1">
      <c r="A125" s="16" t="str">
        <f>IFERROR(__xludf.DUMMYFUNCTION("""COMPUTED_VALUE"""),"69000-00")</f>
        <v>69000-00</v>
      </c>
      <c r="B125" s="17" t="str">
        <f>IFERROR(__xludf.DUMMYFUNCTION("""COMPUTED_VALUE"""),"Marketing")</f>
        <v>Marketing</v>
      </c>
      <c r="C125" s="13" t="str">
        <f>SUMIFS('JURNAL TRANSACTION'!C:C,'JURNAL TRANSACTION'!A:A,A125)</f>
        <v>#N/A</v>
      </c>
      <c r="D125" s="13" t="str">
        <f>SUMIFS('JURNAL TRANSACTION'!D:D,'JURNAL TRANSACTION'!A:A,A125)</f>
        <v>#N/A</v>
      </c>
    </row>
    <row r="126" ht="15.75" customHeight="1">
      <c r="A126" s="14" t="str">
        <f>IFERROR(__xludf.DUMMYFUNCTION("""COMPUTED_VALUE"""),"79050-00")</f>
        <v>79050-00</v>
      </c>
      <c r="B126" s="15" t="str">
        <f>IFERROR(__xludf.DUMMYFUNCTION("""COMPUTED_VALUE"""),"Others Expenses")</f>
        <v>Others Expenses</v>
      </c>
      <c r="C126" s="13" t="str">
        <f>SUMIFS('JURNAL TRANSACTION'!C:C,'JURNAL TRANSACTION'!A:A,A126)</f>
        <v>#N/A</v>
      </c>
      <c r="D126" s="13" t="str">
        <f>SUMIFS('JURNAL TRANSACTION'!D:D,'JURNAL TRANSACTION'!A:A,A126)</f>
        <v>#N/A</v>
      </c>
    </row>
    <row r="127" ht="15.75" customHeight="1">
      <c r="A127" s="16" t="str">
        <f>IFERROR(__xludf.DUMMYFUNCTION("""COMPUTED_VALUE"""),"79060-00")</f>
        <v>79060-00</v>
      </c>
      <c r="B127" s="17" t="str">
        <f>IFERROR(__xludf.DUMMYFUNCTION("""COMPUTED_VALUE"""),"Licences")</f>
        <v>Licences</v>
      </c>
      <c r="C127" s="13" t="str">
        <f>SUMIFS('JURNAL TRANSACTION'!C:C,'JURNAL TRANSACTION'!A:A,A127)</f>
        <v>#N/A</v>
      </c>
      <c r="D127" s="13" t="str">
        <f>SUMIFS('JURNAL TRANSACTION'!D:D,'JURNAL TRANSACTION'!A:A,A127)</f>
        <v>#N/A</v>
      </c>
    </row>
    <row r="128" ht="15.75" customHeight="1">
      <c r="A128" s="16" t="str">
        <f>IFERROR(__xludf.DUMMYFUNCTION("""COMPUTED_VALUE"""),"79070-00")</f>
        <v>79070-00</v>
      </c>
      <c r="B128" s="17" t="str">
        <f>IFERROR(__xludf.DUMMYFUNCTION("""COMPUTED_VALUE"""),"manajemen fee")</f>
        <v>manajemen fee</v>
      </c>
      <c r="C128" s="13" t="str">
        <f>SUMIFS('JURNAL TRANSACTION'!C:C,'JURNAL TRANSACTION'!A:A,A128)</f>
        <v>#N/A</v>
      </c>
      <c r="D128" s="13" t="str">
        <f>SUMIFS('JURNAL TRANSACTION'!D:D,'JURNAL TRANSACTION'!A:A,A128)</f>
        <v>#N/A</v>
      </c>
    </row>
    <row r="129" ht="15.75" customHeight="1">
      <c r="A129" s="16" t="str">
        <f>IFERROR(__xludf.DUMMYFUNCTION("""COMPUTED_VALUE"""),"79080-00")</f>
        <v>79080-00</v>
      </c>
      <c r="B129" s="17" t="str">
        <f>IFERROR(__xludf.DUMMYFUNCTION("""COMPUTED_VALUE"""),"Bank Charges")</f>
        <v>Bank Charges</v>
      </c>
      <c r="C129" s="13" t="str">
        <f>SUMIFS('JURNAL TRANSACTION'!C:C,'JURNAL TRANSACTION'!A:A,A129)</f>
        <v>#N/A</v>
      </c>
      <c r="D129" s="13" t="str">
        <f>SUMIFS('JURNAL TRANSACTION'!D:D,'JURNAL TRANSACTION'!A:A,A129)</f>
        <v>#N/A</v>
      </c>
    </row>
    <row r="130" ht="15.75" customHeight="1">
      <c r="A130" s="16" t="str">
        <f>IFERROR(__xludf.DUMMYFUNCTION("""COMPUTED_VALUE"""),"79090-00")</f>
        <v>79090-00</v>
      </c>
      <c r="B130" s="17" t="str">
        <f>IFERROR(__xludf.DUMMYFUNCTION("""COMPUTED_VALUE"""),"Beban lain-lain")</f>
        <v>Beban lain-lain</v>
      </c>
      <c r="C130" s="13" t="str">
        <f>SUMIFS('JURNAL TRANSACTION'!C:C,'JURNAL TRANSACTION'!A:A,A130)</f>
        <v>#N/A</v>
      </c>
      <c r="D130" s="13" t="str">
        <f>SUMIFS('JURNAL TRANSACTION'!D:D,'JURNAL TRANSACTION'!A:A,A130)</f>
        <v>#N/A</v>
      </c>
    </row>
    <row r="131" ht="15.75" customHeight="1">
      <c r="A131" s="16" t="str">
        <f>IFERROR(__xludf.DUMMYFUNCTION("""COMPUTED_VALUE"""),"80000-00")</f>
        <v>80000-00</v>
      </c>
      <c r="B131" s="17" t="str">
        <f>IFERROR(__xludf.DUMMYFUNCTION("""COMPUTED_VALUE"""),"Others Income")</f>
        <v>Others Income</v>
      </c>
      <c r="C131" s="13" t="str">
        <f>SUMIFS('JURNAL TRANSACTION'!C:C,'JURNAL TRANSACTION'!A:A,A131)</f>
        <v>#N/A</v>
      </c>
      <c r="D131" s="13" t="str">
        <f>SUMIFS('JURNAL TRANSACTION'!D:D,'JURNAL TRANSACTION'!A:A,A131)</f>
        <v>#N/A</v>
      </c>
    </row>
    <row r="132" ht="15.75" customHeight="1">
      <c r="A132" s="24" t="str">
        <f>IFERROR(__xludf.DUMMYFUNCTION("""COMPUTED_VALUE"""),"80010-00")</f>
        <v>80010-00</v>
      </c>
      <c r="B132" s="25" t="str">
        <f>IFERROR(__xludf.DUMMYFUNCTION("""COMPUTED_VALUE"""),"Interest Income Deposit")</f>
        <v>Interest Income Deposit</v>
      </c>
      <c r="C132" s="13" t="str">
        <f>SUMIFS('JURNAL TRANSACTION'!C:C,'JURNAL TRANSACTION'!A:A,A132)</f>
        <v>#N/A</v>
      </c>
      <c r="D132" s="13" t="str">
        <f>SUMIFS('JURNAL TRANSACTION'!D:D,'JURNAL TRANSACTION'!A:A,A132)</f>
        <v>#N/A</v>
      </c>
    </row>
    <row r="133" ht="15.75" customHeight="1">
      <c r="A133" s="16" t="str">
        <f>IFERROR(__xludf.DUMMYFUNCTION("""COMPUTED_VALUE"""),"80020-00")</f>
        <v>80020-00</v>
      </c>
      <c r="B133" s="17" t="str">
        <f>IFERROR(__xludf.DUMMYFUNCTION("""COMPUTED_VALUE"""),"Interest Expenses")</f>
        <v>Interest Expenses</v>
      </c>
      <c r="C133" s="13" t="str">
        <f>SUMIFS('JURNAL TRANSACTION'!C:C,'JURNAL TRANSACTION'!A:A,A133)</f>
        <v>#N/A</v>
      </c>
      <c r="D133" s="13" t="str">
        <f>SUMIFS('JURNAL TRANSACTION'!D:D,'JURNAL TRANSACTION'!A:A,A133)</f>
        <v>#N/A</v>
      </c>
    </row>
    <row r="134" ht="15.75" customHeight="1">
      <c r="A134" s="16" t="str">
        <f>IFERROR(__xludf.DUMMYFUNCTION("""COMPUTED_VALUE"""),"80030-00")</f>
        <v>80030-00</v>
      </c>
      <c r="B134" s="17" t="str">
        <f>IFERROR(__xludf.DUMMYFUNCTION("""COMPUTED_VALUE"""),"Pendapatan lain-lain")</f>
        <v>Pendapatan lain-lain</v>
      </c>
      <c r="C134" s="13" t="str">
        <f>SUMIFS('JURNAL TRANSACTION'!C:C,'JURNAL TRANSACTION'!A:A,A134)</f>
        <v>#N/A</v>
      </c>
      <c r="D134" s="13" t="str">
        <f>SUMIFS('JURNAL TRANSACTION'!D:D,'JURNAL TRANSACTION'!A:A,A134)</f>
        <v>#N/A</v>
      </c>
    </row>
    <row r="135" ht="15.75" customHeight="1">
      <c r="A135" s="16" t="str">
        <f>IFERROR(__xludf.DUMMYFUNCTION("""COMPUTED_VALUE"""),"85010-00")</f>
        <v>85010-00</v>
      </c>
      <c r="B135" s="17" t="str">
        <f>IFERROR(__xludf.DUMMYFUNCTION("""COMPUTED_VALUE"""),"PL Forex")</f>
        <v>PL Forex</v>
      </c>
      <c r="C135" s="13" t="str">
        <f>SUMIFS('JURNAL TRANSACTION'!C:C,'JURNAL TRANSACTION'!A:A,A135)</f>
        <v>#N/A</v>
      </c>
      <c r="D135" s="13" t="str">
        <f>SUMIFS('JURNAL TRANSACTION'!D:D,'JURNAL TRANSACTION'!A:A,A135)</f>
        <v>#N/A</v>
      </c>
    </row>
    <row r="136" ht="15.75" customHeight="1">
      <c r="A136" s="16" t="str">
        <f>IFERROR(__xludf.DUMMYFUNCTION("""COMPUTED_VALUE"""),"85020-00")</f>
        <v>85020-00</v>
      </c>
      <c r="B136" s="17" t="str">
        <f>IFERROR(__xludf.DUMMYFUNCTION("""COMPUTED_VALUE"""),"PL of Disposal FA")</f>
        <v>PL of Disposal FA</v>
      </c>
      <c r="C136" s="13" t="str">
        <f>SUMIFS('JURNAL TRANSACTION'!C:C,'JURNAL TRANSACTION'!A:A,A136)</f>
        <v>#N/A</v>
      </c>
      <c r="D136" s="13" t="str">
        <f>SUMIFS('JURNAL TRANSACTION'!D:D,'JURNAL TRANSACTION'!A:A,A136)</f>
        <v>#N/A</v>
      </c>
    </row>
    <row r="137" ht="15.75" customHeight="1">
      <c r="A137" s="24" t="str">
        <f>IFERROR(__xludf.DUMMYFUNCTION("""COMPUTED_VALUE"""),"85025-00")</f>
        <v>85025-00</v>
      </c>
      <c r="B137" s="25" t="str">
        <f>IFERROR(__xludf.DUMMYFUNCTION("""COMPUTED_VALUE"""),"Tax Pinalty")</f>
        <v>Tax Pinalty</v>
      </c>
      <c r="C137" s="13" t="str">
        <f>SUMIFS('JURNAL TRANSACTION'!C:C,'JURNAL TRANSACTION'!A:A,A137)</f>
        <v>#N/A</v>
      </c>
      <c r="D137" s="13" t="str">
        <f>SUMIFS('JURNAL TRANSACTION'!D:D,'JURNAL TRANSACTION'!A:A,A137)</f>
        <v>#N/A</v>
      </c>
    </row>
    <row r="138" ht="15.75" customHeight="1">
      <c r="A138" s="24" t="str">
        <f>IFERROR(__xludf.DUMMYFUNCTION("""COMPUTED_VALUE"""),"85040-00")</f>
        <v>85040-00</v>
      </c>
      <c r="B138" s="25" t="str">
        <f>IFERROR(__xludf.DUMMYFUNCTION("""COMPUTED_VALUE"""),"Rounding")</f>
        <v>Rounding</v>
      </c>
      <c r="C138" s="13" t="str">
        <f>SUMIFS('JURNAL TRANSACTION'!C:C,'JURNAL TRANSACTION'!A:A,A138)</f>
        <v>#N/A</v>
      </c>
      <c r="D138" s="13" t="str">
        <f>SUMIFS('JURNAL TRANSACTION'!D:D,'JURNAL TRANSACTION'!A:A,A138)</f>
        <v>#N/A</v>
      </c>
    </row>
    <row r="139" ht="15.75" customHeight="1">
      <c r="A139" s="16" t="str">
        <f>IFERROR(__xludf.DUMMYFUNCTION("""COMPUTED_VALUE"""),"90010-00")</f>
        <v>90010-00</v>
      </c>
      <c r="B139" s="17" t="str">
        <f>IFERROR(__xludf.DUMMYFUNCTION("""COMPUTED_VALUE"""),"Provision for income Tax")</f>
        <v>Provision for income Tax</v>
      </c>
      <c r="C139" s="13" t="str">
        <f>SUMIFS('JURNAL TRANSACTION'!C:C,'JURNAL TRANSACTION'!A:A,A139)</f>
        <v>#N/A</v>
      </c>
      <c r="D139" s="13" t="str">
        <f>SUMIFS('JURNAL TRANSACTION'!D:D,'JURNAL TRANSACTION'!A:A,A139)</f>
        <v>#N/A</v>
      </c>
    </row>
    <row r="140" ht="15.75" customHeight="1">
      <c r="A140" s="16"/>
      <c r="B140" s="17"/>
      <c r="C140" s="13">
        <f>SUMIFS('JURNAL TRANSACTION'!C:C,'JURNAL TRANSACTION'!A:A,A140)</f>
        <v>0</v>
      </c>
      <c r="D140" s="13">
        <f>SUMIFS('JURNAL TRANSACTION'!D:D,'JURNAL TRANSACTION'!A:A,A140)</f>
        <v>0</v>
      </c>
    </row>
    <row r="141" ht="15.75" customHeight="1">
      <c r="A141" s="16"/>
      <c r="B141" s="17"/>
      <c r="C141" s="13">
        <f>SUMIFS('JURNAL TRANSACTION'!C:C,'JURNAL TRANSACTION'!A:A,A141)</f>
        <v>0</v>
      </c>
      <c r="D141" s="13">
        <f>SUMIFS('JURNAL TRANSACTION'!D:D,'JURNAL TRANSACTION'!A:A,A141)</f>
        <v>0</v>
      </c>
    </row>
    <row r="142" ht="15.75" customHeight="1">
      <c r="A142" s="16"/>
      <c r="B142" s="17"/>
      <c r="C142" s="13">
        <f>SUMIFS('JURNAL TRANSACTION'!C:C,'JURNAL TRANSACTION'!A:A,A142)</f>
        <v>0</v>
      </c>
      <c r="D142" s="13">
        <f>SUMIFS('JURNAL TRANSACTION'!D:D,'JURNAL TRANSACTION'!A:A,A142)</f>
        <v>0</v>
      </c>
    </row>
    <row r="143" ht="15.75" customHeight="1">
      <c r="A143" s="16"/>
      <c r="B143" s="17"/>
      <c r="C143" s="13">
        <f>SUMIFS('JURNAL TRANSACTION'!C:C,'JURNAL TRANSACTION'!A:A,A143)</f>
        <v>0</v>
      </c>
      <c r="D143" s="13">
        <f>SUMIFS('JURNAL TRANSACTION'!D:D,'JURNAL TRANSACTION'!A:A,A143)</f>
        <v>0</v>
      </c>
    </row>
    <row r="144" ht="15.75" customHeight="1">
      <c r="A144" s="16"/>
      <c r="B144" s="17"/>
      <c r="C144" s="13">
        <f>SUMIFS('JURNAL TRANSACTION'!C:C,'JURNAL TRANSACTION'!A:A,A144)</f>
        <v>0</v>
      </c>
      <c r="D144" s="13">
        <f>SUMIFS('JURNAL TRANSACTION'!D:D,'JURNAL TRANSACTION'!A:A,A144)</f>
        <v>0</v>
      </c>
    </row>
    <row r="145" ht="15.75" customHeight="1">
      <c r="A145" s="16"/>
      <c r="B145" s="17"/>
      <c r="C145" s="13">
        <f>SUMIFS('JURNAL TRANSACTION'!C:C,'JURNAL TRANSACTION'!A:A,A145)</f>
        <v>0</v>
      </c>
      <c r="D145" s="13">
        <f>SUMIFS('JURNAL TRANSACTION'!D:D,'JURNAL TRANSACTION'!A:A,A145)</f>
        <v>0</v>
      </c>
    </row>
    <row r="146" ht="15.75" customHeight="1">
      <c r="A146" s="16"/>
      <c r="B146" s="17"/>
      <c r="C146" s="13">
        <f>SUMIFS('JURNAL TRANSACTION'!C:C,'JURNAL TRANSACTION'!A:A,A146)</f>
        <v>0</v>
      </c>
      <c r="D146" s="13">
        <f>SUMIFS('JURNAL TRANSACTION'!D:D,'JURNAL TRANSACTION'!A:A,A146)</f>
        <v>0</v>
      </c>
    </row>
    <row r="147" ht="15.75" customHeight="1">
      <c r="A147" s="23"/>
      <c r="B147" s="23"/>
      <c r="C147" s="13"/>
      <c r="D147" s="13"/>
    </row>
    <row r="148" ht="15.75" customHeight="1">
      <c r="A148" s="23"/>
      <c r="B148" s="23"/>
      <c r="C148" s="13"/>
      <c r="D148" s="13"/>
    </row>
    <row r="149" ht="15.75" customHeight="1">
      <c r="A149" s="27"/>
      <c r="B149" s="27"/>
      <c r="C149" s="28" t="str">
        <f t="shared" ref="C149:D149" si="1">SUM(C9:C148)</f>
        <v>#N/A</v>
      </c>
      <c r="D149" s="28" t="str">
        <f t="shared" si="1"/>
        <v>#N/A</v>
      </c>
    </row>
    <row r="150" ht="15.75" customHeight="1">
      <c r="A150" s="29"/>
      <c r="B150" s="29"/>
      <c r="C150" s="30" t="str">
        <f>C149-D149</f>
        <v>#N/A</v>
      </c>
      <c r="D150" s="31"/>
      <c r="E150" s="1" t="s">
        <v>7</v>
      </c>
    </row>
    <row r="151" ht="15.75" customHeight="1">
      <c r="A151" s="32"/>
      <c r="B151" s="32"/>
    </row>
    <row r="152" ht="15.75" customHeight="1">
      <c r="A152" s="32"/>
      <c r="B152" s="32"/>
    </row>
    <row r="153" ht="15.75" customHeight="1">
      <c r="A153" s="32"/>
      <c r="B153" s="32"/>
    </row>
    <row r="154" ht="15.75" customHeight="1">
      <c r="A154" s="32"/>
      <c r="B154" s="32"/>
    </row>
    <row r="155" ht="15.75" customHeight="1">
      <c r="A155" s="32"/>
      <c r="B155" s="32"/>
    </row>
    <row r="156" ht="15.75" customHeight="1">
      <c r="A156" s="32"/>
      <c r="B156" s="32"/>
    </row>
    <row r="157" ht="15.75" customHeight="1">
      <c r="A157" s="32"/>
      <c r="B157" s="32"/>
    </row>
    <row r="158" ht="15.75" customHeight="1">
      <c r="A158" s="32"/>
      <c r="B158" s="32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3.38"/>
    <col customWidth="1" min="3" max="3" width="29.13"/>
  </cols>
  <sheetData>
    <row r="1" ht="15.75" customHeight="1">
      <c r="A1" s="33"/>
      <c r="B1" s="34"/>
      <c r="C1" s="34"/>
    </row>
    <row r="2" ht="15.75" customHeight="1">
      <c r="A2" s="33" t="s">
        <v>8</v>
      </c>
      <c r="B2" s="34"/>
      <c r="C2" s="34"/>
    </row>
    <row r="3" ht="15.75" customHeight="1">
      <c r="A3" s="33" t="s">
        <v>9</v>
      </c>
      <c r="B3" s="35"/>
      <c r="C3" s="35"/>
    </row>
    <row r="4" ht="15.75" customHeight="1">
      <c r="A4" s="36" t="s">
        <v>10</v>
      </c>
      <c r="B4" s="37" t="s">
        <v>1</v>
      </c>
      <c r="C4" s="37" t="s">
        <v>11</v>
      </c>
    </row>
    <row r="5" ht="15.75" customHeight="1">
      <c r="A5" s="38">
        <v>10000.0</v>
      </c>
      <c r="B5" s="39" t="s">
        <v>12</v>
      </c>
      <c r="C5" s="40"/>
    </row>
    <row r="6" ht="15.75" customHeight="1">
      <c r="A6" s="38">
        <v>11000.0</v>
      </c>
      <c r="B6" s="39" t="s">
        <v>13</v>
      </c>
      <c r="C6" s="40"/>
    </row>
    <row r="7" ht="15.75" customHeight="1">
      <c r="A7" s="38">
        <v>11100.0</v>
      </c>
      <c r="B7" s="39" t="s">
        <v>14</v>
      </c>
      <c r="C7" s="40"/>
    </row>
    <row r="8" ht="15.75" customHeight="1">
      <c r="A8" s="38">
        <v>11110.0</v>
      </c>
      <c r="B8" s="39" t="s">
        <v>15</v>
      </c>
      <c r="C8" s="40"/>
    </row>
    <row r="9" ht="15.75" customHeight="1">
      <c r="A9" s="41"/>
      <c r="B9" s="40"/>
      <c r="C9" s="40"/>
    </row>
    <row r="10" ht="15.75" customHeight="1">
      <c r="A10" s="41"/>
      <c r="B10" s="40"/>
      <c r="C10" s="40"/>
    </row>
    <row r="11" ht="15.75" customHeight="1">
      <c r="A11" s="41" t="s">
        <v>16</v>
      </c>
      <c r="B11" s="40" t="s">
        <v>17</v>
      </c>
      <c r="C11" s="40" t="s">
        <v>14</v>
      </c>
    </row>
    <row r="12" ht="15.75" customHeight="1">
      <c r="A12" s="42" t="s">
        <v>18</v>
      </c>
      <c r="B12" s="43" t="s">
        <v>19</v>
      </c>
      <c r="C12" s="40" t="s">
        <v>14</v>
      </c>
    </row>
    <row r="13" ht="15.75" customHeight="1">
      <c r="A13" s="41" t="s">
        <v>20</v>
      </c>
      <c r="B13" s="40" t="s">
        <v>21</v>
      </c>
      <c r="C13" s="40" t="s">
        <v>14</v>
      </c>
    </row>
    <row r="14" ht="15.75" customHeight="1">
      <c r="A14" s="41" t="s">
        <v>22</v>
      </c>
      <c r="B14" s="44" t="s">
        <v>23</v>
      </c>
      <c r="C14" s="44" t="s">
        <v>14</v>
      </c>
      <c r="D14" s="45"/>
    </row>
    <row r="15" ht="15.75" customHeight="1">
      <c r="A15" s="41" t="s">
        <v>24</v>
      </c>
      <c r="B15" s="40" t="s">
        <v>25</v>
      </c>
      <c r="C15" s="44" t="s">
        <v>14</v>
      </c>
      <c r="D15" s="46"/>
    </row>
    <row r="16" ht="15.75" customHeight="1">
      <c r="A16" s="41" t="s">
        <v>26</v>
      </c>
      <c r="B16" s="40" t="s">
        <v>27</v>
      </c>
      <c r="C16" s="44" t="s">
        <v>14</v>
      </c>
      <c r="D16" s="46"/>
    </row>
    <row r="17" ht="15.75" customHeight="1">
      <c r="A17" s="41" t="s">
        <v>28</v>
      </c>
      <c r="B17" s="40" t="s">
        <v>29</v>
      </c>
      <c r="C17" s="40" t="s">
        <v>14</v>
      </c>
    </row>
    <row r="18" ht="15.75" customHeight="1">
      <c r="A18" s="38" t="s">
        <v>30</v>
      </c>
      <c r="B18" s="39" t="s">
        <v>31</v>
      </c>
      <c r="C18" s="40"/>
    </row>
    <row r="19" ht="15.75" customHeight="1">
      <c r="A19" s="41" t="s">
        <v>32</v>
      </c>
      <c r="B19" s="40" t="s">
        <v>33</v>
      </c>
      <c r="C19" s="40" t="s">
        <v>33</v>
      </c>
    </row>
    <row r="20" ht="15.75" customHeight="1">
      <c r="A20" s="38" t="s">
        <v>34</v>
      </c>
      <c r="B20" s="39" t="s">
        <v>35</v>
      </c>
      <c r="C20" s="40" t="s">
        <v>36</v>
      </c>
    </row>
    <row r="21" ht="15.75" customHeight="1">
      <c r="A21" s="41" t="s">
        <v>37</v>
      </c>
      <c r="B21" s="40" t="s">
        <v>38</v>
      </c>
      <c r="C21" s="40" t="s">
        <v>36</v>
      </c>
    </row>
    <row r="22" ht="15.75" customHeight="1">
      <c r="A22" s="41" t="s">
        <v>39</v>
      </c>
      <c r="B22" s="40" t="s">
        <v>40</v>
      </c>
      <c r="C22" s="40" t="s">
        <v>36</v>
      </c>
    </row>
    <row r="23" ht="15.75" customHeight="1">
      <c r="A23" s="41" t="s">
        <v>41</v>
      </c>
      <c r="B23" s="40" t="s">
        <v>42</v>
      </c>
      <c r="C23" s="40" t="s">
        <v>43</v>
      </c>
    </row>
    <row r="24" ht="15.75" customHeight="1">
      <c r="A24" s="41" t="s">
        <v>44</v>
      </c>
      <c r="B24" s="40" t="s">
        <v>45</v>
      </c>
      <c r="C24" s="40"/>
    </row>
    <row r="25" ht="15.75" customHeight="1">
      <c r="A25" s="41" t="s">
        <v>46</v>
      </c>
      <c r="B25" s="40" t="s">
        <v>47</v>
      </c>
      <c r="C25" s="40" t="s">
        <v>45</v>
      </c>
    </row>
    <row r="26" ht="15.75" customHeight="1">
      <c r="A26" s="41" t="s">
        <v>48</v>
      </c>
      <c r="B26" s="40" t="s">
        <v>49</v>
      </c>
      <c r="C26" s="40" t="s">
        <v>45</v>
      </c>
    </row>
    <row r="27" ht="15.75" customHeight="1">
      <c r="A27" s="41" t="s">
        <v>50</v>
      </c>
      <c r="B27" s="40" t="s">
        <v>51</v>
      </c>
      <c r="C27" s="40"/>
    </row>
    <row r="28" ht="15.75" customHeight="1">
      <c r="A28" s="41" t="s">
        <v>52</v>
      </c>
      <c r="B28" s="40" t="s">
        <v>53</v>
      </c>
      <c r="C28" s="40" t="s">
        <v>54</v>
      </c>
    </row>
    <row r="29" ht="15.75" customHeight="1">
      <c r="A29" s="41" t="s">
        <v>55</v>
      </c>
      <c r="B29" s="40" t="s">
        <v>56</v>
      </c>
      <c r="C29" s="40" t="s">
        <v>54</v>
      </c>
    </row>
    <row r="30" ht="15.75" customHeight="1">
      <c r="A30" s="41" t="s">
        <v>57</v>
      </c>
      <c r="B30" s="40" t="s">
        <v>58</v>
      </c>
      <c r="C30" s="40" t="s">
        <v>54</v>
      </c>
    </row>
    <row r="31" ht="15.75" customHeight="1">
      <c r="A31" s="41" t="s">
        <v>59</v>
      </c>
      <c r="B31" s="40" t="s">
        <v>60</v>
      </c>
      <c r="C31" s="40" t="s">
        <v>61</v>
      </c>
    </row>
    <row r="32" ht="15.75" customHeight="1">
      <c r="A32" s="41" t="s">
        <v>62</v>
      </c>
      <c r="B32" s="40" t="s">
        <v>63</v>
      </c>
      <c r="C32" s="40" t="s">
        <v>61</v>
      </c>
    </row>
    <row r="33" ht="15.75" customHeight="1">
      <c r="A33" s="41" t="s">
        <v>64</v>
      </c>
      <c r="B33" s="40" t="s">
        <v>65</v>
      </c>
      <c r="C33" s="40" t="s">
        <v>61</v>
      </c>
    </row>
    <row r="34" ht="15.75" customHeight="1">
      <c r="A34" s="41" t="s">
        <v>66</v>
      </c>
      <c r="B34" s="40" t="s">
        <v>67</v>
      </c>
      <c r="C34" s="40" t="s">
        <v>61</v>
      </c>
    </row>
    <row r="35" ht="15.75" customHeight="1">
      <c r="A35" s="41" t="s">
        <v>68</v>
      </c>
      <c r="B35" s="40" t="s">
        <v>69</v>
      </c>
      <c r="C35" s="40" t="s">
        <v>61</v>
      </c>
    </row>
    <row r="36" ht="15.75" customHeight="1">
      <c r="A36" s="41" t="s">
        <v>70</v>
      </c>
      <c r="B36" s="40" t="s">
        <v>71</v>
      </c>
      <c r="C36" s="40"/>
    </row>
    <row r="37" ht="15.75" customHeight="1">
      <c r="A37" s="41" t="s">
        <v>72</v>
      </c>
      <c r="B37" s="40" t="s">
        <v>73</v>
      </c>
      <c r="C37" s="40" t="s">
        <v>71</v>
      </c>
    </row>
    <row r="38" ht="15.75" customHeight="1">
      <c r="A38" s="38" t="s">
        <v>74</v>
      </c>
      <c r="B38" s="39" t="s">
        <v>75</v>
      </c>
      <c r="C38" s="40" t="s">
        <v>71</v>
      </c>
    </row>
    <row r="39" ht="15.75" customHeight="1">
      <c r="A39" s="41" t="s">
        <v>76</v>
      </c>
      <c r="B39" s="40" t="s">
        <v>77</v>
      </c>
      <c r="C39" s="40" t="s">
        <v>71</v>
      </c>
    </row>
    <row r="40" ht="15.75" customHeight="1">
      <c r="A40" s="41" t="s">
        <v>78</v>
      </c>
      <c r="B40" s="40" t="s">
        <v>79</v>
      </c>
      <c r="C40" s="40" t="s">
        <v>71</v>
      </c>
    </row>
    <row r="41" ht="15.75" customHeight="1">
      <c r="A41" s="41" t="s">
        <v>80</v>
      </c>
      <c r="B41" s="40" t="s">
        <v>81</v>
      </c>
      <c r="C41" s="40" t="s">
        <v>71</v>
      </c>
    </row>
    <row r="42" ht="15.75" customHeight="1">
      <c r="A42" s="38" t="s">
        <v>82</v>
      </c>
      <c r="B42" s="39" t="s">
        <v>83</v>
      </c>
      <c r="C42" s="40"/>
    </row>
    <row r="43" ht="15.75" customHeight="1">
      <c r="A43" s="41" t="s">
        <v>84</v>
      </c>
      <c r="B43" s="40" t="s">
        <v>85</v>
      </c>
      <c r="C43" s="40" t="s">
        <v>71</v>
      </c>
    </row>
    <row r="44" ht="15.75" customHeight="1">
      <c r="A44" s="41" t="s">
        <v>86</v>
      </c>
      <c r="B44" s="40" t="s">
        <v>87</v>
      </c>
      <c r="C44" s="40" t="s">
        <v>71</v>
      </c>
    </row>
    <row r="45" ht="15.75" customHeight="1">
      <c r="A45" s="41" t="s">
        <v>88</v>
      </c>
      <c r="B45" s="40" t="s">
        <v>89</v>
      </c>
      <c r="C45" s="40" t="s">
        <v>71</v>
      </c>
    </row>
    <row r="46" ht="15.75" customHeight="1">
      <c r="A46" s="41" t="s">
        <v>90</v>
      </c>
      <c r="B46" s="40" t="s">
        <v>91</v>
      </c>
      <c r="C46" s="40" t="s">
        <v>71</v>
      </c>
    </row>
    <row r="47" ht="15.75" customHeight="1">
      <c r="A47" s="38" t="s">
        <v>92</v>
      </c>
      <c r="B47" s="39" t="s">
        <v>93</v>
      </c>
      <c r="C47" s="40"/>
    </row>
    <row r="48" ht="15.75" customHeight="1">
      <c r="A48" s="41" t="s">
        <v>94</v>
      </c>
      <c r="B48" s="40" t="s">
        <v>95</v>
      </c>
      <c r="C48" s="40" t="s">
        <v>93</v>
      </c>
    </row>
    <row r="49" ht="15.75" customHeight="1">
      <c r="A49" s="41" t="s">
        <v>96</v>
      </c>
      <c r="B49" s="40" t="s">
        <v>97</v>
      </c>
      <c r="C49" s="40" t="s">
        <v>93</v>
      </c>
    </row>
    <row r="50" ht="15.75" customHeight="1">
      <c r="A50" s="41" t="s">
        <v>98</v>
      </c>
      <c r="B50" s="40" t="s">
        <v>99</v>
      </c>
      <c r="C50" s="40"/>
    </row>
    <row r="51" ht="15.75" customHeight="1">
      <c r="A51" s="41" t="s">
        <v>100</v>
      </c>
      <c r="B51" s="40" t="s">
        <v>101</v>
      </c>
      <c r="C51" s="40" t="s">
        <v>101</v>
      </c>
    </row>
    <row r="52" ht="15.75" customHeight="1">
      <c r="A52" s="41" t="s">
        <v>102</v>
      </c>
      <c r="B52" s="40" t="s">
        <v>103</v>
      </c>
      <c r="C52" s="40" t="s">
        <v>103</v>
      </c>
    </row>
    <row r="53" ht="15.75" customHeight="1">
      <c r="A53" s="41" t="s">
        <v>104</v>
      </c>
      <c r="B53" s="40" t="s">
        <v>105</v>
      </c>
      <c r="C53" s="40" t="s">
        <v>106</v>
      </c>
    </row>
    <row r="54" ht="15.75" customHeight="1">
      <c r="A54" s="41" t="s">
        <v>107</v>
      </c>
      <c r="B54" s="40" t="s">
        <v>106</v>
      </c>
      <c r="C54" s="40" t="s">
        <v>106</v>
      </c>
    </row>
    <row r="55" ht="15.75" customHeight="1">
      <c r="A55" s="41" t="s">
        <v>108</v>
      </c>
      <c r="B55" s="40" t="s">
        <v>109</v>
      </c>
      <c r="C55" s="40" t="s">
        <v>109</v>
      </c>
    </row>
    <row r="56" ht="15.75" customHeight="1">
      <c r="A56" s="41" t="s">
        <v>110</v>
      </c>
      <c r="B56" s="40" t="s">
        <v>111</v>
      </c>
      <c r="C56" s="40"/>
    </row>
    <row r="57" ht="15.75" customHeight="1">
      <c r="A57" s="41" t="s">
        <v>112</v>
      </c>
      <c r="B57" s="40" t="s">
        <v>113</v>
      </c>
      <c r="C57" s="40" t="s">
        <v>114</v>
      </c>
    </row>
    <row r="58" ht="15.75" customHeight="1">
      <c r="A58" s="41" t="s">
        <v>115</v>
      </c>
      <c r="B58" s="40" t="s">
        <v>116</v>
      </c>
      <c r="C58" s="40" t="s">
        <v>114</v>
      </c>
    </row>
    <row r="59" ht="15.75" customHeight="1">
      <c r="A59" s="41" t="s">
        <v>117</v>
      </c>
      <c r="B59" s="40" t="s">
        <v>118</v>
      </c>
      <c r="C59" s="40" t="s">
        <v>114</v>
      </c>
    </row>
    <row r="60" ht="15.75" customHeight="1">
      <c r="A60" s="41" t="s">
        <v>119</v>
      </c>
      <c r="B60" s="40" t="s">
        <v>120</v>
      </c>
      <c r="C60" s="40" t="s">
        <v>114</v>
      </c>
    </row>
    <row r="61" ht="15.75" customHeight="1">
      <c r="A61" s="41" t="s">
        <v>121</v>
      </c>
      <c r="B61" s="40" t="s">
        <v>122</v>
      </c>
      <c r="C61" s="40" t="s">
        <v>114</v>
      </c>
    </row>
    <row r="62" ht="15.75" customHeight="1">
      <c r="A62" s="41" t="s">
        <v>123</v>
      </c>
      <c r="B62" s="40" t="s">
        <v>124</v>
      </c>
      <c r="C62" s="40" t="s">
        <v>114</v>
      </c>
    </row>
    <row r="63" ht="15.75" customHeight="1">
      <c r="A63" s="41" t="s">
        <v>125</v>
      </c>
      <c r="B63" s="40" t="s">
        <v>126</v>
      </c>
      <c r="C63" s="40" t="s">
        <v>114</v>
      </c>
    </row>
    <row r="64" ht="15.75" customHeight="1">
      <c r="A64" s="41" t="s">
        <v>127</v>
      </c>
      <c r="B64" s="40" t="s">
        <v>128</v>
      </c>
      <c r="C64" s="40" t="s">
        <v>114</v>
      </c>
    </row>
    <row r="65" ht="15.75" customHeight="1">
      <c r="A65" s="47"/>
      <c r="B65" s="40"/>
      <c r="C65" s="40"/>
    </row>
    <row r="66" ht="15.75" customHeight="1">
      <c r="A66" s="47"/>
      <c r="B66" s="40"/>
      <c r="C66" s="40"/>
    </row>
    <row r="67" ht="15.75" customHeight="1">
      <c r="A67" s="41" t="s">
        <v>129</v>
      </c>
      <c r="B67" s="40" t="s">
        <v>130</v>
      </c>
      <c r="C67" s="40"/>
    </row>
    <row r="68" ht="15.75" customHeight="1">
      <c r="A68" s="41" t="s">
        <v>131</v>
      </c>
      <c r="B68" s="40" t="s">
        <v>132</v>
      </c>
      <c r="C68" s="40" t="s">
        <v>133</v>
      </c>
    </row>
    <row r="69" ht="15.75" customHeight="1">
      <c r="A69" s="41" t="s">
        <v>134</v>
      </c>
      <c r="B69" s="40" t="s">
        <v>135</v>
      </c>
      <c r="C69" s="40" t="s">
        <v>133</v>
      </c>
    </row>
    <row r="70" ht="15.75" customHeight="1">
      <c r="A70" s="41" t="s">
        <v>136</v>
      </c>
      <c r="B70" s="40" t="s">
        <v>137</v>
      </c>
      <c r="C70" s="40" t="s">
        <v>138</v>
      </c>
    </row>
    <row r="71" ht="15.75" customHeight="1">
      <c r="A71" s="41" t="s">
        <v>139</v>
      </c>
      <c r="B71" s="40" t="s">
        <v>140</v>
      </c>
      <c r="C71" s="40" t="s">
        <v>138</v>
      </c>
    </row>
    <row r="72" ht="15.75" customHeight="1">
      <c r="A72" s="41" t="s">
        <v>141</v>
      </c>
      <c r="B72" s="40" t="s">
        <v>142</v>
      </c>
      <c r="C72" s="40" t="s">
        <v>138</v>
      </c>
    </row>
    <row r="73" ht="15.75" customHeight="1">
      <c r="A73" s="41" t="s">
        <v>143</v>
      </c>
      <c r="B73" s="40" t="s">
        <v>144</v>
      </c>
      <c r="C73" s="40" t="s">
        <v>138</v>
      </c>
    </row>
    <row r="74" ht="15.75" customHeight="1">
      <c r="A74" s="41" t="s">
        <v>145</v>
      </c>
      <c r="B74" s="40" t="s">
        <v>146</v>
      </c>
      <c r="C74" s="40" t="s">
        <v>138</v>
      </c>
    </row>
    <row r="75" ht="15.75" customHeight="1">
      <c r="A75" s="47"/>
      <c r="B75" s="40"/>
      <c r="C75" s="40"/>
    </row>
    <row r="76" ht="15.75" customHeight="1">
      <c r="A76" s="38" t="s">
        <v>147</v>
      </c>
      <c r="B76" s="39" t="s">
        <v>148</v>
      </c>
      <c r="C76" s="40"/>
    </row>
    <row r="77" ht="15.75" customHeight="1">
      <c r="A77" s="41" t="s">
        <v>149</v>
      </c>
      <c r="B77" s="40" t="s">
        <v>150</v>
      </c>
      <c r="C77" s="40" t="s">
        <v>151</v>
      </c>
    </row>
    <row r="78" ht="15.75" customHeight="1">
      <c r="A78" s="41" t="s">
        <v>152</v>
      </c>
      <c r="B78" s="40" t="s">
        <v>153</v>
      </c>
      <c r="C78" s="40" t="s">
        <v>151</v>
      </c>
    </row>
    <row r="79" ht="15.75" customHeight="1">
      <c r="A79" s="41" t="s">
        <v>154</v>
      </c>
      <c r="B79" s="40" t="s">
        <v>155</v>
      </c>
      <c r="C79" s="40" t="s">
        <v>151</v>
      </c>
    </row>
    <row r="80" ht="15.75" customHeight="1">
      <c r="A80" s="41" t="s">
        <v>156</v>
      </c>
      <c r="B80" s="40" t="s">
        <v>157</v>
      </c>
      <c r="C80" s="40" t="s">
        <v>151</v>
      </c>
    </row>
    <row r="81" ht="15.75" customHeight="1">
      <c r="A81" s="47"/>
      <c r="B81" s="40"/>
      <c r="C81" s="40"/>
    </row>
    <row r="82" ht="15.75" customHeight="1">
      <c r="A82" s="41" t="s">
        <v>158</v>
      </c>
      <c r="B82" s="48" t="s">
        <v>159</v>
      </c>
      <c r="C82" s="40"/>
    </row>
    <row r="83" ht="15.75" customHeight="1">
      <c r="A83" s="41" t="s">
        <v>160</v>
      </c>
      <c r="B83" s="40" t="s">
        <v>161</v>
      </c>
      <c r="C83" s="40" t="s">
        <v>162</v>
      </c>
    </row>
    <row r="84" ht="15.75" customHeight="1">
      <c r="A84" s="41" t="s">
        <v>163</v>
      </c>
      <c r="B84" s="40" t="s">
        <v>164</v>
      </c>
      <c r="C84" s="40" t="s">
        <v>162</v>
      </c>
    </row>
    <row r="85" ht="15.75" customHeight="1">
      <c r="A85" s="41" t="s">
        <v>165</v>
      </c>
      <c r="B85" s="40" t="s">
        <v>166</v>
      </c>
      <c r="C85" s="40" t="s">
        <v>162</v>
      </c>
    </row>
    <row r="86" ht="15.75" customHeight="1">
      <c r="A86" s="41" t="s">
        <v>167</v>
      </c>
      <c r="B86" s="40" t="s">
        <v>168</v>
      </c>
      <c r="C86" s="40" t="s">
        <v>162</v>
      </c>
    </row>
    <row r="87" ht="15.75" customHeight="1">
      <c r="A87" s="41" t="s">
        <v>169</v>
      </c>
      <c r="B87" s="40" t="s">
        <v>170</v>
      </c>
      <c r="C87" s="40" t="s">
        <v>162</v>
      </c>
    </row>
    <row r="88" ht="15.75" customHeight="1">
      <c r="A88" s="41" t="s">
        <v>171</v>
      </c>
      <c r="B88" s="40" t="s">
        <v>172</v>
      </c>
      <c r="C88" s="40" t="s">
        <v>162</v>
      </c>
    </row>
    <row r="89" ht="15.75" customHeight="1">
      <c r="A89" s="41" t="s">
        <v>173</v>
      </c>
      <c r="B89" s="40" t="s">
        <v>174</v>
      </c>
      <c r="C89" s="40" t="s">
        <v>162</v>
      </c>
    </row>
    <row r="90" ht="15.75" customHeight="1">
      <c r="A90" s="41" t="s">
        <v>175</v>
      </c>
      <c r="B90" s="40" t="s">
        <v>176</v>
      </c>
      <c r="C90" s="40" t="s">
        <v>162</v>
      </c>
    </row>
    <row r="91" ht="15.75" customHeight="1">
      <c r="A91" s="41" t="s">
        <v>177</v>
      </c>
      <c r="B91" s="40" t="s">
        <v>178</v>
      </c>
      <c r="C91" s="40" t="s">
        <v>162</v>
      </c>
    </row>
    <row r="92" ht="15.75" customHeight="1">
      <c r="A92" s="41" t="s">
        <v>179</v>
      </c>
      <c r="B92" s="40" t="s">
        <v>180</v>
      </c>
      <c r="C92" s="40" t="s">
        <v>162</v>
      </c>
    </row>
    <row r="93" ht="15.75" customHeight="1">
      <c r="A93" s="47"/>
      <c r="B93" s="40"/>
      <c r="C93" s="40"/>
    </row>
    <row r="94" ht="15.75" customHeight="1">
      <c r="A94" s="49" t="s">
        <v>181</v>
      </c>
      <c r="B94" s="40"/>
      <c r="C94" s="40"/>
    </row>
    <row r="95" ht="15.75" customHeight="1">
      <c r="A95" s="50" t="s">
        <v>182</v>
      </c>
      <c r="B95" s="48" t="s">
        <v>183</v>
      </c>
      <c r="C95" s="40" t="s">
        <v>181</v>
      </c>
    </row>
    <row r="96" ht="15.75" customHeight="1">
      <c r="A96" s="41" t="s">
        <v>184</v>
      </c>
      <c r="B96" s="40" t="s">
        <v>185</v>
      </c>
      <c r="C96" s="40" t="s">
        <v>181</v>
      </c>
    </row>
    <row r="97" ht="15.75" customHeight="1">
      <c r="A97" s="41" t="s">
        <v>186</v>
      </c>
      <c r="B97" s="40" t="s">
        <v>187</v>
      </c>
      <c r="C97" s="40" t="s">
        <v>181</v>
      </c>
    </row>
    <row r="98" ht="15.75" customHeight="1">
      <c r="A98" s="41" t="s">
        <v>188</v>
      </c>
      <c r="B98" s="40" t="s">
        <v>189</v>
      </c>
      <c r="C98" s="40" t="s">
        <v>181</v>
      </c>
    </row>
    <row r="99" ht="15.75" customHeight="1">
      <c r="A99" s="41" t="s">
        <v>190</v>
      </c>
      <c r="B99" s="40" t="s">
        <v>191</v>
      </c>
      <c r="C99" s="40" t="s">
        <v>181</v>
      </c>
    </row>
    <row r="100" ht="15.75" customHeight="1">
      <c r="A100" s="41" t="s">
        <v>192</v>
      </c>
      <c r="B100" s="40" t="s">
        <v>193</v>
      </c>
      <c r="C100" s="40" t="s">
        <v>181</v>
      </c>
    </row>
    <row r="101" ht="15.75" customHeight="1">
      <c r="A101" s="41" t="s">
        <v>194</v>
      </c>
      <c r="B101" s="40" t="s">
        <v>195</v>
      </c>
      <c r="C101" s="40" t="s">
        <v>181</v>
      </c>
    </row>
    <row r="102" ht="15.75" customHeight="1">
      <c r="A102" s="41" t="s">
        <v>196</v>
      </c>
      <c r="B102" s="40" t="s">
        <v>197</v>
      </c>
      <c r="C102" s="40" t="s">
        <v>181</v>
      </c>
    </row>
    <row r="103" ht="15.75" customHeight="1">
      <c r="A103" s="41" t="s">
        <v>198</v>
      </c>
      <c r="B103" s="40" t="s">
        <v>199</v>
      </c>
      <c r="C103" s="40" t="s">
        <v>181</v>
      </c>
    </row>
    <row r="104" ht="15.75" customHeight="1">
      <c r="A104" s="41" t="s">
        <v>200</v>
      </c>
      <c r="B104" s="40" t="s">
        <v>201</v>
      </c>
      <c r="C104" s="40" t="s">
        <v>181</v>
      </c>
    </row>
    <row r="105" ht="15.75" customHeight="1">
      <c r="A105" s="41" t="s">
        <v>202</v>
      </c>
      <c r="B105" s="40" t="s">
        <v>203</v>
      </c>
      <c r="C105" s="40" t="s">
        <v>181</v>
      </c>
    </row>
    <row r="106" ht="15.75" customHeight="1">
      <c r="A106" s="41" t="s">
        <v>204</v>
      </c>
      <c r="B106" s="43" t="s">
        <v>168</v>
      </c>
      <c r="C106" s="40" t="s">
        <v>181</v>
      </c>
    </row>
    <row r="107" ht="15.75" customHeight="1">
      <c r="A107" s="41" t="s">
        <v>205</v>
      </c>
      <c r="B107" s="40" t="s">
        <v>206</v>
      </c>
      <c r="C107" s="40" t="s">
        <v>181</v>
      </c>
    </row>
    <row r="108" ht="15.75" customHeight="1">
      <c r="A108" s="41" t="s">
        <v>207</v>
      </c>
      <c r="B108" s="40" t="s">
        <v>81</v>
      </c>
      <c r="C108" s="40" t="s">
        <v>181</v>
      </c>
    </row>
    <row r="109" ht="15.75" customHeight="1">
      <c r="A109" s="42" t="s">
        <v>208</v>
      </c>
      <c r="B109" s="43" t="s">
        <v>209</v>
      </c>
      <c r="C109" s="40" t="s">
        <v>181</v>
      </c>
    </row>
    <row r="110" ht="15.75" customHeight="1">
      <c r="A110" s="41" t="s">
        <v>210</v>
      </c>
      <c r="B110" s="40" t="s">
        <v>211</v>
      </c>
      <c r="C110" s="40" t="s">
        <v>181</v>
      </c>
    </row>
    <row r="111" ht="15.75" customHeight="1">
      <c r="A111" s="41" t="s">
        <v>212</v>
      </c>
      <c r="B111" s="40" t="s">
        <v>213</v>
      </c>
      <c r="C111" s="40" t="s">
        <v>181</v>
      </c>
    </row>
    <row r="112" ht="15.75" customHeight="1">
      <c r="A112" s="41" t="s">
        <v>214</v>
      </c>
      <c r="B112" s="40" t="s">
        <v>215</v>
      </c>
      <c r="C112" s="40" t="s">
        <v>181</v>
      </c>
    </row>
    <row r="113" ht="15.75" customHeight="1">
      <c r="A113" s="41" t="s">
        <v>216</v>
      </c>
      <c r="B113" s="40" t="s">
        <v>217</v>
      </c>
      <c r="C113" s="40" t="s">
        <v>181</v>
      </c>
    </row>
    <row r="114" ht="15.75" customHeight="1">
      <c r="A114" s="41" t="s">
        <v>218</v>
      </c>
      <c r="B114" s="40" t="s">
        <v>219</v>
      </c>
      <c r="C114" s="40" t="s">
        <v>181</v>
      </c>
    </row>
    <row r="115" ht="15.75" customHeight="1">
      <c r="A115" s="41" t="s">
        <v>220</v>
      </c>
      <c r="B115" s="40" t="s">
        <v>221</v>
      </c>
      <c r="C115" s="40" t="s">
        <v>181</v>
      </c>
    </row>
    <row r="116" ht="15.75" customHeight="1">
      <c r="A116" s="41" t="s">
        <v>222</v>
      </c>
      <c r="B116" s="40" t="s">
        <v>223</v>
      </c>
      <c r="C116" s="40" t="s">
        <v>181</v>
      </c>
    </row>
    <row r="117" ht="15.75" customHeight="1">
      <c r="A117" s="41" t="s">
        <v>224</v>
      </c>
      <c r="B117" s="40" t="s">
        <v>225</v>
      </c>
      <c r="C117" s="40" t="s">
        <v>181</v>
      </c>
    </row>
    <row r="118" ht="15.75" customHeight="1">
      <c r="A118" s="41" t="s">
        <v>226</v>
      </c>
      <c r="B118" s="40" t="s">
        <v>227</v>
      </c>
      <c r="C118" s="40" t="s">
        <v>181</v>
      </c>
    </row>
    <row r="119" ht="15.75" customHeight="1">
      <c r="A119" s="50" t="s">
        <v>228</v>
      </c>
      <c r="B119" s="48" t="s">
        <v>229</v>
      </c>
      <c r="C119" s="40" t="s">
        <v>181</v>
      </c>
    </row>
    <row r="120" ht="15.75" customHeight="1">
      <c r="A120" s="41" t="s">
        <v>230</v>
      </c>
      <c r="B120" s="40" t="s">
        <v>231</v>
      </c>
      <c r="C120" s="40" t="s">
        <v>181</v>
      </c>
    </row>
    <row r="121" ht="15.75" customHeight="1">
      <c r="A121" s="41" t="s">
        <v>232</v>
      </c>
      <c r="B121" s="40" t="s">
        <v>233</v>
      </c>
      <c r="C121" s="40" t="s">
        <v>181</v>
      </c>
    </row>
    <row r="122" ht="15.75" customHeight="1">
      <c r="A122" s="41" t="s">
        <v>234</v>
      </c>
      <c r="B122" s="40" t="s">
        <v>235</v>
      </c>
      <c r="C122" s="40" t="s">
        <v>181</v>
      </c>
    </row>
    <row r="123" ht="15.75" customHeight="1">
      <c r="A123" s="41" t="s">
        <v>236</v>
      </c>
      <c r="B123" s="40" t="s">
        <v>237</v>
      </c>
      <c r="C123" s="40" t="s">
        <v>181</v>
      </c>
    </row>
    <row r="124" ht="15.75" customHeight="1">
      <c r="A124" s="41" t="s">
        <v>238</v>
      </c>
      <c r="B124" s="43" t="s">
        <v>239</v>
      </c>
      <c r="C124" s="40" t="s">
        <v>181</v>
      </c>
    </row>
    <row r="125" ht="15.75" customHeight="1">
      <c r="A125" s="51" t="s">
        <v>240</v>
      </c>
      <c r="B125" s="52" t="s">
        <v>241</v>
      </c>
      <c r="C125" s="40"/>
    </row>
    <row r="126" ht="15.75" customHeight="1">
      <c r="A126" s="41" t="s">
        <v>242</v>
      </c>
      <c r="B126" s="40" t="s">
        <v>243</v>
      </c>
      <c r="C126" s="40" t="s">
        <v>244</v>
      </c>
    </row>
    <row r="127" ht="15.75" customHeight="1">
      <c r="A127" s="41" t="s">
        <v>245</v>
      </c>
      <c r="B127" s="40" t="s">
        <v>246</v>
      </c>
      <c r="C127" s="40" t="s">
        <v>244</v>
      </c>
    </row>
    <row r="128" ht="15.75" customHeight="1">
      <c r="A128" s="41" t="s">
        <v>247</v>
      </c>
      <c r="B128" s="40" t="s">
        <v>248</v>
      </c>
      <c r="C128" s="40" t="s">
        <v>244</v>
      </c>
    </row>
    <row r="129" ht="15.75" customHeight="1">
      <c r="A129" s="41" t="s">
        <v>249</v>
      </c>
      <c r="B129" s="40" t="s">
        <v>244</v>
      </c>
      <c r="C129" s="40" t="s">
        <v>244</v>
      </c>
    </row>
    <row r="130" ht="15.75" customHeight="1">
      <c r="A130" s="51" t="s">
        <v>250</v>
      </c>
      <c r="B130" s="52" t="s">
        <v>251</v>
      </c>
      <c r="C130" s="40"/>
    </row>
    <row r="131" ht="15.75" customHeight="1">
      <c r="A131" s="41" t="s">
        <v>252</v>
      </c>
      <c r="B131" s="40" t="s">
        <v>253</v>
      </c>
      <c r="C131" s="40" t="s">
        <v>254</v>
      </c>
    </row>
    <row r="132" ht="15.75" customHeight="1">
      <c r="A132" s="41" t="s">
        <v>255</v>
      </c>
      <c r="B132" s="40" t="s">
        <v>256</v>
      </c>
      <c r="C132" s="40" t="s">
        <v>254</v>
      </c>
    </row>
    <row r="133" ht="15.75" customHeight="1">
      <c r="A133" s="41" t="s">
        <v>257</v>
      </c>
      <c r="B133" s="40" t="s">
        <v>254</v>
      </c>
      <c r="C133" s="40" t="s">
        <v>254</v>
      </c>
    </row>
    <row r="134" ht="15.75" customHeight="1">
      <c r="A134" s="41" t="s">
        <v>258</v>
      </c>
      <c r="B134" s="40" t="s">
        <v>259</v>
      </c>
      <c r="C134" s="40" t="s">
        <v>254</v>
      </c>
    </row>
    <row r="135" ht="15.75" customHeight="1">
      <c r="A135" s="41" t="s">
        <v>260</v>
      </c>
      <c r="B135" s="40" t="s">
        <v>261</v>
      </c>
      <c r="C135" s="40" t="s">
        <v>254</v>
      </c>
    </row>
    <row r="136" ht="15.75" customHeight="1">
      <c r="A136" s="41" t="s">
        <v>262</v>
      </c>
      <c r="B136" s="40" t="s">
        <v>263</v>
      </c>
      <c r="C136" s="40" t="s">
        <v>254</v>
      </c>
    </row>
    <row r="137" ht="15.75" customHeight="1">
      <c r="A137" s="41" t="s">
        <v>264</v>
      </c>
      <c r="B137" s="40" t="s">
        <v>265</v>
      </c>
      <c r="C137" s="40" t="s">
        <v>254</v>
      </c>
    </row>
    <row r="138" ht="15.75" customHeight="1">
      <c r="A138" s="41" t="s">
        <v>266</v>
      </c>
      <c r="B138" s="40" t="s">
        <v>267</v>
      </c>
      <c r="C138" s="40" t="s">
        <v>268</v>
      </c>
    </row>
    <row r="139" ht="15.75" customHeight="1">
      <c r="A139" s="53"/>
      <c r="B139" s="54"/>
      <c r="C139" s="54"/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6.25"/>
    <col customWidth="1" min="2" max="2" width="13.38"/>
    <col customWidth="1" min="3" max="3" width="14.13"/>
    <col customWidth="1" min="4" max="4" width="12.88"/>
    <col customWidth="1" min="5" max="5" width="40.0"/>
    <col customWidth="1" min="6" max="6" width="54.38"/>
    <col customWidth="1" min="7" max="7" width="20.63"/>
    <col customWidth="1" min="8" max="8" width="13.13"/>
    <col customWidth="1" min="9" max="9" width="13.0"/>
    <col customWidth="1" min="10" max="10" width="14.0"/>
    <col customWidth="1" min="11" max="11" width="14.63"/>
  </cols>
  <sheetData>
    <row r="1" ht="15.75" customHeight="1">
      <c r="D1" s="55"/>
    </row>
    <row r="2" ht="15.75" customHeight="1">
      <c r="A2" s="56" t="s">
        <v>269</v>
      </c>
      <c r="B2" s="56">
        <v>4.78888333E9</v>
      </c>
      <c r="D2" s="55"/>
    </row>
    <row r="3" ht="15.75" customHeight="1">
      <c r="A3" s="56" t="s">
        <v>270</v>
      </c>
      <c r="B3" s="56" t="s">
        <v>271</v>
      </c>
      <c r="D3" s="55"/>
    </row>
    <row r="4" ht="15.75" customHeight="1">
      <c r="A4" s="56" t="s">
        <v>272</v>
      </c>
      <c r="B4" s="56" t="s">
        <v>273</v>
      </c>
      <c r="D4" s="55"/>
    </row>
    <row r="5" ht="15.75" customHeight="1">
      <c r="A5" s="56" t="s">
        <v>274</v>
      </c>
      <c r="B5" s="56" t="s">
        <v>275</v>
      </c>
      <c r="D5" s="55"/>
      <c r="I5" s="57" t="s">
        <v>276</v>
      </c>
      <c r="J5" s="58">
        <v>4.9682039E7</v>
      </c>
    </row>
    <row r="6" ht="15.75" customHeight="1">
      <c r="D6" s="55"/>
    </row>
    <row r="7" ht="15.75" customHeight="1">
      <c r="A7" s="59" t="s">
        <v>277</v>
      </c>
      <c r="B7" s="60" t="s">
        <v>278</v>
      </c>
      <c r="C7" s="61" t="s">
        <v>279</v>
      </c>
      <c r="D7" s="60" t="s">
        <v>10</v>
      </c>
      <c r="E7" s="62" t="s">
        <v>1</v>
      </c>
      <c r="F7" s="63" t="s">
        <v>280</v>
      </c>
      <c r="G7" s="60" t="s">
        <v>281</v>
      </c>
      <c r="H7" s="64" t="s">
        <v>282</v>
      </c>
      <c r="I7" s="64" t="s">
        <v>283</v>
      </c>
      <c r="J7" s="65" t="s">
        <v>284</v>
      </c>
      <c r="K7" s="66" t="s">
        <v>285</v>
      </c>
      <c r="L7" s="67" t="s">
        <v>286</v>
      </c>
    </row>
    <row r="8" ht="15.75" customHeight="1">
      <c r="A8" s="68">
        <v>44928.0</v>
      </c>
      <c r="B8" s="69"/>
      <c r="C8" s="70"/>
      <c r="D8" s="71"/>
      <c r="E8" s="72" t="s">
        <v>287</v>
      </c>
      <c r="F8" s="73" t="s">
        <v>288</v>
      </c>
      <c r="G8" s="74"/>
      <c r="H8" s="75">
        <v>0.0</v>
      </c>
      <c r="I8" s="75">
        <v>1.0E7</v>
      </c>
      <c r="J8" s="76">
        <f>J5+H8-I8</f>
        <v>39682039</v>
      </c>
      <c r="K8" s="77">
        <f t="shared" ref="K8:K155" si="1">MONTH(A8)</f>
        <v>1</v>
      </c>
    </row>
    <row r="9" ht="15.75" customHeight="1">
      <c r="A9" s="68">
        <v>44935.0</v>
      </c>
      <c r="B9" s="69"/>
      <c r="C9" s="78"/>
      <c r="D9" s="69"/>
      <c r="E9" s="72" t="s">
        <v>289</v>
      </c>
      <c r="F9" s="73" t="s">
        <v>290</v>
      </c>
      <c r="G9" s="74"/>
      <c r="H9" s="79">
        <v>0.0</v>
      </c>
      <c r="I9" s="75">
        <v>17500.0</v>
      </c>
      <c r="J9" s="80">
        <f t="shared" ref="J9:J507" si="2">J8+H9-I9</f>
        <v>39664539</v>
      </c>
      <c r="K9" s="77">
        <f t="shared" si="1"/>
        <v>1</v>
      </c>
    </row>
    <row r="10" ht="15.75" customHeight="1">
      <c r="A10" s="68">
        <v>44935.0</v>
      </c>
      <c r="B10" s="69"/>
      <c r="C10" s="78"/>
      <c r="D10" s="81" t="s">
        <v>210</v>
      </c>
      <c r="E10" s="72" t="s">
        <v>291</v>
      </c>
      <c r="F10" s="73" t="s">
        <v>292</v>
      </c>
      <c r="G10" s="74"/>
      <c r="H10" s="79">
        <v>0.0</v>
      </c>
      <c r="I10" s="75">
        <v>8775000.0</v>
      </c>
      <c r="J10" s="80">
        <f t="shared" si="2"/>
        <v>30889539</v>
      </c>
      <c r="K10" s="77">
        <f t="shared" si="1"/>
        <v>1</v>
      </c>
    </row>
    <row r="11" ht="15.75" customHeight="1">
      <c r="A11" s="68">
        <v>44935.0</v>
      </c>
      <c r="B11" s="69"/>
      <c r="C11" s="70"/>
      <c r="D11" s="71"/>
      <c r="E11" s="82" t="s">
        <v>293</v>
      </c>
      <c r="F11" s="73" t="s">
        <v>290</v>
      </c>
      <c r="G11" s="74"/>
      <c r="H11" s="79">
        <v>0.0</v>
      </c>
      <c r="I11" s="75">
        <v>279250.0</v>
      </c>
      <c r="J11" s="80">
        <f t="shared" si="2"/>
        <v>30610289</v>
      </c>
      <c r="K11" s="77">
        <f t="shared" si="1"/>
        <v>1</v>
      </c>
    </row>
    <row r="12" ht="15.75" customHeight="1">
      <c r="A12" s="68">
        <v>44935.0</v>
      </c>
      <c r="B12" s="69"/>
      <c r="C12" s="70"/>
      <c r="D12" s="71"/>
      <c r="E12" s="72" t="s">
        <v>294</v>
      </c>
      <c r="F12" s="73" t="s">
        <v>290</v>
      </c>
      <c r="G12" s="74"/>
      <c r="H12" s="75">
        <v>0.0</v>
      </c>
      <c r="I12" s="75">
        <v>142750.0</v>
      </c>
      <c r="J12" s="80">
        <f t="shared" si="2"/>
        <v>30467539</v>
      </c>
      <c r="K12" s="77">
        <f t="shared" si="1"/>
        <v>1</v>
      </c>
    </row>
    <row r="13" ht="15.75" customHeight="1">
      <c r="A13" s="83">
        <v>44939.0</v>
      </c>
      <c r="B13" s="69"/>
      <c r="C13" s="70"/>
      <c r="D13" s="71"/>
      <c r="E13" s="72" t="s">
        <v>295</v>
      </c>
      <c r="F13" s="73" t="s">
        <v>21</v>
      </c>
      <c r="G13" s="74"/>
      <c r="H13" s="75">
        <v>1.0E8</v>
      </c>
      <c r="I13" s="75">
        <v>0.0</v>
      </c>
      <c r="J13" s="80">
        <f t="shared" si="2"/>
        <v>130467539</v>
      </c>
      <c r="K13" s="77">
        <f t="shared" si="1"/>
        <v>1</v>
      </c>
    </row>
    <row r="14" ht="15.75" customHeight="1">
      <c r="A14" s="83">
        <v>44940.0</v>
      </c>
      <c r="B14" s="69"/>
      <c r="C14" s="70"/>
      <c r="D14" s="71"/>
      <c r="E14" s="72" t="s">
        <v>296</v>
      </c>
      <c r="F14" s="73" t="s">
        <v>297</v>
      </c>
      <c r="G14" s="74"/>
      <c r="H14" s="75">
        <v>0.0</v>
      </c>
      <c r="I14" s="75">
        <v>5703610.0</v>
      </c>
      <c r="J14" s="80">
        <f t="shared" si="2"/>
        <v>124763929</v>
      </c>
      <c r="K14" s="77">
        <f t="shared" si="1"/>
        <v>1</v>
      </c>
    </row>
    <row r="15" ht="15.75" customHeight="1">
      <c r="A15" s="83">
        <v>44940.0</v>
      </c>
      <c r="B15" s="69"/>
      <c r="C15" s="78"/>
      <c r="D15" s="69"/>
      <c r="E15" s="72" t="s">
        <v>298</v>
      </c>
      <c r="F15" s="73" t="s">
        <v>297</v>
      </c>
      <c r="G15" s="74"/>
      <c r="H15" s="79">
        <v>0.0</v>
      </c>
      <c r="I15" s="75">
        <v>7086420.0</v>
      </c>
      <c r="J15" s="80">
        <f t="shared" si="2"/>
        <v>117677509</v>
      </c>
      <c r="K15" s="77">
        <f t="shared" si="1"/>
        <v>1</v>
      </c>
    </row>
    <row r="16" ht="15.75" customHeight="1">
      <c r="A16" s="83">
        <v>44940.0</v>
      </c>
      <c r="B16" s="69"/>
      <c r="C16" s="78"/>
      <c r="D16" s="71"/>
      <c r="E16" s="72" t="s">
        <v>299</v>
      </c>
      <c r="F16" s="73" t="s">
        <v>297</v>
      </c>
      <c r="G16" s="74"/>
      <c r="H16" s="75">
        <v>0.0</v>
      </c>
      <c r="I16" s="75">
        <v>8692420.0</v>
      </c>
      <c r="J16" s="80">
        <f t="shared" si="2"/>
        <v>108985089</v>
      </c>
      <c r="K16" s="77">
        <f t="shared" si="1"/>
        <v>1</v>
      </c>
    </row>
    <row r="17" ht="15.75" customHeight="1">
      <c r="A17" s="83">
        <v>44940.0</v>
      </c>
      <c r="B17" s="69"/>
      <c r="C17" s="78"/>
      <c r="D17" s="69"/>
      <c r="E17" s="72" t="s">
        <v>300</v>
      </c>
      <c r="F17" s="73" t="s">
        <v>297</v>
      </c>
      <c r="G17" s="74"/>
      <c r="H17" s="79">
        <v>0.0</v>
      </c>
      <c r="I17" s="75">
        <v>7688230.0</v>
      </c>
      <c r="J17" s="80">
        <f t="shared" si="2"/>
        <v>101296859</v>
      </c>
      <c r="K17" s="77">
        <f t="shared" si="1"/>
        <v>1</v>
      </c>
    </row>
    <row r="18" ht="15.75" customHeight="1">
      <c r="A18" s="83">
        <v>44940.0</v>
      </c>
      <c r="B18" s="69"/>
      <c r="C18" s="78"/>
      <c r="D18" s="71"/>
      <c r="E18" s="72" t="s">
        <v>301</v>
      </c>
      <c r="F18" s="73" t="s">
        <v>297</v>
      </c>
      <c r="G18" s="74"/>
      <c r="H18" s="79">
        <v>0.0</v>
      </c>
      <c r="I18" s="75">
        <v>4894670.0</v>
      </c>
      <c r="J18" s="80">
        <f t="shared" si="2"/>
        <v>96402189</v>
      </c>
      <c r="K18" s="77">
        <f t="shared" si="1"/>
        <v>1</v>
      </c>
    </row>
    <row r="19" ht="15.75" customHeight="1">
      <c r="A19" s="83">
        <v>44940.0</v>
      </c>
      <c r="B19" s="69"/>
      <c r="C19" s="70"/>
      <c r="D19" s="71"/>
      <c r="E19" s="72" t="s">
        <v>302</v>
      </c>
      <c r="F19" s="73" t="s">
        <v>297</v>
      </c>
      <c r="G19" s="74"/>
      <c r="H19" s="75">
        <v>0.0</v>
      </c>
      <c r="I19" s="75">
        <v>6061000.0</v>
      </c>
      <c r="J19" s="80">
        <f t="shared" si="2"/>
        <v>90341189</v>
      </c>
      <c r="K19" s="77">
        <f t="shared" si="1"/>
        <v>1</v>
      </c>
    </row>
    <row r="20" ht="15.75" customHeight="1">
      <c r="A20" s="83">
        <v>44940.0</v>
      </c>
      <c r="B20" s="69"/>
      <c r="C20" s="78"/>
      <c r="D20" s="69"/>
      <c r="E20" s="72" t="s">
        <v>303</v>
      </c>
      <c r="F20" s="73" t="s">
        <v>297</v>
      </c>
      <c r="G20" s="74"/>
      <c r="H20" s="79">
        <v>0.0</v>
      </c>
      <c r="I20" s="75">
        <v>5464800.0</v>
      </c>
      <c r="J20" s="80">
        <f t="shared" si="2"/>
        <v>84876389</v>
      </c>
      <c r="K20" s="77">
        <f t="shared" si="1"/>
        <v>1</v>
      </c>
    </row>
    <row r="21" ht="15.75" customHeight="1">
      <c r="A21" s="83">
        <v>44940.0</v>
      </c>
      <c r="B21" s="69"/>
      <c r="C21" s="70"/>
      <c r="D21" s="69"/>
      <c r="E21" s="72" t="s">
        <v>304</v>
      </c>
      <c r="F21" s="73" t="s">
        <v>305</v>
      </c>
      <c r="G21" s="74"/>
      <c r="H21" s="79">
        <v>0.0</v>
      </c>
      <c r="I21" s="75">
        <v>1400000.0</v>
      </c>
      <c r="J21" s="80">
        <f t="shared" si="2"/>
        <v>83476389</v>
      </c>
      <c r="K21" s="77">
        <f t="shared" si="1"/>
        <v>1</v>
      </c>
    </row>
    <row r="22" ht="15.75" customHeight="1">
      <c r="A22" s="83">
        <v>44940.0</v>
      </c>
      <c r="B22" s="69"/>
      <c r="C22" s="78"/>
      <c r="D22" s="84" t="s">
        <v>247</v>
      </c>
      <c r="E22" s="72" t="s">
        <v>306</v>
      </c>
      <c r="F22" s="73" t="s">
        <v>307</v>
      </c>
      <c r="G22" s="74"/>
      <c r="H22" s="79">
        <v>0.0</v>
      </c>
      <c r="I22" s="75">
        <v>2500.0</v>
      </c>
      <c r="J22" s="80">
        <f t="shared" si="2"/>
        <v>83473889</v>
      </c>
      <c r="K22" s="77">
        <f t="shared" si="1"/>
        <v>1</v>
      </c>
    </row>
    <row r="23" ht="15.75" customHeight="1">
      <c r="A23" s="83">
        <v>44940.0</v>
      </c>
      <c r="B23" s="69"/>
      <c r="C23" s="78"/>
      <c r="D23" s="71"/>
      <c r="E23" s="72" t="s">
        <v>308</v>
      </c>
      <c r="F23" s="73" t="s">
        <v>297</v>
      </c>
      <c r="G23" s="74"/>
      <c r="H23" s="75">
        <v>0.0</v>
      </c>
      <c r="I23" s="75">
        <v>2835100.0</v>
      </c>
      <c r="J23" s="80">
        <f t="shared" si="2"/>
        <v>80638789</v>
      </c>
      <c r="K23" s="77">
        <f t="shared" si="1"/>
        <v>1</v>
      </c>
    </row>
    <row r="24" ht="15.75" customHeight="1">
      <c r="A24" s="83">
        <v>44946.0</v>
      </c>
      <c r="B24" s="69"/>
      <c r="C24" s="78"/>
      <c r="D24" s="69"/>
      <c r="E24" s="72" t="s">
        <v>309</v>
      </c>
      <c r="F24" s="73" t="s">
        <v>310</v>
      </c>
      <c r="G24" s="74"/>
      <c r="H24" s="79">
        <v>0.0</v>
      </c>
      <c r="I24" s="75">
        <v>1.5E7</v>
      </c>
      <c r="J24" s="80">
        <f t="shared" si="2"/>
        <v>65638789</v>
      </c>
      <c r="K24" s="77">
        <f t="shared" si="1"/>
        <v>1</v>
      </c>
    </row>
    <row r="25" ht="15.75" customHeight="1">
      <c r="A25" s="83">
        <v>44946.0</v>
      </c>
      <c r="B25" s="69"/>
      <c r="C25" s="70"/>
      <c r="D25" s="84" t="s">
        <v>247</v>
      </c>
      <c r="E25" s="72" t="s">
        <v>311</v>
      </c>
      <c r="F25" s="73" t="s">
        <v>307</v>
      </c>
      <c r="G25" s="74"/>
      <c r="H25" s="79">
        <v>0.0</v>
      </c>
      <c r="I25" s="75">
        <v>6500.0</v>
      </c>
      <c r="J25" s="80">
        <f t="shared" si="2"/>
        <v>65632289</v>
      </c>
      <c r="K25" s="77">
        <f t="shared" si="1"/>
        <v>1</v>
      </c>
    </row>
    <row r="26" ht="15.75" customHeight="1">
      <c r="A26" s="83">
        <v>44950.0</v>
      </c>
      <c r="B26" s="69"/>
      <c r="C26" s="70"/>
      <c r="D26" s="71"/>
      <c r="E26" s="72" t="s">
        <v>295</v>
      </c>
      <c r="F26" s="73" t="s">
        <v>21</v>
      </c>
      <c r="G26" s="74"/>
      <c r="H26" s="79">
        <v>2.5E8</v>
      </c>
      <c r="I26" s="75">
        <v>0.0</v>
      </c>
      <c r="J26" s="80">
        <f t="shared" si="2"/>
        <v>315632289</v>
      </c>
      <c r="K26" s="77">
        <f t="shared" si="1"/>
        <v>1</v>
      </c>
    </row>
    <row r="27" ht="15.75" customHeight="1">
      <c r="A27" s="83">
        <v>44953.0</v>
      </c>
      <c r="B27" s="69"/>
      <c r="C27" s="70"/>
      <c r="D27" s="71"/>
      <c r="E27" s="72" t="s">
        <v>312</v>
      </c>
      <c r="F27" s="73" t="s">
        <v>313</v>
      </c>
      <c r="G27" s="74"/>
      <c r="H27" s="79">
        <v>0.0</v>
      </c>
      <c r="I27" s="75">
        <v>9.125E7</v>
      </c>
      <c r="J27" s="80">
        <f t="shared" si="2"/>
        <v>224382289</v>
      </c>
      <c r="K27" s="77">
        <f t="shared" si="1"/>
        <v>1</v>
      </c>
    </row>
    <row r="28" ht="15.75" customHeight="1">
      <c r="A28" s="83">
        <v>44953.0</v>
      </c>
      <c r="B28" s="69"/>
      <c r="C28" s="78"/>
      <c r="D28" s="84" t="s">
        <v>247</v>
      </c>
      <c r="E28" s="72" t="s">
        <v>306</v>
      </c>
      <c r="F28" s="73" t="s">
        <v>307</v>
      </c>
      <c r="G28" s="74"/>
      <c r="H28" s="79">
        <v>0.0</v>
      </c>
      <c r="I28" s="75">
        <v>2500.0</v>
      </c>
      <c r="J28" s="80">
        <f t="shared" si="2"/>
        <v>224379789</v>
      </c>
      <c r="K28" s="77">
        <f t="shared" si="1"/>
        <v>1</v>
      </c>
    </row>
    <row r="29" ht="15.75" customHeight="1">
      <c r="A29" s="83">
        <v>44956.0</v>
      </c>
      <c r="B29" s="69"/>
      <c r="C29" s="78"/>
      <c r="D29" s="71"/>
      <c r="E29" s="72" t="s">
        <v>314</v>
      </c>
      <c r="F29" s="73" t="s">
        <v>315</v>
      </c>
      <c r="G29" s="74"/>
      <c r="H29" s="79">
        <v>0.0</v>
      </c>
      <c r="I29" s="75">
        <v>9350000.0</v>
      </c>
      <c r="J29" s="80">
        <f t="shared" si="2"/>
        <v>215029789</v>
      </c>
      <c r="K29" s="77">
        <f t="shared" si="1"/>
        <v>1</v>
      </c>
    </row>
    <row r="30" ht="15.75" customHeight="1">
      <c r="A30" s="83">
        <v>44956.0</v>
      </c>
      <c r="B30" s="69"/>
      <c r="C30" s="70"/>
      <c r="D30" s="71"/>
      <c r="E30" s="72" t="s">
        <v>316</v>
      </c>
      <c r="F30" s="73" t="s">
        <v>317</v>
      </c>
      <c r="G30" s="74"/>
      <c r="H30" s="79">
        <v>0.0</v>
      </c>
      <c r="I30" s="75">
        <v>300000.0</v>
      </c>
      <c r="J30" s="80">
        <f t="shared" si="2"/>
        <v>214729789</v>
      </c>
      <c r="K30" s="77">
        <f t="shared" si="1"/>
        <v>1</v>
      </c>
    </row>
    <row r="31" ht="15.75" customHeight="1">
      <c r="A31" s="83">
        <v>44956.0</v>
      </c>
      <c r="B31" s="69"/>
      <c r="C31" s="78"/>
      <c r="D31" s="69"/>
      <c r="E31" s="72" t="s">
        <v>318</v>
      </c>
      <c r="F31" s="73" t="s">
        <v>21</v>
      </c>
      <c r="G31" s="74"/>
      <c r="H31" s="79">
        <v>4000000.0</v>
      </c>
      <c r="I31" s="75">
        <v>0.0</v>
      </c>
      <c r="J31" s="80">
        <f t="shared" si="2"/>
        <v>218729789</v>
      </c>
      <c r="K31" s="77">
        <f t="shared" si="1"/>
        <v>1</v>
      </c>
    </row>
    <row r="32" ht="15.75" customHeight="1">
      <c r="A32" s="83">
        <v>44956.0</v>
      </c>
      <c r="B32" s="69"/>
      <c r="C32" s="78"/>
      <c r="D32" s="71"/>
      <c r="E32" s="72" t="s">
        <v>319</v>
      </c>
      <c r="F32" s="73" t="s">
        <v>320</v>
      </c>
      <c r="G32" s="74"/>
      <c r="H32" s="75">
        <v>0.0</v>
      </c>
      <c r="I32" s="75">
        <v>8000000.0</v>
      </c>
      <c r="J32" s="80">
        <f t="shared" si="2"/>
        <v>210729789</v>
      </c>
      <c r="K32" s="77">
        <f t="shared" si="1"/>
        <v>1</v>
      </c>
    </row>
    <row r="33" ht="15.75" customHeight="1">
      <c r="A33" s="83">
        <v>44956.0</v>
      </c>
      <c r="B33" s="69"/>
      <c r="C33" s="78"/>
      <c r="D33" s="69"/>
      <c r="E33" s="72" t="s">
        <v>319</v>
      </c>
      <c r="F33" s="73" t="s">
        <v>321</v>
      </c>
      <c r="G33" s="74"/>
      <c r="H33" s="79">
        <v>0.0</v>
      </c>
      <c r="I33" s="75">
        <v>7000000.0</v>
      </c>
      <c r="J33" s="80">
        <f t="shared" si="2"/>
        <v>203729789</v>
      </c>
      <c r="K33" s="77">
        <f t="shared" si="1"/>
        <v>1</v>
      </c>
    </row>
    <row r="34" ht="15.75" customHeight="1">
      <c r="A34" s="83">
        <v>44956.0</v>
      </c>
      <c r="B34" s="69"/>
      <c r="C34" s="78"/>
      <c r="D34" s="71"/>
      <c r="E34" s="72" t="s">
        <v>322</v>
      </c>
      <c r="F34" s="73" t="s">
        <v>315</v>
      </c>
      <c r="G34" s="74"/>
      <c r="H34" s="75">
        <v>0.0</v>
      </c>
      <c r="I34" s="75">
        <v>9800000.0</v>
      </c>
      <c r="J34" s="80">
        <f t="shared" si="2"/>
        <v>193929789</v>
      </c>
      <c r="K34" s="77">
        <f t="shared" si="1"/>
        <v>1</v>
      </c>
    </row>
    <row r="35" ht="15.75" customHeight="1">
      <c r="A35" s="83">
        <v>44956.0</v>
      </c>
      <c r="B35" s="69"/>
      <c r="C35" s="78"/>
      <c r="D35" s="69"/>
      <c r="E35" s="72" t="s">
        <v>323</v>
      </c>
      <c r="F35" s="73" t="s">
        <v>317</v>
      </c>
      <c r="G35" s="74"/>
      <c r="H35" s="79">
        <v>0.0</v>
      </c>
      <c r="I35" s="75">
        <v>0.0</v>
      </c>
      <c r="J35" s="80">
        <f t="shared" si="2"/>
        <v>193929789</v>
      </c>
      <c r="K35" s="77">
        <f t="shared" si="1"/>
        <v>1</v>
      </c>
    </row>
    <row r="36" ht="15.75" customHeight="1">
      <c r="A36" s="83">
        <v>44956.0</v>
      </c>
      <c r="B36" s="69"/>
      <c r="C36" s="78"/>
      <c r="D36" s="71"/>
      <c r="E36" s="72" t="s">
        <v>324</v>
      </c>
      <c r="F36" s="73" t="s">
        <v>325</v>
      </c>
      <c r="G36" s="74"/>
      <c r="H36" s="75">
        <v>0.0</v>
      </c>
      <c r="I36" s="75">
        <v>0.0</v>
      </c>
      <c r="J36" s="80">
        <f t="shared" si="2"/>
        <v>193929789</v>
      </c>
      <c r="K36" s="77">
        <f t="shared" si="1"/>
        <v>1</v>
      </c>
    </row>
    <row r="37" ht="15.75" customHeight="1">
      <c r="A37" s="83">
        <v>44956.0</v>
      </c>
      <c r="B37" s="69"/>
      <c r="C37" s="70"/>
      <c r="D37" s="71"/>
      <c r="E37" s="72" t="s">
        <v>326</v>
      </c>
      <c r="F37" s="73" t="s">
        <v>327</v>
      </c>
      <c r="G37" s="74"/>
      <c r="H37" s="79">
        <v>0.0</v>
      </c>
      <c r="I37" s="75">
        <v>5.085E7</v>
      </c>
      <c r="J37" s="80">
        <f t="shared" si="2"/>
        <v>143079789</v>
      </c>
      <c r="K37" s="77">
        <f t="shared" si="1"/>
        <v>1</v>
      </c>
    </row>
    <row r="38" ht="15.75" customHeight="1">
      <c r="A38" s="68">
        <v>44956.0</v>
      </c>
      <c r="B38" s="69"/>
      <c r="C38" s="78"/>
      <c r="D38" s="69"/>
      <c r="E38" s="72" t="s">
        <v>328</v>
      </c>
      <c r="F38" s="73" t="s">
        <v>329</v>
      </c>
      <c r="G38" s="74"/>
      <c r="H38" s="75">
        <v>0.0</v>
      </c>
      <c r="I38" s="75">
        <v>750000.0</v>
      </c>
      <c r="J38" s="80">
        <f t="shared" si="2"/>
        <v>142329789</v>
      </c>
      <c r="K38" s="77">
        <f t="shared" si="1"/>
        <v>1</v>
      </c>
    </row>
    <row r="39" ht="15.75" customHeight="1">
      <c r="A39" s="83">
        <v>44956.0</v>
      </c>
      <c r="B39" s="69"/>
      <c r="C39" s="78"/>
      <c r="D39" s="69"/>
      <c r="E39" s="72" t="s">
        <v>330</v>
      </c>
      <c r="F39" s="73" t="s">
        <v>331</v>
      </c>
      <c r="G39" s="74"/>
      <c r="H39" s="79">
        <v>0.0</v>
      </c>
      <c r="I39" s="75">
        <v>2.275E7</v>
      </c>
      <c r="J39" s="80">
        <f t="shared" si="2"/>
        <v>119579789</v>
      </c>
      <c r="K39" s="77">
        <f t="shared" si="1"/>
        <v>1</v>
      </c>
    </row>
    <row r="40" ht="15.75" customHeight="1">
      <c r="A40" s="83">
        <v>44956.0</v>
      </c>
      <c r="B40" s="69"/>
      <c r="C40" s="78"/>
      <c r="D40" s="69"/>
      <c r="E40" s="72" t="s">
        <v>332</v>
      </c>
      <c r="F40" s="73" t="s">
        <v>21</v>
      </c>
      <c r="G40" s="74"/>
      <c r="H40" s="79">
        <v>1400000.0</v>
      </c>
      <c r="I40" s="75">
        <v>0.0</v>
      </c>
      <c r="J40" s="80">
        <f t="shared" si="2"/>
        <v>120979789</v>
      </c>
      <c r="K40" s="77">
        <f t="shared" si="1"/>
        <v>1</v>
      </c>
    </row>
    <row r="41" ht="15.75" customHeight="1">
      <c r="A41" s="85">
        <v>44956.0</v>
      </c>
      <c r="B41" s="86"/>
      <c r="C41" s="87"/>
      <c r="D41" s="71"/>
      <c r="E41" s="88" t="s">
        <v>333</v>
      </c>
      <c r="F41" s="89" t="s">
        <v>315</v>
      </c>
      <c r="G41" s="90"/>
      <c r="H41" s="91">
        <v>0.0</v>
      </c>
      <c r="I41" s="92">
        <v>1.305E7</v>
      </c>
      <c r="J41" s="80">
        <f t="shared" si="2"/>
        <v>107929789</v>
      </c>
      <c r="K41" s="77">
        <f t="shared" si="1"/>
        <v>1</v>
      </c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5.75" customHeight="1">
      <c r="A42" s="83">
        <v>44956.0</v>
      </c>
      <c r="B42" s="69"/>
      <c r="C42" s="78"/>
      <c r="D42" s="69"/>
      <c r="E42" s="72" t="s">
        <v>334</v>
      </c>
      <c r="F42" s="73" t="s">
        <v>21</v>
      </c>
      <c r="G42" s="74"/>
      <c r="H42" s="75">
        <v>1000000.0</v>
      </c>
      <c r="I42" s="75">
        <v>0.0</v>
      </c>
      <c r="J42" s="80">
        <f t="shared" si="2"/>
        <v>108929789</v>
      </c>
      <c r="K42" s="77">
        <f t="shared" si="1"/>
        <v>1</v>
      </c>
    </row>
    <row r="43" ht="15.75" customHeight="1">
      <c r="A43" s="83">
        <v>44956.0</v>
      </c>
      <c r="B43" s="69"/>
      <c r="C43" s="78"/>
      <c r="D43" s="69"/>
      <c r="E43" s="72" t="s">
        <v>335</v>
      </c>
      <c r="F43" s="73" t="s">
        <v>315</v>
      </c>
      <c r="G43" s="74"/>
      <c r="H43" s="75">
        <v>0.0</v>
      </c>
      <c r="I43" s="75">
        <v>7000000.0</v>
      </c>
      <c r="J43" s="80">
        <f t="shared" si="2"/>
        <v>101929789</v>
      </c>
      <c r="K43" s="77">
        <f t="shared" si="1"/>
        <v>1</v>
      </c>
    </row>
    <row r="44" ht="15.75" customHeight="1">
      <c r="A44" s="83">
        <v>44956.0</v>
      </c>
      <c r="B44" s="69"/>
      <c r="C44" s="78"/>
      <c r="D44" s="69"/>
      <c r="E44" s="72" t="s">
        <v>336</v>
      </c>
      <c r="F44" s="73" t="s">
        <v>21</v>
      </c>
      <c r="G44" s="74"/>
      <c r="H44" s="79">
        <v>1000000.0</v>
      </c>
      <c r="I44" s="75">
        <v>0.0</v>
      </c>
      <c r="J44" s="80">
        <f t="shared" si="2"/>
        <v>102929789</v>
      </c>
      <c r="K44" s="77">
        <f t="shared" si="1"/>
        <v>1</v>
      </c>
    </row>
    <row r="45" ht="15.75" customHeight="1">
      <c r="A45" s="83">
        <v>44956.0</v>
      </c>
      <c r="B45" s="69"/>
      <c r="C45" s="78"/>
      <c r="D45" s="69"/>
      <c r="E45" s="72" t="s">
        <v>337</v>
      </c>
      <c r="F45" s="73" t="s">
        <v>315</v>
      </c>
      <c r="G45" s="74"/>
      <c r="H45" s="79">
        <v>0.0</v>
      </c>
      <c r="I45" s="75">
        <v>5400000.0</v>
      </c>
      <c r="J45" s="80">
        <f t="shared" si="2"/>
        <v>97529789</v>
      </c>
      <c r="K45" s="77">
        <f t="shared" si="1"/>
        <v>1</v>
      </c>
    </row>
    <row r="46" ht="15.75" customHeight="1">
      <c r="A46" s="83">
        <v>44956.0</v>
      </c>
      <c r="B46" s="69"/>
      <c r="C46" s="78"/>
      <c r="D46" s="71"/>
      <c r="E46" s="72" t="s">
        <v>338</v>
      </c>
      <c r="F46" s="73" t="s">
        <v>21</v>
      </c>
      <c r="G46" s="74"/>
      <c r="H46" s="79">
        <v>1000000.0</v>
      </c>
      <c r="I46" s="75">
        <v>0.0</v>
      </c>
      <c r="J46" s="80">
        <f t="shared" si="2"/>
        <v>98529789</v>
      </c>
      <c r="K46" s="77">
        <f t="shared" si="1"/>
        <v>1</v>
      </c>
    </row>
    <row r="47" ht="15.75" customHeight="1">
      <c r="A47" s="83">
        <v>44956.0</v>
      </c>
      <c r="B47" s="69"/>
      <c r="C47" s="70"/>
      <c r="D47" s="84" t="s">
        <v>247</v>
      </c>
      <c r="E47" s="72" t="s">
        <v>339</v>
      </c>
      <c r="F47" s="73" t="s">
        <v>307</v>
      </c>
      <c r="G47" s="74"/>
      <c r="H47" s="79">
        <v>0.0</v>
      </c>
      <c r="I47" s="75">
        <v>2900.0</v>
      </c>
      <c r="J47" s="80">
        <f t="shared" si="2"/>
        <v>98526889</v>
      </c>
      <c r="K47" s="77">
        <f t="shared" si="1"/>
        <v>1</v>
      </c>
    </row>
    <row r="48" ht="15.75" customHeight="1">
      <c r="A48" s="83">
        <v>44956.0</v>
      </c>
      <c r="B48" s="69"/>
      <c r="C48" s="78"/>
      <c r="D48" s="84" t="s">
        <v>247</v>
      </c>
      <c r="E48" s="72" t="s">
        <v>340</v>
      </c>
      <c r="F48" s="73" t="s">
        <v>307</v>
      </c>
      <c r="G48" s="74"/>
      <c r="H48" s="75">
        <v>0.0</v>
      </c>
      <c r="I48" s="75">
        <v>31900.0</v>
      </c>
      <c r="J48" s="80">
        <f t="shared" si="2"/>
        <v>98494989</v>
      </c>
      <c r="K48" s="77">
        <f t="shared" si="1"/>
        <v>1</v>
      </c>
    </row>
    <row r="49" ht="15.75" customHeight="1">
      <c r="A49" s="83">
        <v>44956.0</v>
      </c>
      <c r="B49" s="69"/>
      <c r="C49" s="78"/>
      <c r="D49" s="84" t="s">
        <v>247</v>
      </c>
      <c r="E49" s="72" t="s">
        <v>341</v>
      </c>
      <c r="F49" s="73" t="s">
        <v>307</v>
      </c>
      <c r="G49" s="74"/>
      <c r="H49" s="75">
        <v>0.0</v>
      </c>
      <c r="I49" s="75">
        <v>2900.0</v>
      </c>
      <c r="J49" s="80">
        <f t="shared" si="2"/>
        <v>98492089</v>
      </c>
      <c r="K49" s="77">
        <f t="shared" si="1"/>
        <v>1</v>
      </c>
    </row>
    <row r="50" ht="15.75" customHeight="1">
      <c r="A50" s="83">
        <v>44956.0</v>
      </c>
      <c r="B50" s="69"/>
      <c r="C50" s="78"/>
      <c r="D50" s="84" t="s">
        <v>247</v>
      </c>
      <c r="E50" s="72" t="s">
        <v>342</v>
      </c>
      <c r="F50" s="73" t="s">
        <v>307</v>
      </c>
      <c r="G50" s="74"/>
      <c r="H50" s="79">
        <v>0.0</v>
      </c>
      <c r="I50" s="75">
        <v>0.0</v>
      </c>
      <c r="J50" s="80">
        <f t="shared" si="2"/>
        <v>98492089</v>
      </c>
      <c r="K50" s="77">
        <f t="shared" si="1"/>
        <v>1</v>
      </c>
    </row>
    <row r="51" ht="15.75" customHeight="1">
      <c r="A51" s="83">
        <v>44956.0</v>
      </c>
      <c r="B51" s="69"/>
      <c r="C51" s="78"/>
      <c r="D51" s="84" t="s">
        <v>247</v>
      </c>
      <c r="E51" s="72" t="s">
        <v>343</v>
      </c>
      <c r="F51" s="73" t="s">
        <v>307</v>
      </c>
      <c r="G51" s="74"/>
      <c r="H51" s="79">
        <v>0.0</v>
      </c>
      <c r="I51" s="75">
        <v>0.0</v>
      </c>
      <c r="J51" s="80">
        <f t="shared" si="2"/>
        <v>98492089</v>
      </c>
      <c r="K51" s="77">
        <f t="shared" si="1"/>
        <v>1</v>
      </c>
    </row>
    <row r="52" ht="15.75" customHeight="1">
      <c r="A52" s="83">
        <v>44956.0</v>
      </c>
      <c r="B52" s="69"/>
      <c r="C52" s="78"/>
      <c r="D52" s="84" t="s">
        <v>226</v>
      </c>
      <c r="E52" s="72" t="s">
        <v>344</v>
      </c>
      <c r="F52" s="73" t="s">
        <v>345</v>
      </c>
      <c r="G52" s="74"/>
      <c r="H52" s="79">
        <v>0.0</v>
      </c>
      <c r="I52" s="75">
        <v>230000.0</v>
      </c>
      <c r="J52" s="80">
        <f t="shared" si="2"/>
        <v>98262089</v>
      </c>
      <c r="K52" s="77">
        <f t="shared" si="1"/>
        <v>1</v>
      </c>
    </row>
    <row r="53" ht="15.75" customHeight="1">
      <c r="A53" s="83">
        <v>44956.0</v>
      </c>
      <c r="B53" s="69"/>
      <c r="C53" s="78"/>
      <c r="D53" s="69" t="s">
        <v>247</v>
      </c>
      <c r="E53" s="72" t="s">
        <v>306</v>
      </c>
      <c r="F53" s="73" t="s">
        <v>307</v>
      </c>
      <c r="G53" s="74"/>
      <c r="H53" s="79">
        <v>0.0</v>
      </c>
      <c r="I53" s="75">
        <v>2500.0</v>
      </c>
      <c r="J53" s="80">
        <f t="shared" si="2"/>
        <v>98259589</v>
      </c>
      <c r="K53" s="77">
        <f t="shared" si="1"/>
        <v>1</v>
      </c>
    </row>
    <row r="54" ht="15.75" customHeight="1">
      <c r="A54" s="83">
        <v>44956.0</v>
      </c>
      <c r="B54" s="69"/>
      <c r="C54" s="78"/>
      <c r="D54" s="71" t="s">
        <v>262</v>
      </c>
      <c r="E54" s="72" t="s">
        <v>346</v>
      </c>
      <c r="F54" s="73" t="s">
        <v>347</v>
      </c>
      <c r="G54" s="74"/>
      <c r="H54" s="79">
        <v>0.0</v>
      </c>
      <c r="I54" s="75">
        <v>548457.0</v>
      </c>
      <c r="J54" s="80">
        <f t="shared" si="2"/>
        <v>97711132</v>
      </c>
      <c r="K54" s="77">
        <f t="shared" si="1"/>
        <v>1</v>
      </c>
    </row>
    <row r="55" ht="15.75" customHeight="1">
      <c r="A55" s="83">
        <v>44956.0</v>
      </c>
      <c r="B55" s="69"/>
      <c r="C55" s="78"/>
      <c r="D55" s="71" t="s">
        <v>262</v>
      </c>
      <c r="E55" s="72" t="s">
        <v>348</v>
      </c>
      <c r="F55" s="73" t="s">
        <v>347</v>
      </c>
      <c r="G55" s="74"/>
      <c r="H55" s="79">
        <v>0.0</v>
      </c>
      <c r="I55" s="75">
        <v>1000000.0</v>
      </c>
      <c r="J55" s="80">
        <f t="shared" si="2"/>
        <v>96711132</v>
      </c>
      <c r="K55" s="77">
        <f t="shared" si="1"/>
        <v>1</v>
      </c>
    </row>
    <row r="56" ht="15.75" customHeight="1">
      <c r="A56" s="83">
        <v>44956.0</v>
      </c>
      <c r="B56" s="69"/>
      <c r="C56" s="78"/>
      <c r="D56" s="71" t="s">
        <v>262</v>
      </c>
      <c r="E56" s="72" t="s">
        <v>349</v>
      </c>
      <c r="F56" s="73" t="s">
        <v>347</v>
      </c>
      <c r="G56" s="74"/>
      <c r="H56" s="75">
        <v>0.0</v>
      </c>
      <c r="I56" s="75">
        <v>500000.0</v>
      </c>
      <c r="J56" s="80">
        <f t="shared" si="2"/>
        <v>96211132</v>
      </c>
      <c r="K56" s="77">
        <f t="shared" si="1"/>
        <v>1</v>
      </c>
    </row>
    <row r="57" ht="15.75" customHeight="1">
      <c r="A57" s="83">
        <v>44956.0</v>
      </c>
      <c r="B57" s="69"/>
      <c r="C57" s="78"/>
      <c r="D57" s="71" t="s">
        <v>262</v>
      </c>
      <c r="E57" s="72" t="s">
        <v>350</v>
      </c>
      <c r="F57" s="73" t="s">
        <v>347</v>
      </c>
      <c r="G57" s="74"/>
      <c r="H57" s="79">
        <v>0.0</v>
      </c>
      <c r="I57" s="75">
        <v>500000.0</v>
      </c>
      <c r="J57" s="80">
        <f t="shared" si="2"/>
        <v>95711132</v>
      </c>
      <c r="K57" s="77">
        <f t="shared" si="1"/>
        <v>1</v>
      </c>
    </row>
    <row r="58" ht="15.75" customHeight="1">
      <c r="A58" s="83">
        <v>44956.0</v>
      </c>
      <c r="B58" s="69"/>
      <c r="C58" s="78"/>
      <c r="D58" s="71" t="s">
        <v>262</v>
      </c>
      <c r="E58" s="72" t="s">
        <v>351</v>
      </c>
      <c r="F58" s="73" t="s">
        <v>347</v>
      </c>
      <c r="G58" s="74"/>
      <c r="H58" s="79">
        <v>0.0</v>
      </c>
      <c r="I58" s="75">
        <v>500000.0</v>
      </c>
      <c r="J58" s="80">
        <f t="shared" si="2"/>
        <v>95211132</v>
      </c>
      <c r="K58" s="77">
        <f t="shared" si="1"/>
        <v>1</v>
      </c>
    </row>
    <row r="59" ht="15.75" customHeight="1">
      <c r="A59" s="83">
        <v>44956.0</v>
      </c>
      <c r="B59" s="69"/>
      <c r="C59" s="70"/>
      <c r="D59" s="71" t="s">
        <v>262</v>
      </c>
      <c r="E59" s="72" t="s">
        <v>352</v>
      </c>
      <c r="F59" s="73" t="s">
        <v>347</v>
      </c>
      <c r="G59" s="74"/>
      <c r="H59" s="79">
        <v>0.0</v>
      </c>
      <c r="I59" s="75">
        <v>500000.0</v>
      </c>
      <c r="J59" s="80">
        <f t="shared" si="2"/>
        <v>94711132</v>
      </c>
      <c r="K59" s="77">
        <f t="shared" si="1"/>
        <v>1</v>
      </c>
    </row>
    <row r="60" ht="15.75" customHeight="1">
      <c r="A60" s="83">
        <v>44956.0</v>
      </c>
      <c r="B60" s="69"/>
      <c r="C60" s="78"/>
      <c r="D60" s="71" t="s">
        <v>262</v>
      </c>
      <c r="E60" s="72" t="s">
        <v>353</v>
      </c>
      <c r="F60" s="73" t="s">
        <v>347</v>
      </c>
      <c r="G60" s="74"/>
      <c r="H60" s="75">
        <v>0.0</v>
      </c>
      <c r="I60" s="75">
        <v>500000.0</v>
      </c>
      <c r="J60" s="80">
        <f t="shared" si="2"/>
        <v>94211132</v>
      </c>
      <c r="K60" s="77">
        <f t="shared" si="1"/>
        <v>1</v>
      </c>
    </row>
    <row r="61" ht="15.75" customHeight="1">
      <c r="A61" s="83">
        <v>44956.0</v>
      </c>
      <c r="B61" s="69"/>
      <c r="C61" s="70"/>
      <c r="D61" s="71" t="s">
        <v>262</v>
      </c>
      <c r="E61" s="72" t="s">
        <v>354</v>
      </c>
      <c r="F61" s="73" t="s">
        <v>347</v>
      </c>
      <c r="G61" s="74"/>
      <c r="H61" s="79">
        <v>0.0</v>
      </c>
      <c r="I61" s="75">
        <v>500000.0</v>
      </c>
      <c r="J61" s="80">
        <f t="shared" si="2"/>
        <v>93711132</v>
      </c>
      <c r="K61" s="77">
        <f t="shared" si="1"/>
        <v>1</v>
      </c>
    </row>
    <row r="62" ht="15.75" customHeight="1">
      <c r="A62" s="83">
        <v>44956.0</v>
      </c>
      <c r="B62" s="69"/>
      <c r="C62" s="78"/>
      <c r="D62" s="71" t="s">
        <v>262</v>
      </c>
      <c r="E62" s="72" t="s">
        <v>355</v>
      </c>
      <c r="F62" s="73" t="s">
        <v>347</v>
      </c>
      <c r="G62" s="74"/>
      <c r="H62" s="75">
        <v>0.0</v>
      </c>
      <c r="I62" s="75">
        <v>500000.0</v>
      </c>
      <c r="J62" s="80">
        <f t="shared" si="2"/>
        <v>93211132</v>
      </c>
      <c r="K62" s="77">
        <f t="shared" si="1"/>
        <v>1</v>
      </c>
    </row>
    <row r="63" ht="15.75" customHeight="1">
      <c r="A63" s="83">
        <v>44956.0</v>
      </c>
      <c r="B63" s="69"/>
      <c r="C63" s="70"/>
      <c r="D63" s="71" t="s">
        <v>262</v>
      </c>
      <c r="E63" s="72" t="s">
        <v>356</v>
      </c>
      <c r="F63" s="73" t="s">
        <v>347</v>
      </c>
      <c r="G63" s="74"/>
      <c r="H63" s="79">
        <v>0.0</v>
      </c>
      <c r="I63" s="75">
        <v>500000.0</v>
      </c>
      <c r="J63" s="80">
        <f t="shared" si="2"/>
        <v>92711132</v>
      </c>
      <c r="K63" s="77">
        <f t="shared" si="1"/>
        <v>1</v>
      </c>
    </row>
    <row r="64" ht="15.75" customHeight="1">
      <c r="A64" s="83">
        <v>44957.0</v>
      </c>
      <c r="B64" s="69"/>
      <c r="C64" s="78"/>
      <c r="D64" s="84" t="s">
        <v>32</v>
      </c>
      <c r="E64" s="72" t="s">
        <v>357</v>
      </c>
      <c r="F64" s="73" t="s">
        <v>21</v>
      </c>
      <c r="G64" s="74"/>
      <c r="H64" s="79">
        <v>4.461588E7</v>
      </c>
      <c r="I64" s="75">
        <v>0.0</v>
      </c>
      <c r="J64" s="80">
        <f t="shared" si="2"/>
        <v>137327012</v>
      </c>
      <c r="K64" s="77">
        <f t="shared" si="1"/>
        <v>1</v>
      </c>
    </row>
    <row r="65" ht="15.75" customHeight="1">
      <c r="A65" s="83">
        <v>44957.0</v>
      </c>
      <c r="B65" s="69"/>
      <c r="C65" s="78"/>
      <c r="D65" s="84" t="s">
        <v>32</v>
      </c>
      <c r="E65" s="72" t="s">
        <v>358</v>
      </c>
      <c r="F65" s="73" t="s">
        <v>21</v>
      </c>
      <c r="G65" s="74"/>
      <c r="H65" s="79">
        <v>5.153084E7</v>
      </c>
      <c r="I65" s="75">
        <v>0.0</v>
      </c>
      <c r="J65" s="80">
        <f t="shared" si="2"/>
        <v>188857852</v>
      </c>
      <c r="K65" s="77">
        <f t="shared" si="1"/>
        <v>1</v>
      </c>
    </row>
    <row r="66" ht="15.75" customHeight="1">
      <c r="A66" s="94">
        <v>44957.0</v>
      </c>
      <c r="B66" s="74"/>
      <c r="C66" s="78"/>
      <c r="D66" s="69"/>
      <c r="E66" s="72" t="s">
        <v>359</v>
      </c>
      <c r="F66" s="73" t="s">
        <v>347</v>
      </c>
      <c r="G66" s="74"/>
      <c r="H66" s="95">
        <v>0.0</v>
      </c>
      <c r="I66" s="95">
        <v>100000.0</v>
      </c>
      <c r="J66" s="80">
        <f t="shared" si="2"/>
        <v>188757852</v>
      </c>
      <c r="K66" s="77">
        <f t="shared" si="1"/>
        <v>1</v>
      </c>
    </row>
    <row r="67" ht="15.75" customHeight="1">
      <c r="A67" s="94">
        <v>44957.0</v>
      </c>
      <c r="B67" s="74"/>
      <c r="C67" s="78"/>
      <c r="D67" s="84" t="s">
        <v>247</v>
      </c>
      <c r="E67" s="73" t="s">
        <v>360</v>
      </c>
      <c r="F67" s="73" t="s">
        <v>361</v>
      </c>
      <c r="G67" s="74"/>
      <c r="H67" s="95">
        <v>0.0</v>
      </c>
      <c r="I67" s="95">
        <v>30000.0</v>
      </c>
      <c r="J67" s="80">
        <f t="shared" si="2"/>
        <v>188727852</v>
      </c>
      <c r="K67" s="77">
        <f t="shared" si="1"/>
        <v>1</v>
      </c>
    </row>
    <row r="68" ht="15.75" customHeight="1">
      <c r="A68" s="94">
        <v>44958.0</v>
      </c>
      <c r="B68" s="74"/>
      <c r="C68" s="70"/>
      <c r="D68" s="71"/>
      <c r="E68" s="73" t="s">
        <v>362</v>
      </c>
      <c r="F68" s="73" t="s">
        <v>363</v>
      </c>
      <c r="G68" s="74"/>
      <c r="H68" s="95">
        <v>0.0</v>
      </c>
      <c r="I68" s="95">
        <v>1.118496E7</v>
      </c>
      <c r="J68" s="80">
        <f t="shared" si="2"/>
        <v>177542892</v>
      </c>
      <c r="K68" s="77">
        <f t="shared" si="1"/>
        <v>2</v>
      </c>
    </row>
    <row r="69" ht="15.75" customHeight="1">
      <c r="A69" s="94">
        <v>44958.0</v>
      </c>
      <c r="B69" s="74"/>
      <c r="C69" s="78"/>
      <c r="D69" s="71"/>
      <c r="E69" s="73" t="s">
        <v>364</v>
      </c>
      <c r="F69" s="73" t="s">
        <v>363</v>
      </c>
      <c r="G69" s="74"/>
      <c r="H69" s="95">
        <v>0.0</v>
      </c>
      <c r="I69" s="95">
        <v>1.29744E7</v>
      </c>
      <c r="J69" s="80">
        <f t="shared" si="2"/>
        <v>164568492</v>
      </c>
      <c r="K69" s="77">
        <f t="shared" si="1"/>
        <v>2</v>
      </c>
    </row>
    <row r="70" ht="15.75" customHeight="1">
      <c r="A70" s="94">
        <v>44959.0</v>
      </c>
      <c r="B70" s="74"/>
      <c r="C70" s="70"/>
      <c r="D70" s="84" t="s">
        <v>247</v>
      </c>
      <c r="E70" s="73" t="s">
        <v>365</v>
      </c>
      <c r="F70" s="73" t="s">
        <v>361</v>
      </c>
      <c r="G70" s="74"/>
      <c r="H70" s="95">
        <v>0.0</v>
      </c>
      <c r="I70" s="95">
        <v>50000.0</v>
      </c>
      <c r="J70" s="80">
        <f t="shared" si="2"/>
        <v>164518492</v>
      </c>
      <c r="K70" s="77">
        <f t="shared" si="1"/>
        <v>2</v>
      </c>
    </row>
    <row r="71" ht="15.75" customHeight="1">
      <c r="A71" s="94">
        <v>44960.0</v>
      </c>
      <c r="B71" s="74"/>
      <c r="C71" s="70"/>
      <c r="D71" s="71"/>
      <c r="E71" s="73" t="s">
        <v>366</v>
      </c>
      <c r="F71" s="73" t="s">
        <v>367</v>
      </c>
      <c r="G71" s="74"/>
      <c r="H71" s="95">
        <v>0.0</v>
      </c>
      <c r="I71" s="95">
        <v>209250.0</v>
      </c>
      <c r="J71" s="80">
        <f t="shared" si="2"/>
        <v>164309242</v>
      </c>
      <c r="K71" s="77">
        <f t="shared" si="1"/>
        <v>2</v>
      </c>
    </row>
    <row r="72" ht="15.75" customHeight="1">
      <c r="A72" s="94">
        <v>44960.0</v>
      </c>
      <c r="B72" s="74"/>
      <c r="C72" s="78"/>
      <c r="D72" s="71"/>
      <c r="E72" s="72" t="s">
        <v>368</v>
      </c>
      <c r="F72" s="73" t="s">
        <v>367</v>
      </c>
      <c r="G72" s="74"/>
      <c r="H72" s="95">
        <v>0.0</v>
      </c>
      <c r="I72" s="95">
        <v>124750.0</v>
      </c>
      <c r="J72" s="80">
        <f t="shared" si="2"/>
        <v>164184492</v>
      </c>
      <c r="K72" s="77">
        <f t="shared" si="1"/>
        <v>2</v>
      </c>
    </row>
    <row r="73" ht="15.75" customHeight="1">
      <c r="A73" s="94">
        <v>44960.0</v>
      </c>
      <c r="B73" s="74"/>
      <c r="C73" s="78"/>
      <c r="D73" s="69"/>
      <c r="E73" s="73" t="s">
        <v>369</v>
      </c>
      <c r="F73" s="73" t="s">
        <v>367</v>
      </c>
      <c r="G73" s="74"/>
      <c r="H73" s="95">
        <v>0.0</v>
      </c>
      <c r="I73" s="95">
        <v>138875.0</v>
      </c>
      <c r="J73" s="80">
        <f t="shared" si="2"/>
        <v>164045617</v>
      </c>
      <c r="K73" s="77">
        <f t="shared" si="1"/>
        <v>2</v>
      </c>
    </row>
    <row r="74" ht="15.75" customHeight="1">
      <c r="A74" s="94">
        <v>44960.0</v>
      </c>
      <c r="B74" s="74"/>
      <c r="C74" s="78"/>
      <c r="D74" s="69"/>
      <c r="E74" s="73" t="s">
        <v>370</v>
      </c>
      <c r="F74" s="73" t="s">
        <v>371</v>
      </c>
      <c r="G74" s="74"/>
      <c r="H74" s="95">
        <v>0.0</v>
      </c>
      <c r="I74" s="95">
        <v>9702880.0</v>
      </c>
      <c r="J74" s="80">
        <f t="shared" si="2"/>
        <v>154342737</v>
      </c>
      <c r="K74" s="77">
        <f t="shared" si="1"/>
        <v>2</v>
      </c>
    </row>
    <row r="75" ht="15.75" customHeight="1">
      <c r="A75" s="94">
        <v>44960.0</v>
      </c>
      <c r="B75" s="74"/>
      <c r="C75" s="96"/>
      <c r="D75" s="97"/>
      <c r="E75" s="82" t="s">
        <v>287</v>
      </c>
      <c r="F75" s="73" t="s">
        <v>288</v>
      </c>
      <c r="G75" s="74"/>
      <c r="H75" s="95">
        <v>0.0</v>
      </c>
      <c r="I75" s="95">
        <v>1.05E7</v>
      </c>
      <c r="J75" s="80">
        <f t="shared" si="2"/>
        <v>143842737</v>
      </c>
      <c r="K75" s="77">
        <f t="shared" si="1"/>
        <v>2</v>
      </c>
    </row>
    <row r="76" ht="15.75" customHeight="1">
      <c r="A76" s="94">
        <v>44966.0</v>
      </c>
      <c r="B76" s="74"/>
      <c r="C76" s="96"/>
      <c r="D76" s="97"/>
      <c r="E76" s="82" t="s">
        <v>372</v>
      </c>
      <c r="F76" s="73" t="s">
        <v>373</v>
      </c>
      <c r="G76" s="74"/>
      <c r="H76" s="95">
        <v>0.0</v>
      </c>
      <c r="I76" s="95">
        <v>7.8975E7</v>
      </c>
      <c r="J76" s="80">
        <f t="shared" si="2"/>
        <v>64867737</v>
      </c>
      <c r="K76" s="77">
        <f t="shared" si="1"/>
        <v>2</v>
      </c>
    </row>
    <row r="77" ht="15.75" customHeight="1">
      <c r="A77" s="94">
        <v>44966.0</v>
      </c>
      <c r="B77" s="74"/>
      <c r="C77" s="70"/>
      <c r="D77" s="84" t="s">
        <v>247</v>
      </c>
      <c r="E77" s="73" t="s">
        <v>374</v>
      </c>
      <c r="F77" s="73" t="s">
        <v>307</v>
      </c>
      <c r="G77" s="74"/>
      <c r="H77" s="95">
        <v>0.0</v>
      </c>
      <c r="I77" s="95">
        <v>2900.0</v>
      </c>
      <c r="J77" s="80">
        <f t="shared" si="2"/>
        <v>64864837</v>
      </c>
      <c r="K77" s="77">
        <f t="shared" si="1"/>
        <v>2</v>
      </c>
    </row>
    <row r="78" ht="15.75" customHeight="1">
      <c r="A78" s="94">
        <v>44977.0</v>
      </c>
      <c r="B78" s="74"/>
      <c r="C78" s="78"/>
      <c r="D78" s="69"/>
      <c r="E78" s="73" t="s">
        <v>295</v>
      </c>
      <c r="F78" s="73" t="s">
        <v>21</v>
      </c>
      <c r="G78" s="74"/>
      <c r="H78" s="95">
        <v>2.0E8</v>
      </c>
      <c r="I78" s="95">
        <v>0.0</v>
      </c>
      <c r="J78" s="80">
        <f t="shared" si="2"/>
        <v>264864837</v>
      </c>
      <c r="K78" s="77">
        <f t="shared" si="1"/>
        <v>2</v>
      </c>
    </row>
    <row r="79" ht="15.75" customHeight="1">
      <c r="A79" s="94">
        <v>44978.0</v>
      </c>
      <c r="B79" s="74"/>
      <c r="C79" s="98"/>
      <c r="D79" s="84" t="s">
        <v>32</v>
      </c>
      <c r="E79" s="72" t="s">
        <v>375</v>
      </c>
      <c r="F79" s="73" t="s">
        <v>21</v>
      </c>
      <c r="G79" s="74"/>
      <c r="H79" s="95">
        <v>4.244896E7</v>
      </c>
      <c r="I79" s="95">
        <v>0.0</v>
      </c>
      <c r="J79" s="80">
        <f t="shared" si="2"/>
        <v>307313797</v>
      </c>
      <c r="K79" s="77">
        <f t="shared" si="1"/>
        <v>2</v>
      </c>
    </row>
    <row r="80" ht="15.75" customHeight="1">
      <c r="A80" s="94">
        <v>44985.0</v>
      </c>
      <c r="B80" s="74"/>
      <c r="C80" s="78"/>
      <c r="D80" s="69"/>
      <c r="E80" s="73" t="s">
        <v>376</v>
      </c>
      <c r="F80" s="73" t="s">
        <v>315</v>
      </c>
      <c r="G80" s="74"/>
      <c r="H80" s="95">
        <v>0.0</v>
      </c>
      <c r="I80" s="95">
        <v>9350000.0</v>
      </c>
      <c r="J80" s="80">
        <f t="shared" si="2"/>
        <v>297963797</v>
      </c>
      <c r="K80" s="77">
        <f t="shared" si="1"/>
        <v>2</v>
      </c>
    </row>
    <row r="81" ht="15.75" customHeight="1">
      <c r="A81" s="94">
        <v>44985.0</v>
      </c>
      <c r="B81" s="74"/>
      <c r="C81" s="78"/>
      <c r="D81" s="71"/>
      <c r="E81" s="73" t="s">
        <v>377</v>
      </c>
      <c r="F81" s="73" t="s">
        <v>317</v>
      </c>
      <c r="G81" s="74"/>
      <c r="H81" s="95">
        <v>0.0</v>
      </c>
      <c r="I81" s="95">
        <v>300000.0</v>
      </c>
      <c r="J81" s="80">
        <f t="shared" si="2"/>
        <v>297663797</v>
      </c>
      <c r="K81" s="77">
        <f t="shared" si="1"/>
        <v>2</v>
      </c>
    </row>
    <row r="82" ht="15.75" customHeight="1">
      <c r="A82" s="94">
        <v>44985.0</v>
      </c>
      <c r="B82" s="74"/>
      <c r="C82" s="78"/>
      <c r="D82" s="69"/>
      <c r="E82" s="73" t="s">
        <v>378</v>
      </c>
      <c r="F82" s="73" t="s">
        <v>21</v>
      </c>
      <c r="G82" s="74"/>
      <c r="H82" s="95">
        <v>4000000.0</v>
      </c>
      <c r="I82" s="95">
        <v>0.0</v>
      </c>
      <c r="J82" s="80">
        <f t="shared" si="2"/>
        <v>301663797</v>
      </c>
      <c r="K82" s="77">
        <f t="shared" si="1"/>
        <v>2</v>
      </c>
    </row>
    <row r="83" ht="15.75" customHeight="1">
      <c r="A83" s="94">
        <v>44985.0</v>
      </c>
      <c r="B83" s="74"/>
      <c r="C83" s="78"/>
      <c r="D83" s="69"/>
      <c r="E83" s="73" t="s">
        <v>319</v>
      </c>
      <c r="F83" s="73" t="s">
        <v>320</v>
      </c>
      <c r="G83" s="74"/>
      <c r="H83" s="95">
        <v>0.0</v>
      </c>
      <c r="I83" s="95">
        <v>7000000.0</v>
      </c>
      <c r="J83" s="80">
        <f t="shared" si="2"/>
        <v>294663797</v>
      </c>
      <c r="K83" s="77">
        <f t="shared" si="1"/>
        <v>2</v>
      </c>
    </row>
    <row r="84" ht="15.75" customHeight="1">
      <c r="A84" s="94">
        <v>44985.0</v>
      </c>
      <c r="B84" s="74"/>
      <c r="C84" s="70"/>
      <c r="D84" s="71"/>
      <c r="E84" s="73" t="s">
        <v>319</v>
      </c>
      <c r="F84" s="73" t="s">
        <v>321</v>
      </c>
      <c r="G84" s="74"/>
      <c r="H84" s="95">
        <v>0.0</v>
      </c>
      <c r="I84" s="95">
        <v>8000000.0</v>
      </c>
      <c r="J84" s="80">
        <f t="shared" si="2"/>
        <v>286663797</v>
      </c>
      <c r="K84" s="77">
        <f t="shared" si="1"/>
        <v>2</v>
      </c>
    </row>
    <row r="85" ht="15.75" customHeight="1">
      <c r="A85" s="94">
        <v>44985.0</v>
      </c>
      <c r="B85" s="74"/>
      <c r="C85" s="78"/>
      <c r="D85" s="69"/>
      <c r="E85" s="73" t="s">
        <v>379</v>
      </c>
      <c r="F85" s="73" t="s">
        <v>315</v>
      </c>
      <c r="G85" s="74"/>
      <c r="H85" s="95">
        <v>0.0</v>
      </c>
      <c r="I85" s="95">
        <v>9800000.0</v>
      </c>
      <c r="J85" s="80">
        <f t="shared" si="2"/>
        <v>276863797</v>
      </c>
      <c r="K85" s="77">
        <f t="shared" si="1"/>
        <v>2</v>
      </c>
    </row>
    <row r="86" ht="15.75" customHeight="1">
      <c r="A86" s="94">
        <v>44985.0</v>
      </c>
      <c r="B86" s="74"/>
      <c r="C86" s="78"/>
      <c r="D86" s="71"/>
      <c r="E86" s="73" t="s">
        <v>380</v>
      </c>
      <c r="F86" s="73" t="s">
        <v>317</v>
      </c>
      <c r="G86" s="74"/>
      <c r="H86" s="95">
        <v>0.0</v>
      </c>
      <c r="I86" s="95">
        <v>0.0</v>
      </c>
      <c r="J86" s="80">
        <f t="shared" si="2"/>
        <v>276863797</v>
      </c>
      <c r="K86" s="77">
        <f t="shared" si="1"/>
        <v>2</v>
      </c>
    </row>
    <row r="87" ht="15.75" customHeight="1">
      <c r="A87" s="94">
        <v>44985.0</v>
      </c>
      <c r="B87" s="74"/>
      <c r="C87" s="70"/>
      <c r="D87" s="71"/>
      <c r="E87" s="73" t="s">
        <v>381</v>
      </c>
      <c r="F87" s="73" t="s">
        <v>325</v>
      </c>
      <c r="G87" s="74"/>
      <c r="H87" s="95">
        <v>0.0</v>
      </c>
      <c r="I87" s="95">
        <v>0.0</v>
      </c>
      <c r="J87" s="80">
        <f t="shared" si="2"/>
        <v>276863797</v>
      </c>
      <c r="K87" s="77">
        <f t="shared" si="1"/>
        <v>2</v>
      </c>
    </row>
    <row r="88" ht="15.75" customHeight="1">
      <c r="A88" s="94">
        <v>44985.0</v>
      </c>
      <c r="B88" s="74"/>
      <c r="C88" s="70"/>
      <c r="D88" s="69"/>
      <c r="E88" s="73" t="s">
        <v>382</v>
      </c>
      <c r="F88" s="73" t="s">
        <v>327</v>
      </c>
      <c r="G88" s="74"/>
      <c r="H88" s="95">
        <v>0.0</v>
      </c>
      <c r="I88" s="95">
        <v>5.085E7</v>
      </c>
      <c r="J88" s="80">
        <f t="shared" si="2"/>
        <v>226013797</v>
      </c>
      <c r="K88" s="77">
        <f t="shared" si="1"/>
        <v>2</v>
      </c>
    </row>
    <row r="89" ht="15.75" customHeight="1">
      <c r="A89" s="94">
        <v>44985.0</v>
      </c>
      <c r="B89" s="74"/>
      <c r="C89" s="70"/>
      <c r="D89" s="71"/>
      <c r="E89" s="73" t="s">
        <v>383</v>
      </c>
      <c r="F89" s="73" t="s">
        <v>329</v>
      </c>
      <c r="G89" s="74"/>
      <c r="H89" s="95">
        <v>0.0</v>
      </c>
      <c r="I89" s="95">
        <v>1250000.0</v>
      </c>
      <c r="J89" s="80">
        <f t="shared" si="2"/>
        <v>224763797</v>
      </c>
      <c r="K89" s="77">
        <f t="shared" si="1"/>
        <v>2</v>
      </c>
    </row>
    <row r="90" ht="15.75" customHeight="1">
      <c r="A90" s="94">
        <v>44985.0</v>
      </c>
      <c r="B90" s="74"/>
      <c r="C90" s="70"/>
      <c r="D90" s="69"/>
      <c r="E90" s="73" t="s">
        <v>384</v>
      </c>
      <c r="F90" s="73" t="s">
        <v>331</v>
      </c>
      <c r="G90" s="74"/>
      <c r="H90" s="95">
        <v>0.0</v>
      </c>
      <c r="I90" s="95">
        <v>2.275E7</v>
      </c>
      <c r="J90" s="80">
        <f t="shared" si="2"/>
        <v>202013797</v>
      </c>
      <c r="K90" s="77">
        <f t="shared" si="1"/>
        <v>2</v>
      </c>
    </row>
    <row r="91" ht="15.75" customHeight="1">
      <c r="A91" s="94">
        <v>44985.0</v>
      </c>
      <c r="B91" s="74"/>
      <c r="C91" s="70"/>
      <c r="D91" s="71"/>
      <c r="E91" s="73" t="s">
        <v>385</v>
      </c>
      <c r="F91" s="73" t="s">
        <v>21</v>
      </c>
      <c r="G91" s="74"/>
      <c r="H91" s="95">
        <v>1400000.0</v>
      </c>
      <c r="I91" s="95">
        <v>0.0</v>
      </c>
      <c r="J91" s="80">
        <f t="shared" si="2"/>
        <v>203413797</v>
      </c>
      <c r="K91" s="77">
        <f t="shared" si="1"/>
        <v>2</v>
      </c>
    </row>
    <row r="92" ht="15.75" customHeight="1">
      <c r="A92" s="94">
        <v>44985.0</v>
      </c>
      <c r="B92" s="74"/>
      <c r="C92" s="70"/>
      <c r="D92" s="71"/>
      <c r="E92" s="73" t="s">
        <v>386</v>
      </c>
      <c r="F92" s="73" t="s">
        <v>315</v>
      </c>
      <c r="G92" s="74"/>
      <c r="H92" s="95">
        <v>0.0</v>
      </c>
      <c r="I92" s="95">
        <v>1.305E7</v>
      </c>
      <c r="J92" s="80">
        <f t="shared" si="2"/>
        <v>190363797</v>
      </c>
      <c r="K92" s="77">
        <f t="shared" si="1"/>
        <v>2</v>
      </c>
    </row>
    <row r="93" ht="15.75" customHeight="1">
      <c r="A93" s="94">
        <v>44985.0</v>
      </c>
      <c r="B93" s="74"/>
      <c r="C93" s="70"/>
      <c r="D93" s="71"/>
      <c r="E93" s="73" t="s">
        <v>387</v>
      </c>
      <c r="F93" s="73" t="s">
        <v>21</v>
      </c>
      <c r="G93" s="74"/>
      <c r="H93" s="95">
        <v>1000000.0</v>
      </c>
      <c r="I93" s="95">
        <v>0.0</v>
      </c>
      <c r="J93" s="80">
        <f t="shared" si="2"/>
        <v>191363797</v>
      </c>
      <c r="K93" s="77">
        <f t="shared" si="1"/>
        <v>2</v>
      </c>
    </row>
    <row r="94" ht="15.75" customHeight="1">
      <c r="A94" s="94">
        <v>44985.0</v>
      </c>
      <c r="B94" s="74"/>
      <c r="C94" s="70"/>
      <c r="D94" s="71"/>
      <c r="E94" s="73" t="s">
        <v>335</v>
      </c>
      <c r="F94" s="73" t="s">
        <v>315</v>
      </c>
      <c r="G94" s="74"/>
      <c r="H94" s="95">
        <v>0.0</v>
      </c>
      <c r="I94" s="95">
        <v>7000000.0</v>
      </c>
      <c r="J94" s="80">
        <f t="shared" si="2"/>
        <v>184363797</v>
      </c>
      <c r="K94" s="77">
        <f t="shared" si="1"/>
        <v>2</v>
      </c>
    </row>
    <row r="95" ht="15.75" customHeight="1">
      <c r="A95" s="94">
        <v>44985.0</v>
      </c>
      <c r="B95" s="74"/>
      <c r="C95" s="70"/>
      <c r="D95" s="71"/>
      <c r="E95" s="73" t="s">
        <v>336</v>
      </c>
      <c r="F95" s="73" t="s">
        <v>21</v>
      </c>
      <c r="G95" s="74"/>
      <c r="H95" s="95">
        <v>1000000.0</v>
      </c>
      <c r="I95" s="95">
        <v>0.0</v>
      </c>
      <c r="J95" s="80">
        <f t="shared" si="2"/>
        <v>185363797</v>
      </c>
      <c r="K95" s="77">
        <f t="shared" si="1"/>
        <v>2</v>
      </c>
    </row>
    <row r="96" ht="15.75" customHeight="1">
      <c r="A96" s="94">
        <v>44985.0</v>
      </c>
      <c r="B96" s="74"/>
      <c r="C96" s="70"/>
      <c r="D96" s="71"/>
      <c r="E96" s="73" t="s">
        <v>337</v>
      </c>
      <c r="F96" s="73" t="s">
        <v>315</v>
      </c>
      <c r="G96" s="74"/>
      <c r="H96" s="95">
        <v>0.0</v>
      </c>
      <c r="I96" s="95">
        <v>5400000.0</v>
      </c>
      <c r="J96" s="80">
        <f t="shared" si="2"/>
        <v>179963797</v>
      </c>
      <c r="K96" s="77">
        <f t="shared" si="1"/>
        <v>2</v>
      </c>
    </row>
    <row r="97" ht="15.75" customHeight="1">
      <c r="A97" s="94">
        <v>44985.0</v>
      </c>
      <c r="B97" s="74"/>
      <c r="C97" s="78"/>
      <c r="D97" s="69"/>
      <c r="E97" s="73" t="s">
        <v>338</v>
      </c>
      <c r="F97" s="73" t="s">
        <v>21</v>
      </c>
      <c r="G97" s="74"/>
      <c r="H97" s="95">
        <v>1000000.0</v>
      </c>
      <c r="I97" s="95">
        <v>0.0</v>
      </c>
      <c r="J97" s="80">
        <f t="shared" si="2"/>
        <v>180963797</v>
      </c>
      <c r="K97" s="77">
        <f t="shared" si="1"/>
        <v>2</v>
      </c>
    </row>
    <row r="98" ht="15.75" customHeight="1">
      <c r="A98" s="94">
        <v>44985.0</v>
      </c>
      <c r="B98" s="74"/>
      <c r="C98" s="98"/>
      <c r="D98" s="84" t="s">
        <v>247</v>
      </c>
      <c r="E98" s="72" t="s">
        <v>339</v>
      </c>
      <c r="F98" s="73" t="s">
        <v>307</v>
      </c>
      <c r="G98" s="74"/>
      <c r="H98" s="95">
        <v>0.0</v>
      </c>
      <c r="I98" s="95">
        <v>2900.0</v>
      </c>
      <c r="J98" s="80">
        <f t="shared" si="2"/>
        <v>180960897</v>
      </c>
      <c r="K98" s="77">
        <f t="shared" si="1"/>
        <v>2</v>
      </c>
    </row>
    <row r="99" ht="15.75" customHeight="1">
      <c r="A99" s="94">
        <v>44985.0</v>
      </c>
      <c r="B99" s="74"/>
      <c r="C99" s="70"/>
      <c r="D99" s="84" t="s">
        <v>247</v>
      </c>
      <c r="E99" s="73" t="s">
        <v>340</v>
      </c>
      <c r="F99" s="73" t="s">
        <v>307</v>
      </c>
      <c r="G99" s="74"/>
      <c r="H99" s="95">
        <v>0.0</v>
      </c>
      <c r="I99" s="95">
        <v>31900.0</v>
      </c>
      <c r="J99" s="80">
        <f t="shared" si="2"/>
        <v>180928997</v>
      </c>
      <c r="K99" s="77">
        <f t="shared" si="1"/>
        <v>2</v>
      </c>
    </row>
    <row r="100" ht="15.75" customHeight="1">
      <c r="A100" s="94">
        <v>44985.0</v>
      </c>
      <c r="B100" s="74"/>
      <c r="C100" s="70"/>
      <c r="D100" s="84" t="s">
        <v>247</v>
      </c>
      <c r="E100" s="73" t="s">
        <v>341</v>
      </c>
      <c r="F100" s="73" t="s">
        <v>307</v>
      </c>
      <c r="G100" s="74"/>
      <c r="H100" s="95">
        <v>0.0</v>
      </c>
      <c r="I100" s="95">
        <v>2900.0</v>
      </c>
      <c r="J100" s="80">
        <f t="shared" si="2"/>
        <v>180926097</v>
      </c>
      <c r="K100" s="77">
        <f t="shared" si="1"/>
        <v>2</v>
      </c>
    </row>
    <row r="101" ht="15.75" customHeight="1">
      <c r="A101" s="94">
        <v>44985.0</v>
      </c>
      <c r="B101" s="74"/>
      <c r="C101" s="70"/>
      <c r="D101" s="84" t="s">
        <v>247</v>
      </c>
      <c r="E101" s="73" t="s">
        <v>342</v>
      </c>
      <c r="F101" s="73" t="s">
        <v>307</v>
      </c>
      <c r="G101" s="74"/>
      <c r="H101" s="95">
        <v>0.0</v>
      </c>
      <c r="I101" s="95">
        <v>0.0</v>
      </c>
      <c r="J101" s="80">
        <f t="shared" si="2"/>
        <v>180926097</v>
      </c>
      <c r="K101" s="77">
        <f t="shared" si="1"/>
        <v>2</v>
      </c>
    </row>
    <row r="102" ht="15.75" customHeight="1">
      <c r="A102" s="94">
        <v>44985.0</v>
      </c>
      <c r="B102" s="74"/>
      <c r="C102" s="70"/>
      <c r="D102" s="84" t="s">
        <v>247</v>
      </c>
      <c r="E102" s="73" t="s">
        <v>343</v>
      </c>
      <c r="F102" s="73" t="s">
        <v>307</v>
      </c>
      <c r="G102" s="74"/>
      <c r="H102" s="95">
        <v>0.0</v>
      </c>
      <c r="I102" s="95">
        <v>0.0</v>
      </c>
      <c r="J102" s="80">
        <f t="shared" si="2"/>
        <v>180926097</v>
      </c>
      <c r="K102" s="77">
        <f t="shared" si="1"/>
        <v>2</v>
      </c>
    </row>
    <row r="103" ht="15.75" customHeight="1">
      <c r="A103" s="94">
        <v>44985.0</v>
      </c>
      <c r="B103" s="74"/>
      <c r="C103" s="70"/>
      <c r="D103" s="84" t="s">
        <v>247</v>
      </c>
      <c r="E103" s="73" t="s">
        <v>360</v>
      </c>
      <c r="F103" s="73" t="s">
        <v>361</v>
      </c>
      <c r="G103" s="74"/>
      <c r="H103" s="95">
        <v>0.0</v>
      </c>
      <c r="I103" s="95">
        <v>30000.0</v>
      </c>
      <c r="J103" s="80">
        <f t="shared" si="2"/>
        <v>180896097</v>
      </c>
      <c r="K103" s="77">
        <f t="shared" si="1"/>
        <v>2</v>
      </c>
    </row>
    <row r="104" ht="15.75" customHeight="1">
      <c r="A104" s="94">
        <v>44986.0</v>
      </c>
      <c r="B104" s="74"/>
      <c r="C104" s="70"/>
      <c r="D104" s="69"/>
      <c r="E104" s="73" t="s">
        <v>388</v>
      </c>
      <c r="F104" s="73" t="s">
        <v>305</v>
      </c>
      <c r="G104" s="74"/>
      <c r="H104" s="95">
        <v>0.0</v>
      </c>
      <c r="I104" s="95">
        <v>2500000.0</v>
      </c>
      <c r="J104" s="80">
        <f t="shared" si="2"/>
        <v>178396097</v>
      </c>
      <c r="K104" s="77">
        <f t="shared" si="1"/>
        <v>3</v>
      </c>
    </row>
    <row r="105" ht="15.75" customHeight="1">
      <c r="A105" s="94">
        <v>44986.0</v>
      </c>
      <c r="B105" s="74"/>
      <c r="C105" s="70"/>
      <c r="D105" s="84" t="s">
        <v>247</v>
      </c>
      <c r="E105" s="73" t="s">
        <v>311</v>
      </c>
      <c r="F105" s="73" t="s">
        <v>307</v>
      </c>
      <c r="G105" s="74"/>
      <c r="H105" s="95">
        <v>0.0</v>
      </c>
      <c r="I105" s="95">
        <v>6500.0</v>
      </c>
      <c r="J105" s="80">
        <f t="shared" si="2"/>
        <v>178389597</v>
      </c>
      <c r="K105" s="77">
        <f t="shared" si="1"/>
        <v>3</v>
      </c>
    </row>
    <row r="106" ht="15.75" customHeight="1">
      <c r="A106" s="94">
        <v>44988.0</v>
      </c>
      <c r="B106" s="74"/>
      <c r="C106" s="78"/>
      <c r="D106" s="69"/>
      <c r="E106" s="73" t="s">
        <v>389</v>
      </c>
      <c r="F106" s="73" t="s">
        <v>288</v>
      </c>
      <c r="G106" s="74"/>
      <c r="H106" s="95">
        <v>0.0</v>
      </c>
      <c r="I106" s="95">
        <v>1.05E7</v>
      </c>
      <c r="J106" s="80">
        <f t="shared" si="2"/>
        <v>167889597</v>
      </c>
      <c r="K106" s="77">
        <f t="shared" si="1"/>
        <v>3</v>
      </c>
    </row>
    <row r="107" ht="15.75" customHeight="1">
      <c r="A107" s="94">
        <v>44988.0</v>
      </c>
      <c r="B107" s="74"/>
      <c r="C107" s="70"/>
      <c r="D107" s="71"/>
      <c r="E107" s="73" t="s">
        <v>390</v>
      </c>
      <c r="F107" s="73" t="s">
        <v>367</v>
      </c>
      <c r="G107" s="74"/>
      <c r="H107" s="95">
        <v>0.0</v>
      </c>
      <c r="I107" s="95">
        <v>138875.0</v>
      </c>
      <c r="J107" s="80">
        <f t="shared" si="2"/>
        <v>167750722</v>
      </c>
      <c r="K107" s="77">
        <f t="shared" si="1"/>
        <v>3</v>
      </c>
    </row>
    <row r="108" ht="15.75" customHeight="1">
      <c r="A108" s="94">
        <v>44988.0</v>
      </c>
      <c r="B108" s="74"/>
      <c r="C108" s="70"/>
      <c r="D108" s="71"/>
      <c r="E108" s="73" t="s">
        <v>391</v>
      </c>
      <c r="F108" s="73" t="s">
        <v>367</v>
      </c>
      <c r="G108" s="74"/>
      <c r="H108" s="95">
        <v>0.0</v>
      </c>
      <c r="I108" s="95">
        <v>209250.0</v>
      </c>
      <c r="J108" s="80">
        <f t="shared" si="2"/>
        <v>167541472</v>
      </c>
      <c r="K108" s="77">
        <f t="shared" si="1"/>
        <v>3</v>
      </c>
    </row>
    <row r="109" ht="15.75" customHeight="1">
      <c r="A109" s="94">
        <v>44988.0</v>
      </c>
      <c r="B109" s="74"/>
      <c r="C109" s="70"/>
      <c r="D109" s="69"/>
      <c r="E109" s="73" t="s">
        <v>392</v>
      </c>
      <c r="F109" s="73" t="s">
        <v>367</v>
      </c>
      <c r="G109" s="74"/>
      <c r="H109" s="95">
        <v>0.0</v>
      </c>
      <c r="I109" s="95">
        <v>124750.0</v>
      </c>
      <c r="J109" s="80">
        <f t="shared" si="2"/>
        <v>167416722</v>
      </c>
      <c r="K109" s="77">
        <f t="shared" si="1"/>
        <v>3</v>
      </c>
    </row>
    <row r="110" ht="15.75" customHeight="1">
      <c r="A110" s="94">
        <v>44988.0</v>
      </c>
      <c r="B110" s="74"/>
      <c r="C110" s="78"/>
      <c r="D110" s="69"/>
      <c r="E110" s="73" t="s">
        <v>393</v>
      </c>
      <c r="F110" s="73" t="s">
        <v>371</v>
      </c>
      <c r="G110" s="74"/>
      <c r="H110" s="95">
        <v>0.0</v>
      </c>
      <c r="I110" s="95">
        <v>4283840.0</v>
      </c>
      <c r="J110" s="80">
        <f t="shared" si="2"/>
        <v>163132882</v>
      </c>
      <c r="K110" s="77">
        <f t="shared" si="1"/>
        <v>3</v>
      </c>
    </row>
    <row r="111" ht="15.75" customHeight="1">
      <c r="A111" s="94">
        <v>44992.0</v>
      </c>
      <c r="B111" s="74"/>
      <c r="C111" s="78"/>
      <c r="D111" s="69"/>
      <c r="E111" s="73" t="s">
        <v>394</v>
      </c>
      <c r="F111" s="73" t="s">
        <v>305</v>
      </c>
      <c r="G111" s="74"/>
      <c r="H111" s="95">
        <v>0.0</v>
      </c>
      <c r="I111" s="95">
        <v>5000000.0</v>
      </c>
      <c r="J111" s="80">
        <f t="shared" si="2"/>
        <v>158132882</v>
      </c>
      <c r="K111" s="77">
        <f t="shared" si="1"/>
        <v>3</v>
      </c>
    </row>
    <row r="112" ht="15.75" customHeight="1">
      <c r="A112" s="94">
        <v>44995.0</v>
      </c>
      <c r="B112" s="74"/>
      <c r="C112" s="78"/>
      <c r="D112" s="69"/>
      <c r="E112" s="73" t="s">
        <v>395</v>
      </c>
      <c r="F112" s="73" t="s">
        <v>396</v>
      </c>
      <c r="G112" s="74"/>
      <c r="H112" s="95">
        <v>0.0</v>
      </c>
      <c r="I112" s="95">
        <v>1.0727E7</v>
      </c>
      <c r="J112" s="80">
        <f t="shared" si="2"/>
        <v>147405882</v>
      </c>
      <c r="K112" s="77">
        <f t="shared" si="1"/>
        <v>3</v>
      </c>
    </row>
    <row r="113" ht="15.75" customHeight="1">
      <c r="A113" s="94">
        <v>45006.0</v>
      </c>
      <c r="B113" s="74"/>
      <c r="C113" s="70"/>
      <c r="D113" s="71"/>
      <c r="E113" s="73" t="s">
        <v>295</v>
      </c>
      <c r="F113" s="73" t="s">
        <v>21</v>
      </c>
      <c r="G113" s="74"/>
      <c r="H113" s="95">
        <v>2.5E8</v>
      </c>
      <c r="I113" s="95">
        <v>0.0</v>
      </c>
      <c r="J113" s="80">
        <f t="shared" si="2"/>
        <v>397405882</v>
      </c>
      <c r="K113" s="77">
        <f t="shared" si="1"/>
        <v>3</v>
      </c>
    </row>
    <row r="114" ht="15.75" customHeight="1">
      <c r="A114" s="99">
        <v>45012.0</v>
      </c>
      <c r="B114" s="74"/>
      <c r="C114" s="70"/>
      <c r="D114" s="71"/>
      <c r="E114" s="73" t="s">
        <v>397</v>
      </c>
      <c r="F114" s="73" t="s">
        <v>398</v>
      </c>
      <c r="G114" s="74"/>
      <c r="H114" s="95">
        <v>0.0</v>
      </c>
      <c r="I114" s="95">
        <v>125000.0</v>
      </c>
      <c r="J114" s="80">
        <f t="shared" si="2"/>
        <v>397280882</v>
      </c>
      <c r="K114" s="77">
        <f t="shared" si="1"/>
        <v>3</v>
      </c>
    </row>
    <row r="115" ht="15.75" customHeight="1">
      <c r="A115" s="99">
        <v>45012.0</v>
      </c>
      <c r="B115" s="74"/>
      <c r="C115" s="78"/>
      <c r="D115" s="84" t="s">
        <v>247</v>
      </c>
      <c r="E115" s="73" t="s">
        <v>306</v>
      </c>
      <c r="F115" s="73" t="s">
        <v>307</v>
      </c>
      <c r="G115" s="74"/>
      <c r="H115" s="95">
        <v>0.0</v>
      </c>
      <c r="I115" s="95">
        <v>2500.0</v>
      </c>
      <c r="J115" s="80">
        <f t="shared" si="2"/>
        <v>397278382</v>
      </c>
      <c r="K115" s="77">
        <f t="shared" si="1"/>
        <v>3</v>
      </c>
    </row>
    <row r="116" ht="15.75" customHeight="1">
      <c r="A116" s="99">
        <v>45014.0</v>
      </c>
      <c r="B116" s="74"/>
      <c r="C116" s="78"/>
      <c r="D116" s="71"/>
      <c r="E116" s="73" t="s">
        <v>397</v>
      </c>
      <c r="F116" s="73" t="s">
        <v>398</v>
      </c>
      <c r="G116" s="74"/>
      <c r="H116" s="95">
        <v>0.0</v>
      </c>
      <c r="I116" s="95">
        <v>1800000.0</v>
      </c>
      <c r="J116" s="80">
        <f t="shared" si="2"/>
        <v>395478382</v>
      </c>
      <c r="K116" s="77">
        <f t="shared" si="1"/>
        <v>3</v>
      </c>
    </row>
    <row r="117" ht="15.75" customHeight="1">
      <c r="A117" s="99">
        <v>45014.0</v>
      </c>
      <c r="B117" s="74"/>
      <c r="C117" s="70"/>
      <c r="D117" s="84" t="s">
        <v>247</v>
      </c>
      <c r="E117" s="73" t="s">
        <v>306</v>
      </c>
      <c r="F117" s="73" t="s">
        <v>307</v>
      </c>
      <c r="G117" s="74"/>
      <c r="H117" s="95">
        <v>0.0</v>
      </c>
      <c r="I117" s="95">
        <v>2500.0</v>
      </c>
      <c r="J117" s="80">
        <f t="shared" si="2"/>
        <v>395475882</v>
      </c>
      <c r="K117" s="77">
        <f t="shared" si="1"/>
        <v>3</v>
      </c>
    </row>
    <row r="118" ht="15.75" customHeight="1">
      <c r="A118" s="99">
        <v>45014.0</v>
      </c>
      <c r="B118" s="74"/>
      <c r="C118" s="100"/>
      <c r="D118" s="101"/>
      <c r="E118" s="72" t="s">
        <v>397</v>
      </c>
      <c r="F118" s="73" t="s">
        <v>21</v>
      </c>
      <c r="G118" s="74"/>
      <c r="H118" s="95">
        <v>1620000.0</v>
      </c>
      <c r="I118" s="95">
        <v>0.0</v>
      </c>
      <c r="J118" s="80">
        <f t="shared" si="2"/>
        <v>397095882</v>
      </c>
      <c r="K118" s="77">
        <f t="shared" si="1"/>
        <v>3</v>
      </c>
    </row>
    <row r="119" ht="15.75" customHeight="1">
      <c r="A119" s="99">
        <v>45014.0</v>
      </c>
      <c r="B119" s="74"/>
      <c r="C119" s="70"/>
      <c r="D119" s="71"/>
      <c r="E119" s="73" t="s">
        <v>312</v>
      </c>
      <c r="F119" s="73" t="s">
        <v>313</v>
      </c>
      <c r="G119" s="74"/>
      <c r="H119" s="95">
        <v>0.0</v>
      </c>
      <c r="I119" s="95">
        <v>9.125E7</v>
      </c>
      <c r="J119" s="80">
        <f t="shared" si="2"/>
        <v>305845882</v>
      </c>
      <c r="K119" s="77">
        <f t="shared" si="1"/>
        <v>3</v>
      </c>
    </row>
    <row r="120" ht="15.75" customHeight="1">
      <c r="A120" s="99">
        <v>45014.0</v>
      </c>
      <c r="B120" s="74"/>
      <c r="C120" s="70"/>
      <c r="D120" s="84" t="s">
        <v>247</v>
      </c>
      <c r="E120" s="73" t="s">
        <v>306</v>
      </c>
      <c r="F120" s="73" t="s">
        <v>307</v>
      </c>
      <c r="G120" s="74"/>
      <c r="H120" s="95">
        <v>0.0</v>
      </c>
      <c r="I120" s="95">
        <v>2500.0</v>
      </c>
      <c r="J120" s="80">
        <f t="shared" si="2"/>
        <v>305843382</v>
      </c>
      <c r="K120" s="77">
        <f t="shared" si="1"/>
        <v>3</v>
      </c>
    </row>
    <row r="121" ht="15.75" customHeight="1">
      <c r="A121" s="99">
        <v>45015.0</v>
      </c>
      <c r="B121" s="74"/>
      <c r="C121" s="70"/>
      <c r="D121" s="71"/>
      <c r="E121" s="73" t="s">
        <v>399</v>
      </c>
      <c r="F121" s="73" t="s">
        <v>315</v>
      </c>
      <c r="G121" s="74"/>
      <c r="H121" s="95">
        <v>0.0</v>
      </c>
      <c r="I121" s="95">
        <v>9350000.0</v>
      </c>
      <c r="J121" s="80">
        <f t="shared" si="2"/>
        <v>296493382</v>
      </c>
      <c r="K121" s="77">
        <f t="shared" si="1"/>
        <v>3</v>
      </c>
    </row>
    <row r="122" ht="15.75" customHeight="1">
      <c r="A122" s="99">
        <v>45015.0</v>
      </c>
      <c r="B122" s="74"/>
      <c r="C122" s="70"/>
      <c r="D122" s="69"/>
      <c r="E122" s="73" t="s">
        <v>400</v>
      </c>
      <c r="F122" s="73" t="s">
        <v>317</v>
      </c>
      <c r="G122" s="74"/>
      <c r="H122" s="95">
        <v>0.0</v>
      </c>
      <c r="I122" s="95">
        <v>300000.0</v>
      </c>
      <c r="J122" s="80">
        <f t="shared" si="2"/>
        <v>296193382</v>
      </c>
      <c r="K122" s="77">
        <f t="shared" si="1"/>
        <v>3</v>
      </c>
    </row>
    <row r="123" ht="15.75" customHeight="1">
      <c r="A123" s="99">
        <v>45015.0</v>
      </c>
      <c r="B123" s="74"/>
      <c r="C123" s="70"/>
      <c r="D123" s="71"/>
      <c r="E123" s="73" t="s">
        <v>401</v>
      </c>
      <c r="F123" s="73" t="s">
        <v>21</v>
      </c>
      <c r="G123" s="74"/>
      <c r="H123" s="95">
        <v>4000000.0</v>
      </c>
      <c r="I123" s="95">
        <v>0.0</v>
      </c>
      <c r="J123" s="80">
        <f t="shared" si="2"/>
        <v>300193382</v>
      </c>
      <c r="K123" s="77">
        <f t="shared" si="1"/>
        <v>3</v>
      </c>
    </row>
    <row r="124" ht="15.75" customHeight="1">
      <c r="A124" s="99">
        <v>45015.0</v>
      </c>
      <c r="B124" s="74"/>
      <c r="C124" s="78"/>
      <c r="D124" s="69"/>
      <c r="E124" s="73" t="s">
        <v>319</v>
      </c>
      <c r="F124" s="73" t="s">
        <v>320</v>
      </c>
      <c r="G124" s="74"/>
      <c r="H124" s="95">
        <v>0.0</v>
      </c>
      <c r="I124" s="95">
        <v>7000000.0</v>
      </c>
      <c r="J124" s="80">
        <f t="shared" si="2"/>
        <v>293193382</v>
      </c>
      <c r="K124" s="77">
        <f t="shared" si="1"/>
        <v>3</v>
      </c>
    </row>
    <row r="125" ht="15.75" customHeight="1">
      <c r="A125" s="99">
        <v>45015.0</v>
      </c>
      <c r="B125" s="74"/>
      <c r="C125" s="78"/>
      <c r="D125" s="69"/>
      <c r="E125" s="73" t="s">
        <v>319</v>
      </c>
      <c r="F125" s="73" t="s">
        <v>321</v>
      </c>
      <c r="G125" s="74"/>
      <c r="H125" s="95">
        <v>0.0</v>
      </c>
      <c r="I125" s="95">
        <v>8000000.0</v>
      </c>
      <c r="J125" s="80">
        <f t="shared" si="2"/>
        <v>285193382</v>
      </c>
      <c r="K125" s="77">
        <f t="shared" si="1"/>
        <v>3</v>
      </c>
    </row>
    <row r="126" ht="15.75" customHeight="1">
      <c r="A126" s="99">
        <v>45015.0</v>
      </c>
      <c r="B126" s="74"/>
      <c r="C126" s="78"/>
      <c r="D126" s="71"/>
      <c r="E126" s="73" t="s">
        <v>402</v>
      </c>
      <c r="F126" s="73" t="s">
        <v>315</v>
      </c>
      <c r="G126" s="74"/>
      <c r="H126" s="95">
        <v>0.0</v>
      </c>
      <c r="I126" s="95">
        <v>9800000.0</v>
      </c>
      <c r="J126" s="80">
        <f t="shared" si="2"/>
        <v>275393382</v>
      </c>
      <c r="K126" s="77">
        <f t="shared" si="1"/>
        <v>3</v>
      </c>
    </row>
    <row r="127" ht="15.75" customHeight="1">
      <c r="A127" s="99">
        <v>45015.0</v>
      </c>
      <c r="B127" s="74"/>
      <c r="C127" s="78"/>
      <c r="D127" s="69"/>
      <c r="E127" s="73" t="s">
        <v>403</v>
      </c>
      <c r="F127" s="73" t="s">
        <v>317</v>
      </c>
      <c r="G127" s="74"/>
      <c r="H127" s="95">
        <v>0.0</v>
      </c>
      <c r="I127" s="95">
        <v>0.0</v>
      </c>
      <c r="J127" s="80">
        <f t="shared" si="2"/>
        <v>275393382</v>
      </c>
      <c r="K127" s="77">
        <f t="shared" si="1"/>
        <v>3</v>
      </c>
    </row>
    <row r="128" ht="15.75" customHeight="1">
      <c r="A128" s="99">
        <v>45015.0</v>
      </c>
      <c r="B128" s="74"/>
      <c r="C128" s="78"/>
      <c r="D128" s="69"/>
      <c r="E128" s="73" t="s">
        <v>404</v>
      </c>
      <c r="F128" s="73" t="s">
        <v>325</v>
      </c>
      <c r="G128" s="74"/>
      <c r="H128" s="95">
        <v>0.0</v>
      </c>
      <c r="I128" s="95">
        <v>0.0</v>
      </c>
      <c r="J128" s="80">
        <f t="shared" si="2"/>
        <v>275393382</v>
      </c>
      <c r="K128" s="77">
        <f t="shared" si="1"/>
        <v>3</v>
      </c>
    </row>
    <row r="129" ht="15.75" customHeight="1">
      <c r="A129" s="99">
        <v>45015.0</v>
      </c>
      <c r="B129" s="74"/>
      <c r="C129" s="70"/>
      <c r="D129" s="71"/>
      <c r="E129" s="73" t="s">
        <v>405</v>
      </c>
      <c r="F129" s="73" t="s">
        <v>327</v>
      </c>
      <c r="G129" s="74"/>
      <c r="H129" s="95">
        <v>0.0</v>
      </c>
      <c r="I129" s="95">
        <v>5.085E7</v>
      </c>
      <c r="J129" s="80">
        <f t="shared" si="2"/>
        <v>224543382</v>
      </c>
      <c r="K129" s="77">
        <f t="shared" si="1"/>
        <v>3</v>
      </c>
    </row>
    <row r="130" ht="15.75" customHeight="1">
      <c r="A130" s="99">
        <v>45015.0</v>
      </c>
      <c r="B130" s="74"/>
      <c r="C130" s="70"/>
      <c r="D130" s="71"/>
      <c r="E130" s="73" t="s">
        <v>406</v>
      </c>
      <c r="F130" s="73" t="s">
        <v>329</v>
      </c>
      <c r="G130" s="74"/>
      <c r="H130" s="95">
        <v>0.0</v>
      </c>
      <c r="I130" s="95">
        <v>500000.0</v>
      </c>
      <c r="J130" s="80">
        <f t="shared" si="2"/>
        <v>224043382</v>
      </c>
      <c r="K130" s="77">
        <f t="shared" si="1"/>
        <v>3</v>
      </c>
    </row>
    <row r="131" ht="15.75" customHeight="1">
      <c r="A131" s="99">
        <v>45015.0</v>
      </c>
      <c r="B131" s="74"/>
      <c r="C131" s="98"/>
      <c r="D131" s="101"/>
      <c r="E131" s="73" t="s">
        <v>407</v>
      </c>
      <c r="F131" s="73" t="s">
        <v>331</v>
      </c>
      <c r="G131" s="74"/>
      <c r="H131" s="95">
        <v>0.0</v>
      </c>
      <c r="I131" s="95">
        <v>1.975E7</v>
      </c>
      <c r="J131" s="80">
        <f t="shared" si="2"/>
        <v>204293382</v>
      </c>
      <c r="K131" s="77">
        <f t="shared" si="1"/>
        <v>3</v>
      </c>
    </row>
    <row r="132" ht="15.75" customHeight="1">
      <c r="A132" s="99">
        <v>45015.0</v>
      </c>
      <c r="B132" s="74"/>
      <c r="C132" s="78"/>
      <c r="D132" s="69"/>
      <c r="E132" s="73" t="s">
        <v>408</v>
      </c>
      <c r="F132" s="73" t="s">
        <v>21</v>
      </c>
      <c r="G132" s="74"/>
      <c r="H132" s="95">
        <v>1400000.0</v>
      </c>
      <c r="I132" s="95">
        <v>0.0</v>
      </c>
      <c r="J132" s="80">
        <f t="shared" si="2"/>
        <v>205693382</v>
      </c>
      <c r="K132" s="77">
        <f t="shared" si="1"/>
        <v>3</v>
      </c>
    </row>
    <row r="133" ht="15.75" customHeight="1">
      <c r="A133" s="99">
        <v>45015.0</v>
      </c>
      <c r="B133" s="74"/>
      <c r="C133" s="78"/>
      <c r="D133" s="71"/>
      <c r="E133" s="73" t="s">
        <v>409</v>
      </c>
      <c r="F133" s="73" t="s">
        <v>315</v>
      </c>
      <c r="G133" s="74"/>
      <c r="H133" s="95">
        <v>0.0</v>
      </c>
      <c r="I133" s="95">
        <v>1.305E7</v>
      </c>
      <c r="J133" s="80">
        <f t="shared" si="2"/>
        <v>192643382</v>
      </c>
      <c r="K133" s="77">
        <f t="shared" si="1"/>
        <v>3</v>
      </c>
    </row>
    <row r="134" ht="15.75" customHeight="1">
      <c r="A134" s="99">
        <v>45015.0</v>
      </c>
      <c r="B134" s="74"/>
      <c r="C134" s="100"/>
      <c r="D134" s="71"/>
      <c r="E134" s="73" t="s">
        <v>410</v>
      </c>
      <c r="F134" s="73" t="s">
        <v>21</v>
      </c>
      <c r="G134" s="74"/>
      <c r="H134" s="95">
        <v>1000000.0</v>
      </c>
      <c r="I134" s="95">
        <v>0.0</v>
      </c>
      <c r="J134" s="80">
        <f t="shared" si="2"/>
        <v>193643382</v>
      </c>
      <c r="K134" s="77">
        <f t="shared" si="1"/>
        <v>3</v>
      </c>
    </row>
    <row r="135" ht="15.75" customHeight="1">
      <c r="A135" s="99">
        <v>45015.0</v>
      </c>
      <c r="B135" s="74"/>
      <c r="C135" s="70"/>
      <c r="D135" s="71"/>
      <c r="E135" s="73" t="s">
        <v>411</v>
      </c>
      <c r="F135" s="73" t="s">
        <v>315</v>
      </c>
      <c r="G135" s="74"/>
      <c r="H135" s="95">
        <v>0.0</v>
      </c>
      <c r="I135" s="95">
        <v>7000000.0</v>
      </c>
      <c r="J135" s="80">
        <f t="shared" si="2"/>
        <v>186643382</v>
      </c>
      <c r="K135" s="77">
        <f t="shared" si="1"/>
        <v>3</v>
      </c>
    </row>
    <row r="136" ht="15.75" customHeight="1">
      <c r="A136" s="99">
        <v>45015.0</v>
      </c>
      <c r="B136" s="74"/>
      <c r="C136" s="78"/>
      <c r="D136" s="69"/>
      <c r="E136" s="102" t="s">
        <v>412</v>
      </c>
      <c r="F136" s="73" t="s">
        <v>21</v>
      </c>
      <c r="G136" s="74"/>
      <c r="H136" s="95">
        <v>1000000.0</v>
      </c>
      <c r="I136" s="103">
        <v>0.0</v>
      </c>
      <c r="J136" s="80">
        <f t="shared" si="2"/>
        <v>187643382</v>
      </c>
      <c r="K136" s="77">
        <f t="shared" si="1"/>
        <v>3</v>
      </c>
    </row>
    <row r="137" ht="15.75" customHeight="1">
      <c r="A137" s="99">
        <v>45015.0</v>
      </c>
      <c r="B137" s="74"/>
      <c r="C137" s="78"/>
      <c r="D137" s="69"/>
      <c r="E137" s="102" t="s">
        <v>413</v>
      </c>
      <c r="F137" s="73" t="s">
        <v>315</v>
      </c>
      <c r="G137" s="74"/>
      <c r="H137" s="95">
        <v>0.0</v>
      </c>
      <c r="I137" s="103">
        <v>5400000.0</v>
      </c>
      <c r="J137" s="80">
        <f t="shared" si="2"/>
        <v>182243382</v>
      </c>
      <c r="K137" s="77">
        <f t="shared" si="1"/>
        <v>3</v>
      </c>
    </row>
    <row r="138" ht="15.75" customHeight="1">
      <c r="A138" s="99">
        <v>45015.0</v>
      </c>
      <c r="B138" s="74"/>
      <c r="C138" s="78"/>
      <c r="D138" s="69"/>
      <c r="E138" s="73" t="s">
        <v>414</v>
      </c>
      <c r="F138" s="73" t="s">
        <v>21</v>
      </c>
      <c r="G138" s="74"/>
      <c r="H138" s="95">
        <v>1000000.0</v>
      </c>
      <c r="I138" s="95">
        <v>0.0</v>
      </c>
      <c r="J138" s="80">
        <f t="shared" si="2"/>
        <v>183243382</v>
      </c>
      <c r="K138" s="77">
        <f t="shared" si="1"/>
        <v>3</v>
      </c>
    </row>
    <row r="139" ht="15.75" customHeight="1">
      <c r="A139" s="99">
        <v>45015.0</v>
      </c>
      <c r="B139" s="74"/>
      <c r="C139" s="78"/>
      <c r="D139" s="84" t="s">
        <v>247</v>
      </c>
      <c r="E139" s="73" t="s">
        <v>339</v>
      </c>
      <c r="F139" s="73" t="s">
        <v>307</v>
      </c>
      <c r="G139" s="74"/>
      <c r="H139" s="95">
        <v>0.0</v>
      </c>
      <c r="I139" s="95">
        <v>2900.0</v>
      </c>
      <c r="J139" s="80">
        <f t="shared" si="2"/>
        <v>183240482</v>
      </c>
      <c r="K139" s="77">
        <f t="shared" si="1"/>
        <v>3</v>
      </c>
    </row>
    <row r="140" ht="15.75" customHeight="1">
      <c r="A140" s="99">
        <v>45015.0</v>
      </c>
      <c r="B140" s="74"/>
      <c r="C140" s="78"/>
      <c r="D140" s="84" t="s">
        <v>247</v>
      </c>
      <c r="E140" s="73" t="s">
        <v>340</v>
      </c>
      <c r="F140" s="73" t="s">
        <v>307</v>
      </c>
      <c r="G140" s="74"/>
      <c r="H140" s="95">
        <v>0.0</v>
      </c>
      <c r="I140" s="95">
        <v>31900.0</v>
      </c>
      <c r="J140" s="80">
        <f t="shared" si="2"/>
        <v>183208582</v>
      </c>
      <c r="K140" s="77">
        <f t="shared" si="1"/>
        <v>3</v>
      </c>
    </row>
    <row r="141" ht="15.75" customHeight="1">
      <c r="A141" s="99">
        <v>45015.0</v>
      </c>
      <c r="B141" s="74"/>
      <c r="C141" s="78"/>
      <c r="D141" s="84" t="s">
        <v>247</v>
      </c>
      <c r="E141" s="73" t="s">
        <v>341</v>
      </c>
      <c r="F141" s="73" t="s">
        <v>307</v>
      </c>
      <c r="G141" s="74"/>
      <c r="H141" s="95">
        <v>0.0</v>
      </c>
      <c r="I141" s="95">
        <v>2900.0</v>
      </c>
      <c r="J141" s="80">
        <f t="shared" si="2"/>
        <v>183205682</v>
      </c>
      <c r="K141" s="77">
        <f t="shared" si="1"/>
        <v>3</v>
      </c>
    </row>
    <row r="142" ht="15.75" customHeight="1">
      <c r="A142" s="99">
        <v>45015.0</v>
      </c>
      <c r="B142" s="74"/>
      <c r="C142" s="78"/>
      <c r="D142" s="84" t="s">
        <v>247</v>
      </c>
      <c r="E142" s="73" t="s">
        <v>342</v>
      </c>
      <c r="F142" s="73" t="s">
        <v>307</v>
      </c>
      <c r="G142" s="74"/>
      <c r="H142" s="95">
        <v>0.0</v>
      </c>
      <c r="I142" s="95">
        <v>0.0</v>
      </c>
      <c r="J142" s="80">
        <f t="shared" si="2"/>
        <v>183205682</v>
      </c>
      <c r="K142" s="77">
        <f t="shared" si="1"/>
        <v>3</v>
      </c>
    </row>
    <row r="143" ht="15.75" customHeight="1">
      <c r="A143" s="99">
        <v>45015.0</v>
      </c>
      <c r="B143" s="74"/>
      <c r="C143" s="78"/>
      <c r="D143" s="84" t="s">
        <v>247</v>
      </c>
      <c r="E143" s="73" t="s">
        <v>343</v>
      </c>
      <c r="F143" s="73" t="s">
        <v>307</v>
      </c>
      <c r="G143" s="74"/>
      <c r="H143" s="95">
        <v>0.0</v>
      </c>
      <c r="I143" s="95">
        <v>0.0</v>
      </c>
      <c r="J143" s="80">
        <f t="shared" si="2"/>
        <v>183205682</v>
      </c>
      <c r="K143" s="77">
        <f t="shared" si="1"/>
        <v>3</v>
      </c>
    </row>
    <row r="144" ht="15.75" customHeight="1">
      <c r="A144" s="99">
        <v>45015.0</v>
      </c>
      <c r="B144" s="74"/>
      <c r="C144" s="70"/>
      <c r="D144" s="71" t="s">
        <v>32</v>
      </c>
      <c r="E144" s="73" t="s">
        <v>415</v>
      </c>
      <c r="F144" s="73" t="s">
        <v>21</v>
      </c>
      <c r="G144" s="74"/>
      <c r="H144" s="95">
        <v>3.544898E7</v>
      </c>
      <c r="I144" s="95">
        <v>0.0</v>
      </c>
      <c r="J144" s="80">
        <f t="shared" si="2"/>
        <v>218654662</v>
      </c>
      <c r="K144" s="77">
        <f t="shared" si="1"/>
        <v>3</v>
      </c>
    </row>
    <row r="145" ht="15.75" customHeight="1">
      <c r="A145" s="99">
        <v>45016.0</v>
      </c>
      <c r="B145" s="74"/>
      <c r="C145" s="70"/>
      <c r="D145" s="84" t="s">
        <v>247</v>
      </c>
      <c r="E145" s="73" t="s">
        <v>360</v>
      </c>
      <c r="F145" s="73" t="s">
        <v>361</v>
      </c>
      <c r="G145" s="74"/>
      <c r="H145" s="95">
        <v>0.0</v>
      </c>
      <c r="I145" s="95">
        <v>30000.0</v>
      </c>
      <c r="J145" s="80">
        <f t="shared" si="2"/>
        <v>218624662</v>
      </c>
      <c r="K145" s="77">
        <f t="shared" si="1"/>
        <v>3</v>
      </c>
    </row>
    <row r="146" ht="15.75" customHeight="1">
      <c r="A146" s="99">
        <v>45017.0</v>
      </c>
      <c r="B146" s="74"/>
      <c r="C146" s="78"/>
      <c r="D146" s="69"/>
      <c r="E146" s="73" t="s">
        <v>397</v>
      </c>
      <c r="F146" s="73" t="s">
        <v>305</v>
      </c>
      <c r="G146" s="74"/>
      <c r="H146" s="95">
        <v>0.0</v>
      </c>
      <c r="I146" s="95">
        <v>157000.0</v>
      </c>
      <c r="J146" s="80">
        <f t="shared" si="2"/>
        <v>218467662</v>
      </c>
      <c r="K146" s="77">
        <f t="shared" si="1"/>
        <v>4</v>
      </c>
    </row>
    <row r="147" ht="15.75" customHeight="1">
      <c r="A147" s="99">
        <v>45017.0</v>
      </c>
      <c r="B147" s="74"/>
      <c r="C147" s="78"/>
      <c r="D147" s="84" t="s">
        <v>247</v>
      </c>
      <c r="E147" s="73" t="s">
        <v>311</v>
      </c>
      <c r="F147" s="73" t="s">
        <v>307</v>
      </c>
      <c r="G147" s="74"/>
      <c r="H147" s="95">
        <v>0.0</v>
      </c>
      <c r="I147" s="95">
        <v>6500.0</v>
      </c>
      <c r="J147" s="80">
        <f t="shared" si="2"/>
        <v>218461162</v>
      </c>
      <c r="K147" s="77">
        <f t="shared" si="1"/>
        <v>4</v>
      </c>
    </row>
    <row r="148" ht="15.75" customHeight="1">
      <c r="A148" s="99">
        <v>45017.0</v>
      </c>
      <c r="B148" s="74"/>
      <c r="C148" s="78"/>
      <c r="D148" s="69"/>
      <c r="E148" s="73" t="s">
        <v>416</v>
      </c>
      <c r="F148" s="73" t="s">
        <v>305</v>
      </c>
      <c r="G148" s="74"/>
      <c r="H148" s="95">
        <v>0.0</v>
      </c>
      <c r="I148" s="95">
        <v>2500000.0</v>
      </c>
      <c r="J148" s="80">
        <f t="shared" si="2"/>
        <v>215961162</v>
      </c>
      <c r="K148" s="77">
        <f t="shared" si="1"/>
        <v>4</v>
      </c>
    </row>
    <row r="149" ht="15.75" customHeight="1">
      <c r="A149" s="99">
        <v>45017.0</v>
      </c>
      <c r="B149" s="74"/>
      <c r="C149" s="78"/>
      <c r="D149" s="84" t="s">
        <v>247</v>
      </c>
      <c r="E149" s="73" t="s">
        <v>311</v>
      </c>
      <c r="F149" s="73" t="s">
        <v>307</v>
      </c>
      <c r="G149" s="74"/>
      <c r="H149" s="95">
        <v>0.0</v>
      </c>
      <c r="I149" s="95">
        <v>6500.0</v>
      </c>
      <c r="J149" s="80">
        <f t="shared" si="2"/>
        <v>215954662</v>
      </c>
      <c r="K149" s="77">
        <f t="shared" si="1"/>
        <v>4</v>
      </c>
    </row>
    <row r="150" ht="15.75" customHeight="1">
      <c r="A150" s="99">
        <v>45021.0</v>
      </c>
      <c r="B150" s="74"/>
      <c r="C150" s="70"/>
      <c r="D150" s="71"/>
      <c r="E150" s="73" t="s">
        <v>417</v>
      </c>
      <c r="F150" s="73" t="s">
        <v>367</v>
      </c>
      <c r="G150" s="74"/>
      <c r="H150" s="95">
        <v>0.0</v>
      </c>
      <c r="I150" s="95">
        <v>209250.0</v>
      </c>
      <c r="J150" s="80">
        <f t="shared" si="2"/>
        <v>215745412</v>
      </c>
      <c r="K150" s="77">
        <f t="shared" si="1"/>
        <v>4</v>
      </c>
    </row>
    <row r="151" ht="15.75" customHeight="1">
      <c r="A151" s="99">
        <v>45021.0</v>
      </c>
      <c r="B151" s="74"/>
      <c r="C151" s="78"/>
      <c r="D151" s="69"/>
      <c r="E151" s="73" t="s">
        <v>418</v>
      </c>
      <c r="F151" s="73" t="s">
        <v>367</v>
      </c>
      <c r="G151" s="74"/>
      <c r="H151" s="95">
        <v>0.0</v>
      </c>
      <c r="I151" s="95">
        <v>138875.0</v>
      </c>
      <c r="J151" s="80">
        <f t="shared" si="2"/>
        <v>215606537</v>
      </c>
      <c r="K151" s="77">
        <f t="shared" si="1"/>
        <v>4</v>
      </c>
    </row>
    <row r="152" ht="15.75" customHeight="1">
      <c r="A152" s="99">
        <v>45021.0</v>
      </c>
      <c r="B152" s="74"/>
      <c r="C152" s="70"/>
      <c r="D152" s="71"/>
      <c r="E152" s="73" t="s">
        <v>419</v>
      </c>
      <c r="F152" s="73" t="s">
        <v>367</v>
      </c>
      <c r="G152" s="74"/>
      <c r="H152" s="95">
        <v>0.0</v>
      </c>
      <c r="I152" s="95">
        <v>124750.0</v>
      </c>
      <c r="J152" s="80">
        <f t="shared" si="2"/>
        <v>215481787</v>
      </c>
      <c r="K152" s="77">
        <f t="shared" si="1"/>
        <v>4</v>
      </c>
    </row>
    <row r="153" ht="15.75" customHeight="1">
      <c r="A153" s="99">
        <v>45021.0</v>
      </c>
      <c r="B153" s="74"/>
      <c r="C153" s="70"/>
      <c r="D153" s="71"/>
      <c r="E153" s="73" t="s">
        <v>420</v>
      </c>
      <c r="F153" s="73" t="s">
        <v>367</v>
      </c>
      <c r="G153" s="74"/>
      <c r="H153" s="95">
        <v>0.0</v>
      </c>
      <c r="I153" s="95">
        <v>70000.0</v>
      </c>
      <c r="J153" s="80">
        <f t="shared" si="2"/>
        <v>215411787</v>
      </c>
      <c r="K153" s="77">
        <f t="shared" si="1"/>
        <v>4</v>
      </c>
    </row>
    <row r="154" ht="15.75" customHeight="1">
      <c r="A154" s="99">
        <v>45021.0</v>
      </c>
      <c r="B154" s="74"/>
      <c r="C154" s="70"/>
      <c r="D154" s="71"/>
      <c r="E154" s="73" t="s">
        <v>421</v>
      </c>
      <c r="F154" s="73" t="s">
        <v>288</v>
      </c>
      <c r="G154" s="74"/>
      <c r="H154" s="95">
        <v>0.0</v>
      </c>
      <c r="I154" s="95">
        <v>1.05E7</v>
      </c>
      <c r="J154" s="80">
        <f t="shared" si="2"/>
        <v>204911787</v>
      </c>
      <c r="K154" s="77">
        <f t="shared" si="1"/>
        <v>4</v>
      </c>
    </row>
    <row r="155" ht="15.75" customHeight="1">
      <c r="A155" s="99">
        <v>45026.0</v>
      </c>
      <c r="B155" s="74"/>
      <c r="C155" s="78"/>
      <c r="D155" s="69"/>
      <c r="E155" s="73" t="s">
        <v>295</v>
      </c>
      <c r="F155" s="73" t="s">
        <v>21</v>
      </c>
      <c r="G155" s="74"/>
      <c r="H155" s="95">
        <v>2.0E8</v>
      </c>
      <c r="I155" s="95">
        <v>0.0</v>
      </c>
      <c r="J155" s="80">
        <f t="shared" si="2"/>
        <v>404911787</v>
      </c>
      <c r="K155" s="77">
        <f t="shared" si="1"/>
        <v>4</v>
      </c>
    </row>
    <row r="156" ht="15.75" customHeight="1">
      <c r="A156" s="99">
        <v>45026.0</v>
      </c>
      <c r="B156" s="74"/>
      <c r="C156" s="78"/>
      <c r="D156" s="71"/>
      <c r="E156" s="73" t="s">
        <v>312</v>
      </c>
      <c r="F156" s="73" t="s">
        <v>313</v>
      </c>
      <c r="G156" s="74"/>
      <c r="H156" s="95">
        <v>0.0</v>
      </c>
      <c r="I156" s="95">
        <v>1.0025E8</v>
      </c>
      <c r="J156" s="80">
        <f t="shared" si="2"/>
        <v>304661787</v>
      </c>
      <c r="K156" s="77"/>
    </row>
    <row r="157" ht="15.75" customHeight="1">
      <c r="A157" s="99">
        <v>45026.0</v>
      </c>
      <c r="B157" s="74"/>
      <c r="C157" s="78"/>
      <c r="D157" s="84" t="s">
        <v>247</v>
      </c>
      <c r="E157" s="73" t="s">
        <v>306</v>
      </c>
      <c r="F157" s="73" t="s">
        <v>307</v>
      </c>
      <c r="G157" s="74"/>
      <c r="H157" s="95">
        <v>0.0</v>
      </c>
      <c r="I157" s="95">
        <v>2500.0</v>
      </c>
      <c r="J157" s="80">
        <f t="shared" si="2"/>
        <v>304659287</v>
      </c>
      <c r="K157" s="77">
        <f t="shared" ref="K157:K507" si="3">MONTH(A157)</f>
        <v>4</v>
      </c>
    </row>
    <row r="158" ht="15.75" customHeight="1">
      <c r="A158" s="99">
        <v>45027.0</v>
      </c>
      <c r="B158" s="74"/>
      <c r="C158" s="78"/>
      <c r="D158" s="71"/>
      <c r="E158" s="73" t="s">
        <v>422</v>
      </c>
      <c r="F158" s="73" t="s">
        <v>423</v>
      </c>
      <c r="G158" s="74"/>
      <c r="H158" s="95">
        <v>0.0</v>
      </c>
      <c r="I158" s="95">
        <v>9650000.0</v>
      </c>
      <c r="J158" s="80">
        <f t="shared" si="2"/>
        <v>295009287</v>
      </c>
      <c r="K158" s="77">
        <f t="shared" si="3"/>
        <v>4</v>
      </c>
    </row>
    <row r="159" ht="15.75" customHeight="1">
      <c r="A159" s="99">
        <v>45027.0</v>
      </c>
      <c r="B159" s="74"/>
      <c r="C159" s="78"/>
      <c r="D159" s="69"/>
      <c r="E159" s="73" t="s">
        <v>424</v>
      </c>
      <c r="F159" s="73" t="s">
        <v>423</v>
      </c>
      <c r="G159" s="74"/>
      <c r="H159" s="95">
        <v>0.0</v>
      </c>
      <c r="I159" s="95">
        <v>1.305E7</v>
      </c>
      <c r="J159" s="80">
        <f t="shared" si="2"/>
        <v>281959287</v>
      </c>
      <c r="K159" s="77">
        <f t="shared" si="3"/>
        <v>4</v>
      </c>
    </row>
    <row r="160" ht="15.75" customHeight="1">
      <c r="A160" s="99">
        <v>45027.0</v>
      </c>
      <c r="B160" s="74"/>
      <c r="C160" s="78"/>
      <c r="D160" s="69"/>
      <c r="E160" s="73" t="s">
        <v>425</v>
      </c>
      <c r="F160" s="73" t="s">
        <v>423</v>
      </c>
      <c r="G160" s="74"/>
      <c r="H160" s="95">
        <v>0.0</v>
      </c>
      <c r="I160" s="95">
        <v>9800000.0</v>
      </c>
      <c r="J160" s="80">
        <f t="shared" si="2"/>
        <v>272159287</v>
      </c>
      <c r="K160" s="77">
        <f t="shared" si="3"/>
        <v>4</v>
      </c>
    </row>
    <row r="161" ht="15.75" customHeight="1">
      <c r="A161" s="99">
        <v>45027.0</v>
      </c>
      <c r="B161" s="74"/>
      <c r="C161" s="78"/>
      <c r="D161" s="71"/>
      <c r="E161" s="73" t="s">
        <v>426</v>
      </c>
      <c r="F161" s="73" t="s">
        <v>423</v>
      </c>
      <c r="G161" s="74"/>
      <c r="H161" s="95">
        <v>0.0</v>
      </c>
      <c r="I161" s="95">
        <v>1.675E7</v>
      </c>
      <c r="J161" s="80">
        <f t="shared" si="2"/>
        <v>255409287</v>
      </c>
      <c r="K161" s="77">
        <f t="shared" si="3"/>
        <v>4</v>
      </c>
    </row>
    <row r="162" ht="15.75" customHeight="1">
      <c r="A162" s="99">
        <v>45027.0</v>
      </c>
      <c r="B162" s="74"/>
      <c r="C162" s="70"/>
      <c r="D162" s="71"/>
      <c r="E162" s="73" t="s">
        <v>427</v>
      </c>
      <c r="F162" s="73" t="s">
        <v>428</v>
      </c>
      <c r="G162" s="74"/>
      <c r="H162" s="95">
        <v>0.0</v>
      </c>
      <c r="I162" s="95">
        <v>5.085E7</v>
      </c>
      <c r="J162" s="80">
        <f t="shared" si="2"/>
        <v>204559287</v>
      </c>
      <c r="K162" s="77">
        <f t="shared" si="3"/>
        <v>4</v>
      </c>
    </row>
    <row r="163" ht="15.75" customHeight="1">
      <c r="A163" s="99">
        <v>45027.0</v>
      </c>
      <c r="B163" s="74"/>
      <c r="C163" s="78"/>
      <c r="D163" s="69"/>
      <c r="E163" s="73" t="s">
        <v>429</v>
      </c>
      <c r="F163" s="73" t="s">
        <v>423</v>
      </c>
      <c r="G163" s="74"/>
      <c r="H163" s="95">
        <v>0.0</v>
      </c>
      <c r="I163" s="95">
        <v>7000000.0</v>
      </c>
      <c r="J163" s="80">
        <f t="shared" si="2"/>
        <v>197559287</v>
      </c>
      <c r="K163" s="77">
        <f t="shared" si="3"/>
        <v>4</v>
      </c>
    </row>
    <row r="164" ht="15.75" customHeight="1">
      <c r="A164" s="99">
        <v>45027.0</v>
      </c>
      <c r="B164" s="74"/>
      <c r="C164" s="78"/>
      <c r="D164" s="71"/>
      <c r="E164" s="73" t="s">
        <v>430</v>
      </c>
      <c r="F164" s="73" t="s">
        <v>423</v>
      </c>
      <c r="G164" s="74"/>
      <c r="H164" s="95">
        <v>0.0</v>
      </c>
      <c r="I164" s="95">
        <v>5400000.0</v>
      </c>
      <c r="J164" s="80">
        <f t="shared" si="2"/>
        <v>192159287</v>
      </c>
      <c r="K164" s="77">
        <f t="shared" si="3"/>
        <v>4</v>
      </c>
    </row>
    <row r="165" ht="15.75" customHeight="1">
      <c r="A165" s="99">
        <v>45027.0</v>
      </c>
      <c r="B165" s="74"/>
      <c r="C165" s="78"/>
      <c r="D165" s="84" t="s">
        <v>247</v>
      </c>
      <c r="E165" s="73" t="s">
        <v>431</v>
      </c>
      <c r="F165" s="73" t="s">
        <v>307</v>
      </c>
      <c r="G165" s="74"/>
      <c r="H165" s="95">
        <v>0.0</v>
      </c>
      <c r="I165" s="95">
        <v>0.0</v>
      </c>
      <c r="J165" s="80">
        <f t="shared" si="2"/>
        <v>192159287</v>
      </c>
      <c r="K165" s="77">
        <f t="shared" si="3"/>
        <v>4</v>
      </c>
    </row>
    <row r="166" ht="15.75" customHeight="1">
      <c r="A166" s="99">
        <v>45027.0</v>
      </c>
      <c r="B166" s="74"/>
      <c r="C166" s="78"/>
      <c r="D166" s="84" t="s">
        <v>247</v>
      </c>
      <c r="E166" s="73" t="s">
        <v>432</v>
      </c>
      <c r="F166" s="73" t="s">
        <v>307</v>
      </c>
      <c r="G166" s="74"/>
      <c r="H166" s="95">
        <v>0.0</v>
      </c>
      <c r="I166" s="95">
        <v>2900.0</v>
      </c>
      <c r="J166" s="80">
        <f t="shared" si="2"/>
        <v>192156387</v>
      </c>
      <c r="K166" s="77">
        <f t="shared" si="3"/>
        <v>4</v>
      </c>
    </row>
    <row r="167" ht="15.75" customHeight="1">
      <c r="A167" s="99">
        <v>45027.0</v>
      </c>
      <c r="B167" s="74"/>
      <c r="C167" s="78"/>
      <c r="D167" s="84" t="s">
        <v>247</v>
      </c>
      <c r="E167" s="73" t="s">
        <v>433</v>
      </c>
      <c r="F167" s="73" t="s">
        <v>307</v>
      </c>
      <c r="G167" s="74"/>
      <c r="H167" s="95">
        <v>0.0</v>
      </c>
      <c r="I167" s="95">
        <v>29000.0</v>
      </c>
      <c r="J167" s="80">
        <f t="shared" si="2"/>
        <v>192127387</v>
      </c>
      <c r="K167" s="77">
        <f t="shared" si="3"/>
        <v>4</v>
      </c>
    </row>
    <row r="168" ht="15.75" customHeight="1">
      <c r="A168" s="99">
        <v>45027.0</v>
      </c>
      <c r="B168" s="74"/>
      <c r="C168" s="78"/>
      <c r="D168" s="84" t="s">
        <v>247</v>
      </c>
      <c r="E168" s="73" t="s">
        <v>434</v>
      </c>
      <c r="F168" s="73" t="s">
        <v>307</v>
      </c>
      <c r="G168" s="74"/>
      <c r="H168" s="95">
        <v>0.0</v>
      </c>
      <c r="I168" s="95">
        <v>0.0</v>
      </c>
      <c r="J168" s="80">
        <f t="shared" si="2"/>
        <v>192127387</v>
      </c>
      <c r="K168" s="77">
        <f t="shared" si="3"/>
        <v>4</v>
      </c>
    </row>
    <row r="169" ht="15.75" customHeight="1">
      <c r="A169" s="99">
        <v>45027.0</v>
      </c>
      <c r="B169" s="74"/>
      <c r="C169" s="78"/>
      <c r="D169" s="84" t="s">
        <v>247</v>
      </c>
      <c r="E169" s="73" t="s">
        <v>435</v>
      </c>
      <c r="F169" s="73" t="s">
        <v>307</v>
      </c>
      <c r="G169" s="74"/>
      <c r="H169" s="95">
        <v>0.0</v>
      </c>
      <c r="I169" s="95">
        <v>0.0</v>
      </c>
      <c r="J169" s="80">
        <f t="shared" si="2"/>
        <v>192127387</v>
      </c>
      <c r="K169" s="77">
        <f t="shared" si="3"/>
        <v>4</v>
      </c>
    </row>
    <row r="170" ht="15.75" customHeight="1">
      <c r="A170" s="99">
        <v>45030.0</v>
      </c>
      <c r="B170" s="74"/>
      <c r="C170" s="78"/>
      <c r="D170" s="69"/>
      <c r="E170" s="73" t="s">
        <v>397</v>
      </c>
      <c r="F170" s="73" t="s">
        <v>398</v>
      </c>
      <c r="G170" s="74"/>
      <c r="H170" s="95">
        <v>0.0</v>
      </c>
      <c r="I170" s="95">
        <v>294000.0</v>
      </c>
      <c r="J170" s="80">
        <f t="shared" si="2"/>
        <v>191833387</v>
      </c>
      <c r="K170" s="77">
        <f t="shared" si="3"/>
        <v>4</v>
      </c>
    </row>
    <row r="171" ht="15.75" customHeight="1">
      <c r="A171" s="99">
        <v>45030.0</v>
      </c>
      <c r="B171" s="74"/>
      <c r="C171" s="78"/>
      <c r="D171" s="84" t="s">
        <v>247</v>
      </c>
      <c r="E171" s="73" t="s">
        <v>306</v>
      </c>
      <c r="F171" s="73" t="s">
        <v>307</v>
      </c>
      <c r="G171" s="74"/>
      <c r="H171" s="95">
        <v>0.0</v>
      </c>
      <c r="I171" s="95">
        <v>2500.0</v>
      </c>
      <c r="J171" s="80">
        <f t="shared" si="2"/>
        <v>191830887</v>
      </c>
      <c r="K171" s="77">
        <f t="shared" si="3"/>
        <v>4</v>
      </c>
    </row>
    <row r="172" ht="15.75" customHeight="1">
      <c r="A172" s="99">
        <v>45033.0</v>
      </c>
      <c r="B172" s="74"/>
      <c r="C172" s="78"/>
      <c r="D172" s="71"/>
      <c r="E172" s="73" t="s">
        <v>295</v>
      </c>
      <c r="F172" s="73" t="s">
        <v>21</v>
      </c>
      <c r="G172" s="74"/>
      <c r="H172" s="95">
        <v>1.5E8</v>
      </c>
      <c r="I172" s="95">
        <v>0.0</v>
      </c>
      <c r="J172" s="80">
        <f t="shared" si="2"/>
        <v>341830887</v>
      </c>
      <c r="K172" s="77">
        <f t="shared" si="3"/>
        <v>4</v>
      </c>
    </row>
    <row r="173" ht="15.75" customHeight="1">
      <c r="A173" s="99">
        <v>45033.0</v>
      </c>
      <c r="B173" s="74"/>
      <c r="C173" s="70"/>
      <c r="D173" s="84" t="s">
        <v>32</v>
      </c>
      <c r="E173" s="73" t="s">
        <v>436</v>
      </c>
      <c r="F173" s="73" t="s">
        <v>21</v>
      </c>
      <c r="G173" s="74"/>
      <c r="H173" s="95">
        <v>3.941549E7</v>
      </c>
      <c r="I173" s="95">
        <v>0.0</v>
      </c>
      <c r="J173" s="80">
        <f t="shared" si="2"/>
        <v>381246377</v>
      </c>
      <c r="K173" s="77">
        <f t="shared" si="3"/>
        <v>4</v>
      </c>
    </row>
    <row r="174" ht="15.75" customHeight="1">
      <c r="A174" s="99">
        <v>45035.0</v>
      </c>
      <c r="B174" s="74"/>
      <c r="C174" s="78"/>
      <c r="D174" s="71"/>
      <c r="E174" s="73" t="s">
        <v>312</v>
      </c>
      <c r="F174" s="73" t="s">
        <v>313</v>
      </c>
      <c r="G174" s="74"/>
      <c r="H174" s="95">
        <v>0.0</v>
      </c>
      <c r="I174" s="95">
        <v>9.225E7</v>
      </c>
      <c r="J174" s="80">
        <f t="shared" si="2"/>
        <v>288996377</v>
      </c>
      <c r="K174" s="77">
        <f t="shared" si="3"/>
        <v>4</v>
      </c>
    </row>
    <row r="175" ht="15.75" customHeight="1">
      <c r="A175" s="99">
        <v>45035.0</v>
      </c>
      <c r="B175" s="74"/>
      <c r="C175" s="78"/>
      <c r="D175" s="84" t="s">
        <v>247</v>
      </c>
      <c r="E175" s="73" t="s">
        <v>306</v>
      </c>
      <c r="F175" s="73" t="s">
        <v>307</v>
      </c>
      <c r="G175" s="74"/>
      <c r="H175" s="95">
        <v>0.0</v>
      </c>
      <c r="I175" s="95">
        <v>2500.0</v>
      </c>
      <c r="J175" s="80">
        <f t="shared" si="2"/>
        <v>288993877</v>
      </c>
      <c r="K175" s="77">
        <f t="shared" si="3"/>
        <v>4</v>
      </c>
    </row>
    <row r="176" ht="15.75" customHeight="1">
      <c r="A176" s="99">
        <v>45036.0</v>
      </c>
      <c r="B176" s="74"/>
      <c r="C176" s="78"/>
      <c r="D176" s="71"/>
      <c r="E176" s="73" t="s">
        <v>437</v>
      </c>
      <c r="F176" s="73" t="s">
        <v>398</v>
      </c>
      <c r="G176" s="74"/>
      <c r="H176" s="95">
        <v>0.0</v>
      </c>
      <c r="I176" s="95">
        <v>332000.0</v>
      </c>
      <c r="J176" s="80">
        <f t="shared" si="2"/>
        <v>288661877</v>
      </c>
      <c r="K176" s="77">
        <f t="shared" si="3"/>
        <v>4</v>
      </c>
    </row>
    <row r="177" ht="15.75" customHeight="1">
      <c r="A177" s="99">
        <v>45036.0</v>
      </c>
      <c r="B177" s="74"/>
      <c r="C177" s="78"/>
      <c r="D177" s="84" t="s">
        <v>247</v>
      </c>
      <c r="E177" s="73" t="s">
        <v>306</v>
      </c>
      <c r="F177" s="73" t="s">
        <v>307</v>
      </c>
      <c r="G177" s="74"/>
      <c r="H177" s="95">
        <v>0.0</v>
      </c>
      <c r="I177" s="95">
        <v>2500.0</v>
      </c>
      <c r="J177" s="80">
        <f t="shared" si="2"/>
        <v>288659377</v>
      </c>
      <c r="K177" s="77">
        <f t="shared" si="3"/>
        <v>4</v>
      </c>
    </row>
    <row r="178" ht="15.75" customHeight="1">
      <c r="A178" s="99">
        <v>45036.0</v>
      </c>
      <c r="B178" s="74"/>
      <c r="C178" s="78"/>
      <c r="D178" s="69"/>
      <c r="E178" s="73" t="s">
        <v>437</v>
      </c>
      <c r="F178" s="73" t="s">
        <v>398</v>
      </c>
      <c r="G178" s="74"/>
      <c r="H178" s="95">
        <v>0.0</v>
      </c>
      <c r="I178" s="95">
        <v>200000.0</v>
      </c>
      <c r="J178" s="80">
        <f t="shared" si="2"/>
        <v>288459377</v>
      </c>
      <c r="K178" s="77">
        <f t="shared" si="3"/>
        <v>4</v>
      </c>
    </row>
    <row r="179" ht="15.75" customHeight="1">
      <c r="A179" s="99">
        <v>45036.0</v>
      </c>
      <c r="B179" s="74"/>
      <c r="C179" s="78"/>
      <c r="D179" s="84" t="s">
        <v>247</v>
      </c>
      <c r="E179" s="73" t="s">
        <v>306</v>
      </c>
      <c r="F179" s="104" t="s">
        <v>307</v>
      </c>
      <c r="G179" s="74"/>
      <c r="H179" s="95">
        <v>0.0</v>
      </c>
      <c r="I179" s="95">
        <v>2500.0</v>
      </c>
      <c r="J179" s="80">
        <f t="shared" si="2"/>
        <v>288456877</v>
      </c>
      <c r="K179" s="77">
        <f t="shared" si="3"/>
        <v>4</v>
      </c>
    </row>
    <row r="180" ht="15.75" customHeight="1">
      <c r="A180" s="99">
        <v>45036.0</v>
      </c>
      <c r="B180" s="74"/>
      <c r="C180" s="78"/>
      <c r="D180" s="69"/>
      <c r="E180" s="73" t="s">
        <v>438</v>
      </c>
      <c r="F180" s="73" t="s">
        <v>439</v>
      </c>
      <c r="G180" s="74"/>
      <c r="H180" s="95">
        <v>0.0</v>
      </c>
      <c r="I180" s="95">
        <v>800000.0</v>
      </c>
      <c r="J180" s="80">
        <f t="shared" si="2"/>
        <v>287656877</v>
      </c>
      <c r="K180" s="77">
        <f t="shared" si="3"/>
        <v>4</v>
      </c>
    </row>
    <row r="181" ht="15.75" customHeight="1">
      <c r="A181" s="105">
        <v>45036.0</v>
      </c>
      <c r="B181" s="106"/>
      <c r="C181" s="107"/>
      <c r="D181" s="84" t="s">
        <v>247</v>
      </c>
      <c r="E181" s="104" t="s">
        <v>306</v>
      </c>
      <c r="F181" s="73" t="s">
        <v>307</v>
      </c>
      <c r="G181" s="106"/>
      <c r="H181" s="108">
        <v>0.0</v>
      </c>
      <c r="I181" s="108">
        <v>2500.0</v>
      </c>
      <c r="J181" s="80">
        <f t="shared" si="2"/>
        <v>287654377</v>
      </c>
      <c r="K181" s="109">
        <f t="shared" si="3"/>
        <v>4</v>
      </c>
      <c r="L181" s="110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</row>
    <row r="182" ht="15.75" customHeight="1">
      <c r="A182" s="99">
        <v>45044.0</v>
      </c>
      <c r="B182" s="74"/>
      <c r="C182" s="78"/>
      <c r="D182" s="69"/>
      <c r="E182" s="73" t="s">
        <v>440</v>
      </c>
      <c r="F182" s="73" t="s">
        <v>315</v>
      </c>
      <c r="G182" s="74"/>
      <c r="H182" s="95">
        <v>0.0</v>
      </c>
      <c r="I182" s="95">
        <v>9350000.0</v>
      </c>
      <c r="J182" s="80">
        <f t="shared" si="2"/>
        <v>278304377</v>
      </c>
      <c r="K182" s="77">
        <f t="shared" si="3"/>
        <v>4</v>
      </c>
    </row>
    <row r="183" ht="15.75" customHeight="1">
      <c r="A183" s="99">
        <v>45044.0</v>
      </c>
      <c r="B183" s="74"/>
      <c r="C183" s="78"/>
      <c r="D183" s="69"/>
      <c r="E183" s="73" t="s">
        <v>441</v>
      </c>
      <c r="F183" s="73" t="s">
        <v>317</v>
      </c>
      <c r="G183" s="74"/>
      <c r="H183" s="95">
        <v>0.0</v>
      </c>
      <c r="I183" s="95">
        <v>300000.0</v>
      </c>
      <c r="J183" s="80">
        <f t="shared" si="2"/>
        <v>278004377</v>
      </c>
      <c r="K183" s="77">
        <f t="shared" si="3"/>
        <v>4</v>
      </c>
    </row>
    <row r="184" ht="15.75" customHeight="1">
      <c r="A184" s="99">
        <v>45044.0</v>
      </c>
      <c r="B184" s="74"/>
      <c r="C184" s="78"/>
      <c r="D184" s="69"/>
      <c r="E184" s="73" t="s">
        <v>442</v>
      </c>
      <c r="F184" s="73" t="s">
        <v>21</v>
      </c>
      <c r="G184" s="74"/>
      <c r="H184" s="95">
        <v>4000000.0</v>
      </c>
      <c r="I184" s="95">
        <v>0.0</v>
      </c>
      <c r="J184" s="80">
        <f t="shared" si="2"/>
        <v>282004377</v>
      </c>
      <c r="K184" s="77">
        <f t="shared" si="3"/>
        <v>4</v>
      </c>
    </row>
    <row r="185" ht="15.75" customHeight="1">
      <c r="A185" s="99">
        <v>45044.0</v>
      </c>
      <c r="B185" s="74"/>
      <c r="C185" s="78"/>
      <c r="D185" s="69"/>
      <c r="E185" s="112" t="s">
        <v>319</v>
      </c>
      <c r="F185" s="73" t="s">
        <v>320</v>
      </c>
      <c r="G185" s="74"/>
      <c r="H185" s="95">
        <v>0.0</v>
      </c>
      <c r="I185" s="95">
        <v>7000000.0</v>
      </c>
      <c r="J185" s="80">
        <f t="shared" si="2"/>
        <v>275004377</v>
      </c>
      <c r="K185" s="77">
        <f t="shared" si="3"/>
        <v>4</v>
      </c>
    </row>
    <row r="186" ht="15.75" customHeight="1">
      <c r="A186" s="99">
        <v>45044.0</v>
      </c>
      <c r="B186" s="74"/>
      <c r="C186" s="78"/>
      <c r="D186" s="69"/>
      <c r="E186" s="73" t="s">
        <v>319</v>
      </c>
      <c r="F186" s="73" t="s">
        <v>321</v>
      </c>
      <c r="G186" s="74"/>
      <c r="H186" s="95">
        <v>0.0</v>
      </c>
      <c r="I186" s="95">
        <v>8000000.0</v>
      </c>
      <c r="J186" s="80">
        <f t="shared" si="2"/>
        <v>267004377</v>
      </c>
      <c r="K186" s="77">
        <f t="shared" si="3"/>
        <v>4</v>
      </c>
    </row>
    <row r="187" ht="15.75" customHeight="1">
      <c r="A187" s="99">
        <v>45044.0</v>
      </c>
      <c r="B187" s="74"/>
      <c r="C187" s="78"/>
      <c r="D187" s="69"/>
      <c r="E187" s="73" t="s">
        <v>443</v>
      </c>
      <c r="F187" s="73" t="s">
        <v>315</v>
      </c>
      <c r="G187" s="74"/>
      <c r="H187" s="95">
        <v>0.0</v>
      </c>
      <c r="I187" s="95">
        <v>9800000.0</v>
      </c>
      <c r="J187" s="80">
        <f t="shared" si="2"/>
        <v>257204377</v>
      </c>
      <c r="K187" s="77">
        <f t="shared" si="3"/>
        <v>4</v>
      </c>
    </row>
    <row r="188" ht="15.75" customHeight="1">
      <c r="A188" s="99">
        <v>45044.0</v>
      </c>
      <c r="B188" s="74"/>
      <c r="C188" s="78"/>
      <c r="D188" s="71"/>
      <c r="E188" s="73" t="s">
        <v>444</v>
      </c>
      <c r="F188" s="73" t="s">
        <v>317</v>
      </c>
      <c r="G188" s="74"/>
      <c r="H188" s="95">
        <v>0.0</v>
      </c>
      <c r="I188" s="95">
        <v>0.0</v>
      </c>
      <c r="J188" s="80">
        <f t="shared" si="2"/>
        <v>257204377</v>
      </c>
      <c r="K188" s="77">
        <f t="shared" si="3"/>
        <v>4</v>
      </c>
    </row>
    <row r="189" ht="15.75" customHeight="1">
      <c r="A189" s="99">
        <v>45044.0</v>
      </c>
      <c r="B189" s="74"/>
      <c r="C189" s="78"/>
      <c r="D189" s="69"/>
      <c r="E189" s="73" t="s">
        <v>445</v>
      </c>
      <c r="F189" s="73" t="s">
        <v>325</v>
      </c>
      <c r="G189" s="74"/>
      <c r="H189" s="95">
        <v>0.0</v>
      </c>
      <c r="I189" s="95">
        <v>0.0</v>
      </c>
      <c r="J189" s="80">
        <f t="shared" si="2"/>
        <v>257204377</v>
      </c>
      <c r="K189" s="77">
        <f t="shared" si="3"/>
        <v>4</v>
      </c>
    </row>
    <row r="190" ht="15.75" customHeight="1">
      <c r="A190" s="99">
        <v>45044.0</v>
      </c>
      <c r="B190" s="74"/>
      <c r="C190" s="78"/>
      <c r="D190" s="69"/>
      <c r="E190" s="73" t="s">
        <v>446</v>
      </c>
      <c r="F190" s="73" t="s">
        <v>327</v>
      </c>
      <c r="G190" s="74"/>
      <c r="H190" s="95">
        <v>0.0</v>
      </c>
      <c r="I190" s="95">
        <v>5.085E7</v>
      </c>
      <c r="J190" s="80">
        <f t="shared" si="2"/>
        <v>206354377</v>
      </c>
      <c r="K190" s="77">
        <f t="shared" si="3"/>
        <v>4</v>
      </c>
    </row>
    <row r="191" ht="15.75" customHeight="1">
      <c r="A191" s="99">
        <v>45044.0</v>
      </c>
      <c r="B191" s="74"/>
      <c r="C191" s="78"/>
      <c r="D191" s="69"/>
      <c r="E191" s="73" t="s">
        <v>447</v>
      </c>
      <c r="F191" s="73" t="s">
        <v>329</v>
      </c>
      <c r="G191" s="74"/>
      <c r="H191" s="95">
        <v>0.0</v>
      </c>
      <c r="I191" s="95">
        <v>250000.0</v>
      </c>
      <c r="J191" s="80">
        <f t="shared" si="2"/>
        <v>206104377</v>
      </c>
      <c r="K191" s="77">
        <f t="shared" si="3"/>
        <v>4</v>
      </c>
    </row>
    <row r="192" ht="15.75" customHeight="1">
      <c r="A192" s="99">
        <v>45044.0</v>
      </c>
      <c r="B192" s="74"/>
      <c r="C192" s="78"/>
      <c r="D192" s="71"/>
      <c r="E192" s="73" t="s">
        <v>448</v>
      </c>
      <c r="F192" s="73" t="s">
        <v>331</v>
      </c>
      <c r="G192" s="74"/>
      <c r="H192" s="95">
        <v>0.0</v>
      </c>
      <c r="I192" s="95">
        <v>1.975E7</v>
      </c>
      <c r="J192" s="80">
        <f t="shared" si="2"/>
        <v>186354377</v>
      </c>
      <c r="K192" s="77">
        <f t="shared" si="3"/>
        <v>4</v>
      </c>
    </row>
    <row r="193" ht="15.75" customHeight="1">
      <c r="A193" s="99">
        <v>45044.0</v>
      </c>
      <c r="B193" s="74"/>
      <c r="C193" s="78"/>
      <c r="D193" s="69"/>
      <c r="E193" s="73" t="s">
        <v>449</v>
      </c>
      <c r="F193" s="73" t="s">
        <v>21</v>
      </c>
      <c r="G193" s="74"/>
      <c r="H193" s="95">
        <v>1400000.0</v>
      </c>
      <c r="I193" s="95">
        <v>0.0</v>
      </c>
      <c r="J193" s="80">
        <f t="shared" si="2"/>
        <v>187754377</v>
      </c>
      <c r="K193" s="77">
        <f t="shared" si="3"/>
        <v>4</v>
      </c>
    </row>
    <row r="194" ht="15.75" customHeight="1">
      <c r="A194" s="99">
        <v>45044.0</v>
      </c>
      <c r="B194" s="74"/>
      <c r="C194" s="78"/>
      <c r="D194" s="69"/>
      <c r="E194" s="73" t="s">
        <v>450</v>
      </c>
      <c r="F194" s="73" t="s">
        <v>315</v>
      </c>
      <c r="G194" s="74"/>
      <c r="H194" s="95">
        <v>0.0</v>
      </c>
      <c r="I194" s="95">
        <v>1.305E7</v>
      </c>
      <c r="J194" s="80">
        <f t="shared" si="2"/>
        <v>174704377</v>
      </c>
      <c r="K194" s="77">
        <f t="shared" si="3"/>
        <v>4</v>
      </c>
    </row>
    <row r="195" ht="15.75" customHeight="1">
      <c r="A195" s="99">
        <v>45044.0</v>
      </c>
      <c r="B195" s="74"/>
      <c r="C195" s="78"/>
      <c r="D195" s="69"/>
      <c r="E195" s="73" t="s">
        <v>451</v>
      </c>
      <c r="F195" s="73" t="s">
        <v>21</v>
      </c>
      <c r="G195" s="74"/>
      <c r="H195" s="95">
        <v>1000000.0</v>
      </c>
      <c r="I195" s="95">
        <v>0.0</v>
      </c>
      <c r="J195" s="80">
        <f t="shared" si="2"/>
        <v>175704377</v>
      </c>
      <c r="K195" s="77">
        <f t="shared" si="3"/>
        <v>4</v>
      </c>
    </row>
    <row r="196" ht="15.75" customHeight="1">
      <c r="A196" s="99">
        <v>45044.0</v>
      </c>
      <c r="B196" s="74"/>
      <c r="C196" s="78"/>
      <c r="D196" s="71"/>
      <c r="E196" s="73" t="s">
        <v>452</v>
      </c>
      <c r="F196" s="73" t="s">
        <v>315</v>
      </c>
      <c r="G196" s="74"/>
      <c r="H196" s="95">
        <v>0.0</v>
      </c>
      <c r="I196" s="95">
        <v>7000000.0</v>
      </c>
      <c r="J196" s="80">
        <f t="shared" si="2"/>
        <v>168704377</v>
      </c>
      <c r="K196" s="77">
        <f t="shared" si="3"/>
        <v>4</v>
      </c>
    </row>
    <row r="197" ht="15.75" customHeight="1">
      <c r="A197" s="99">
        <v>45044.0</v>
      </c>
      <c r="B197" s="74"/>
      <c r="C197" s="78"/>
      <c r="D197" s="69"/>
      <c r="E197" s="73" t="s">
        <v>453</v>
      </c>
      <c r="F197" s="73" t="s">
        <v>21</v>
      </c>
      <c r="G197" s="74"/>
      <c r="H197" s="95">
        <v>1000000.0</v>
      </c>
      <c r="I197" s="95">
        <v>0.0</v>
      </c>
      <c r="J197" s="80">
        <f t="shared" si="2"/>
        <v>169704377</v>
      </c>
      <c r="K197" s="77">
        <f t="shared" si="3"/>
        <v>4</v>
      </c>
    </row>
    <row r="198" ht="15.75" customHeight="1">
      <c r="A198" s="99">
        <v>45044.0</v>
      </c>
      <c r="B198" s="74"/>
      <c r="C198" s="78"/>
      <c r="D198" s="69"/>
      <c r="E198" s="73" t="s">
        <v>454</v>
      </c>
      <c r="F198" s="73" t="s">
        <v>315</v>
      </c>
      <c r="G198" s="74"/>
      <c r="H198" s="95">
        <v>0.0</v>
      </c>
      <c r="I198" s="95">
        <v>5400000.0</v>
      </c>
      <c r="J198" s="80">
        <f t="shared" si="2"/>
        <v>164304377</v>
      </c>
      <c r="K198" s="77">
        <f t="shared" si="3"/>
        <v>4</v>
      </c>
    </row>
    <row r="199" ht="15.75" customHeight="1">
      <c r="A199" s="99">
        <v>45044.0</v>
      </c>
      <c r="B199" s="74"/>
      <c r="C199" s="98"/>
      <c r="D199" s="101"/>
      <c r="E199" s="73" t="s">
        <v>455</v>
      </c>
      <c r="F199" s="73" t="s">
        <v>21</v>
      </c>
      <c r="G199" s="74"/>
      <c r="H199" s="95">
        <v>1000000.0</v>
      </c>
      <c r="I199" s="95">
        <v>0.0</v>
      </c>
      <c r="J199" s="80">
        <f t="shared" si="2"/>
        <v>165304377</v>
      </c>
      <c r="K199" s="77">
        <f t="shared" si="3"/>
        <v>4</v>
      </c>
    </row>
    <row r="200" ht="15.75" customHeight="1">
      <c r="A200" s="99">
        <v>45044.0</v>
      </c>
      <c r="B200" s="74"/>
      <c r="C200" s="78"/>
      <c r="D200" s="84" t="s">
        <v>247</v>
      </c>
      <c r="E200" s="73" t="s">
        <v>339</v>
      </c>
      <c r="F200" s="73" t="s">
        <v>307</v>
      </c>
      <c r="G200" s="74"/>
      <c r="H200" s="95">
        <v>0.0</v>
      </c>
      <c r="I200" s="95">
        <v>2900.0</v>
      </c>
      <c r="J200" s="80">
        <f t="shared" si="2"/>
        <v>165301477</v>
      </c>
      <c r="K200" s="77">
        <f t="shared" si="3"/>
        <v>4</v>
      </c>
    </row>
    <row r="201" ht="15.75" customHeight="1">
      <c r="A201" s="99">
        <v>45044.0</v>
      </c>
      <c r="B201" s="74"/>
      <c r="C201" s="78"/>
      <c r="D201" s="84" t="s">
        <v>247</v>
      </c>
      <c r="E201" s="73" t="s">
        <v>340</v>
      </c>
      <c r="F201" s="73" t="s">
        <v>307</v>
      </c>
      <c r="G201" s="74"/>
      <c r="H201" s="95">
        <v>0.0</v>
      </c>
      <c r="I201" s="95">
        <v>31900.0</v>
      </c>
      <c r="J201" s="80">
        <f t="shared" si="2"/>
        <v>165269577</v>
      </c>
      <c r="K201" s="77">
        <f t="shared" si="3"/>
        <v>4</v>
      </c>
    </row>
    <row r="202" ht="15.75" customHeight="1">
      <c r="A202" s="99">
        <v>45044.0</v>
      </c>
      <c r="B202" s="74"/>
      <c r="C202" s="78"/>
      <c r="D202" s="84" t="s">
        <v>247</v>
      </c>
      <c r="E202" s="73" t="s">
        <v>341</v>
      </c>
      <c r="F202" s="73" t="s">
        <v>307</v>
      </c>
      <c r="G202" s="74"/>
      <c r="H202" s="95">
        <v>0.0</v>
      </c>
      <c r="I202" s="95">
        <v>2900.0</v>
      </c>
      <c r="J202" s="80">
        <f t="shared" si="2"/>
        <v>165266677</v>
      </c>
      <c r="K202" s="77">
        <f t="shared" si="3"/>
        <v>4</v>
      </c>
    </row>
    <row r="203" ht="15.75" customHeight="1">
      <c r="A203" s="99">
        <v>45044.0</v>
      </c>
      <c r="B203" s="74"/>
      <c r="C203" s="78"/>
      <c r="D203" s="84" t="s">
        <v>247</v>
      </c>
      <c r="E203" s="73" t="s">
        <v>342</v>
      </c>
      <c r="F203" s="73" t="s">
        <v>307</v>
      </c>
      <c r="G203" s="74"/>
      <c r="H203" s="95">
        <v>0.0</v>
      </c>
      <c r="I203" s="95">
        <v>0.0</v>
      </c>
      <c r="J203" s="80">
        <f t="shared" si="2"/>
        <v>165266677</v>
      </c>
      <c r="K203" s="77">
        <f t="shared" si="3"/>
        <v>4</v>
      </c>
    </row>
    <row r="204" ht="15.75" customHeight="1">
      <c r="A204" s="99">
        <v>45044.0</v>
      </c>
      <c r="B204" s="74"/>
      <c r="C204" s="78"/>
      <c r="D204" s="84" t="s">
        <v>247</v>
      </c>
      <c r="E204" s="73" t="s">
        <v>343</v>
      </c>
      <c r="F204" s="73" t="s">
        <v>307</v>
      </c>
      <c r="G204" s="74"/>
      <c r="H204" s="95">
        <v>0.0</v>
      </c>
      <c r="I204" s="95">
        <v>0.0</v>
      </c>
      <c r="J204" s="80">
        <f t="shared" si="2"/>
        <v>165266677</v>
      </c>
      <c r="K204" s="77">
        <f t="shared" si="3"/>
        <v>4</v>
      </c>
    </row>
    <row r="205" ht="15.75" customHeight="1">
      <c r="A205" s="99">
        <v>45045.0</v>
      </c>
      <c r="B205" s="74"/>
      <c r="C205" s="78"/>
      <c r="D205" s="69"/>
      <c r="E205" s="73" t="s">
        <v>456</v>
      </c>
      <c r="F205" s="73" t="s">
        <v>457</v>
      </c>
      <c r="G205" s="74"/>
      <c r="H205" s="95">
        <v>0.0</v>
      </c>
      <c r="I205" s="95">
        <v>3600000.0</v>
      </c>
      <c r="J205" s="80">
        <f t="shared" si="2"/>
        <v>161666677</v>
      </c>
      <c r="K205" s="77">
        <f t="shared" si="3"/>
        <v>4</v>
      </c>
    </row>
    <row r="206" ht="15.75" customHeight="1">
      <c r="A206" s="99">
        <v>45045.0</v>
      </c>
      <c r="B206" s="74"/>
      <c r="C206" s="78"/>
      <c r="D206" s="69"/>
      <c r="E206" s="73" t="s">
        <v>456</v>
      </c>
      <c r="F206" s="73" t="s">
        <v>457</v>
      </c>
      <c r="G206" s="74"/>
      <c r="H206" s="95">
        <v>0.0</v>
      </c>
      <c r="I206" s="95">
        <v>3100000.0</v>
      </c>
      <c r="J206" s="80">
        <f t="shared" si="2"/>
        <v>158566677</v>
      </c>
      <c r="K206" s="77">
        <f t="shared" si="3"/>
        <v>4</v>
      </c>
    </row>
    <row r="207" ht="15.75" customHeight="1">
      <c r="A207" s="99">
        <v>45045.0</v>
      </c>
      <c r="B207" s="74"/>
      <c r="C207" s="98"/>
      <c r="D207" s="101"/>
      <c r="E207" s="73" t="s">
        <v>456</v>
      </c>
      <c r="F207" s="73" t="s">
        <v>457</v>
      </c>
      <c r="G207" s="74"/>
      <c r="H207" s="95">
        <v>0.0</v>
      </c>
      <c r="I207" s="95">
        <v>3100000.0</v>
      </c>
      <c r="J207" s="80">
        <f t="shared" si="2"/>
        <v>155466677</v>
      </c>
      <c r="K207" s="77">
        <f t="shared" si="3"/>
        <v>4</v>
      </c>
    </row>
    <row r="208" ht="15.75" customHeight="1">
      <c r="A208" s="99">
        <v>45045.0</v>
      </c>
      <c r="B208" s="74"/>
      <c r="C208" s="78"/>
      <c r="D208" s="84" t="s">
        <v>247</v>
      </c>
      <c r="E208" s="73" t="s">
        <v>306</v>
      </c>
      <c r="F208" s="73" t="s">
        <v>307</v>
      </c>
      <c r="G208" s="74"/>
      <c r="H208" s="95">
        <v>0.0</v>
      </c>
      <c r="I208" s="95">
        <v>2500.0</v>
      </c>
      <c r="J208" s="80">
        <f t="shared" si="2"/>
        <v>155464177</v>
      </c>
      <c r="K208" s="77">
        <f t="shared" si="3"/>
        <v>4</v>
      </c>
    </row>
    <row r="209" ht="15.75" customHeight="1">
      <c r="A209" s="99">
        <v>45046.0</v>
      </c>
      <c r="B209" s="74"/>
      <c r="C209" s="78"/>
      <c r="D209" s="84" t="s">
        <v>247</v>
      </c>
      <c r="E209" s="73" t="s">
        <v>360</v>
      </c>
      <c r="F209" s="73" t="s">
        <v>361</v>
      </c>
      <c r="G209" s="74"/>
      <c r="H209" s="95">
        <v>0.0</v>
      </c>
      <c r="I209" s="95">
        <v>30000.0</v>
      </c>
      <c r="J209" s="80">
        <f t="shared" si="2"/>
        <v>155434177</v>
      </c>
      <c r="K209" s="77">
        <f t="shared" si="3"/>
        <v>4</v>
      </c>
    </row>
    <row r="210" ht="15.75" customHeight="1">
      <c r="A210" s="99">
        <v>45048.0</v>
      </c>
      <c r="B210" s="74"/>
      <c r="C210" s="78"/>
      <c r="D210" s="71"/>
      <c r="E210" s="73" t="s">
        <v>312</v>
      </c>
      <c r="F210" s="73" t="s">
        <v>313</v>
      </c>
      <c r="G210" s="74"/>
      <c r="H210" s="95">
        <v>0.0</v>
      </c>
      <c r="I210" s="95">
        <v>9.225E7</v>
      </c>
      <c r="J210" s="80">
        <f t="shared" si="2"/>
        <v>63184177</v>
      </c>
      <c r="K210" s="77">
        <f t="shared" si="3"/>
        <v>5</v>
      </c>
    </row>
    <row r="211" ht="15.75" customHeight="1">
      <c r="A211" s="99">
        <v>45048.0</v>
      </c>
      <c r="B211" s="74"/>
      <c r="C211" s="78"/>
      <c r="D211" s="84" t="s">
        <v>247</v>
      </c>
      <c r="E211" s="73" t="s">
        <v>306</v>
      </c>
      <c r="F211" s="73" t="s">
        <v>307</v>
      </c>
      <c r="G211" s="74"/>
      <c r="H211" s="95">
        <v>0.0</v>
      </c>
      <c r="I211" s="95">
        <v>2500.0</v>
      </c>
      <c r="J211" s="80">
        <f t="shared" si="2"/>
        <v>63181677</v>
      </c>
      <c r="K211" s="77">
        <f t="shared" si="3"/>
        <v>5</v>
      </c>
    </row>
    <row r="212" ht="15.75" customHeight="1">
      <c r="A212" s="99">
        <v>45051.0</v>
      </c>
      <c r="B212" s="74"/>
      <c r="C212" s="78"/>
      <c r="D212" s="69"/>
      <c r="E212" s="73" t="s">
        <v>421</v>
      </c>
      <c r="F212" s="73" t="s">
        <v>288</v>
      </c>
      <c r="G212" s="74"/>
      <c r="H212" s="95">
        <v>0.0</v>
      </c>
      <c r="I212" s="95">
        <v>1.05E7</v>
      </c>
      <c r="J212" s="80">
        <f t="shared" si="2"/>
        <v>52681677</v>
      </c>
      <c r="K212" s="77">
        <f t="shared" si="3"/>
        <v>5</v>
      </c>
    </row>
    <row r="213" ht="15.75" customHeight="1">
      <c r="A213" s="99">
        <v>45051.0</v>
      </c>
      <c r="B213" s="74"/>
      <c r="C213" s="78"/>
      <c r="D213" s="71"/>
      <c r="E213" s="73" t="s">
        <v>458</v>
      </c>
      <c r="F213" s="73" t="s">
        <v>297</v>
      </c>
      <c r="G213" s="74"/>
      <c r="H213" s="95">
        <v>0.0</v>
      </c>
      <c r="I213" s="95">
        <v>3577420.0</v>
      </c>
      <c r="J213" s="80">
        <f t="shared" si="2"/>
        <v>49104257</v>
      </c>
      <c r="K213" s="77">
        <f t="shared" si="3"/>
        <v>5</v>
      </c>
    </row>
    <row r="214" ht="15.75" customHeight="1">
      <c r="A214" s="99">
        <v>45051.0</v>
      </c>
      <c r="B214" s="74"/>
      <c r="C214" s="78"/>
      <c r="D214" s="69"/>
      <c r="E214" s="73" t="s">
        <v>459</v>
      </c>
      <c r="F214" s="73" t="s">
        <v>367</v>
      </c>
      <c r="G214" s="74"/>
      <c r="H214" s="95">
        <v>0.0</v>
      </c>
      <c r="I214" s="95">
        <v>138875.0</v>
      </c>
      <c r="J214" s="80">
        <f t="shared" si="2"/>
        <v>48965382</v>
      </c>
      <c r="K214" s="77">
        <f t="shared" si="3"/>
        <v>5</v>
      </c>
    </row>
    <row r="215" ht="15.75" customHeight="1">
      <c r="A215" s="99">
        <v>45051.0</v>
      </c>
      <c r="B215" s="74"/>
      <c r="C215" s="98"/>
      <c r="D215" s="101"/>
      <c r="E215" s="73" t="s">
        <v>460</v>
      </c>
      <c r="F215" s="73" t="s">
        <v>367</v>
      </c>
      <c r="G215" s="74"/>
      <c r="H215" s="95">
        <v>0.0</v>
      </c>
      <c r="I215" s="95">
        <v>70000.0</v>
      </c>
      <c r="J215" s="80">
        <f t="shared" si="2"/>
        <v>48895382</v>
      </c>
      <c r="K215" s="77">
        <f t="shared" si="3"/>
        <v>5</v>
      </c>
    </row>
    <row r="216" ht="15.75" customHeight="1">
      <c r="A216" s="99">
        <v>45051.0</v>
      </c>
      <c r="B216" s="74"/>
      <c r="C216" s="78"/>
      <c r="D216" s="69"/>
      <c r="E216" s="73" t="s">
        <v>419</v>
      </c>
      <c r="F216" s="89" t="s">
        <v>367</v>
      </c>
      <c r="G216" s="74"/>
      <c r="H216" s="95">
        <v>0.0</v>
      </c>
      <c r="I216" s="95">
        <v>124750.0</v>
      </c>
      <c r="J216" s="80">
        <f t="shared" si="2"/>
        <v>48770632</v>
      </c>
      <c r="K216" s="77">
        <f t="shared" si="3"/>
        <v>5</v>
      </c>
    </row>
    <row r="217" ht="15.75" customHeight="1">
      <c r="A217" s="99">
        <v>45051.0</v>
      </c>
      <c r="B217" s="74"/>
      <c r="C217" s="78"/>
      <c r="D217" s="71"/>
      <c r="E217" s="73" t="s">
        <v>461</v>
      </c>
      <c r="F217" s="73" t="s">
        <v>367</v>
      </c>
      <c r="G217" s="74"/>
      <c r="H217" s="95">
        <v>0.0</v>
      </c>
      <c r="I217" s="95">
        <v>209250.0</v>
      </c>
      <c r="J217" s="80">
        <f t="shared" si="2"/>
        <v>48561382</v>
      </c>
      <c r="K217" s="77">
        <f t="shared" si="3"/>
        <v>5</v>
      </c>
    </row>
    <row r="218" ht="15.75" customHeight="1">
      <c r="A218" s="113">
        <v>45051.0</v>
      </c>
      <c r="B218" s="90"/>
      <c r="C218" s="87"/>
      <c r="D218" s="86"/>
      <c r="E218" s="89" t="s">
        <v>462</v>
      </c>
      <c r="F218" s="73" t="s">
        <v>305</v>
      </c>
      <c r="G218" s="90"/>
      <c r="H218" s="114">
        <v>0.0</v>
      </c>
      <c r="I218" s="114">
        <v>2500000.0</v>
      </c>
      <c r="J218" s="80">
        <f t="shared" si="2"/>
        <v>46061382</v>
      </c>
      <c r="K218" s="115">
        <f t="shared" si="3"/>
        <v>5</v>
      </c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</row>
    <row r="219" ht="15.75" customHeight="1">
      <c r="A219" s="99">
        <v>45051.0</v>
      </c>
      <c r="B219" s="74"/>
      <c r="C219" s="78"/>
      <c r="D219" s="84" t="s">
        <v>247</v>
      </c>
      <c r="E219" s="73" t="s">
        <v>306</v>
      </c>
      <c r="F219" s="73" t="s">
        <v>307</v>
      </c>
      <c r="G219" s="74"/>
      <c r="H219" s="95">
        <v>0.0</v>
      </c>
      <c r="I219" s="95">
        <v>2500.0</v>
      </c>
      <c r="J219" s="80">
        <f t="shared" si="2"/>
        <v>46058882</v>
      </c>
      <c r="K219" s="77">
        <f t="shared" si="3"/>
        <v>5</v>
      </c>
    </row>
    <row r="220" ht="15.75" customHeight="1">
      <c r="A220" s="99">
        <v>45051.0</v>
      </c>
      <c r="B220" s="74"/>
      <c r="C220" s="78"/>
      <c r="D220" s="71"/>
      <c r="E220" s="73" t="s">
        <v>295</v>
      </c>
      <c r="F220" s="73" t="s">
        <v>21</v>
      </c>
      <c r="G220" s="74"/>
      <c r="H220" s="95">
        <v>1.0E8</v>
      </c>
      <c r="I220" s="95">
        <v>0.0</v>
      </c>
      <c r="J220" s="80">
        <f t="shared" si="2"/>
        <v>146058882</v>
      </c>
      <c r="K220" s="77">
        <f t="shared" si="3"/>
        <v>5</v>
      </c>
    </row>
    <row r="221" ht="15.75" customHeight="1">
      <c r="A221" s="99">
        <v>45054.0</v>
      </c>
      <c r="B221" s="74"/>
      <c r="C221" s="78"/>
      <c r="D221" s="71"/>
      <c r="E221" s="73" t="s">
        <v>463</v>
      </c>
      <c r="F221" s="73" t="s">
        <v>464</v>
      </c>
      <c r="G221" s="74"/>
      <c r="H221" s="95">
        <v>0.0</v>
      </c>
      <c r="I221" s="95">
        <v>4400000.0</v>
      </c>
      <c r="J221" s="80">
        <f t="shared" si="2"/>
        <v>141658882</v>
      </c>
      <c r="K221" s="77">
        <f t="shared" si="3"/>
        <v>5</v>
      </c>
    </row>
    <row r="222" ht="15.75" customHeight="1">
      <c r="A222" s="99">
        <v>45054.0</v>
      </c>
      <c r="B222" s="74"/>
      <c r="C222" s="78"/>
      <c r="D222" s="84" t="s">
        <v>247</v>
      </c>
      <c r="E222" s="73" t="s">
        <v>465</v>
      </c>
      <c r="F222" s="73" t="s">
        <v>307</v>
      </c>
      <c r="G222" s="74"/>
      <c r="H222" s="95">
        <v>0.0</v>
      </c>
      <c r="I222" s="95">
        <v>29000.0</v>
      </c>
      <c r="J222" s="80">
        <f t="shared" si="2"/>
        <v>141629882</v>
      </c>
      <c r="K222" s="77">
        <f t="shared" si="3"/>
        <v>5</v>
      </c>
    </row>
    <row r="223" ht="15.75" customHeight="1">
      <c r="A223" s="99">
        <v>45055.0</v>
      </c>
      <c r="B223" s="74"/>
      <c r="C223" s="78"/>
      <c r="D223" s="71"/>
      <c r="E223" s="73" t="s">
        <v>372</v>
      </c>
      <c r="F223" s="73" t="s">
        <v>373</v>
      </c>
      <c r="G223" s="74"/>
      <c r="H223" s="95">
        <v>0.0</v>
      </c>
      <c r="I223" s="95">
        <v>7.8975E7</v>
      </c>
      <c r="J223" s="80">
        <f t="shared" si="2"/>
        <v>62654882</v>
      </c>
      <c r="K223" s="77">
        <f t="shared" si="3"/>
        <v>5</v>
      </c>
    </row>
    <row r="224" ht="15.75" customHeight="1">
      <c r="A224" s="99">
        <v>45055.0</v>
      </c>
      <c r="B224" s="74"/>
      <c r="C224" s="78"/>
      <c r="D224" s="84" t="s">
        <v>247</v>
      </c>
      <c r="E224" s="73" t="s">
        <v>306</v>
      </c>
      <c r="F224" s="73" t="s">
        <v>307</v>
      </c>
      <c r="G224" s="74"/>
      <c r="H224" s="95">
        <v>0.0</v>
      </c>
      <c r="I224" s="95">
        <v>2500.0</v>
      </c>
      <c r="J224" s="80">
        <f t="shared" si="2"/>
        <v>62652382</v>
      </c>
      <c r="K224" s="77">
        <f t="shared" si="3"/>
        <v>5</v>
      </c>
    </row>
    <row r="225" ht="15.75" customHeight="1">
      <c r="A225" s="99">
        <v>45057.0</v>
      </c>
      <c r="B225" s="74"/>
      <c r="C225" s="98"/>
      <c r="D225" s="71"/>
      <c r="E225" s="73" t="s">
        <v>466</v>
      </c>
      <c r="F225" s="73" t="s">
        <v>394</v>
      </c>
      <c r="G225" s="74"/>
      <c r="H225" s="95">
        <v>0.0</v>
      </c>
      <c r="I225" s="95">
        <v>1.225E7</v>
      </c>
      <c r="J225" s="80">
        <f t="shared" si="2"/>
        <v>50402382</v>
      </c>
      <c r="K225" s="77">
        <f t="shared" si="3"/>
        <v>5</v>
      </c>
    </row>
    <row r="226" ht="15.75" customHeight="1">
      <c r="A226" s="99">
        <v>45057.0</v>
      </c>
      <c r="B226" s="74"/>
      <c r="C226" s="78"/>
      <c r="D226" s="84" t="s">
        <v>247</v>
      </c>
      <c r="E226" s="73" t="s">
        <v>311</v>
      </c>
      <c r="F226" s="73" t="s">
        <v>307</v>
      </c>
      <c r="G226" s="74"/>
      <c r="H226" s="95">
        <v>0.0</v>
      </c>
      <c r="I226" s="95">
        <v>6500.0</v>
      </c>
      <c r="J226" s="80">
        <f t="shared" si="2"/>
        <v>50395882</v>
      </c>
      <c r="K226" s="77">
        <f t="shared" si="3"/>
        <v>5</v>
      </c>
    </row>
    <row r="227" ht="15.75" customHeight="1">
      <c r="A227" s="99">
        <v>45057.0</v>
      </c>
      <c r="B227" s="74"/>
      <c r="C227" s="78"/>
      <c r="D227" s="71"/>
      <c r="E227" s="73" t="s">
        <v>467</v>
      </c>
      <c r="F227" s="73" t="s">
        <v>468</v>
      </c>
      <c r="G227" s="74"/>
      <c r="H227" s="95">
        <v>0.0</v>
      </c>
      <c r="I227" s="95">
        <v>405150.0</v>
      </c>
      <c r="J227" s="80">
        <f t="shared" si="2"/>
        <v>49990732</v>
      </c>
      <c r="K227" s="77">
        <f t="shared" si="3"/>
        <v>5</v>
      </c>
    </row>
    <row r="228" ht="15.75" customHeight="1">
      <c r="A228" s="99">
        <v>45070.0</v>
      </c>
      <c r="B228" s="74"/>
      <c r="C228" s="78"/>
      <c r="D228" s="81" t="s">
        <v>210</v>
      </c>
      <c r="E228" s="73" t="s">
        <v>469</v>
      </c>
      <c r="F228" s="73" t="s">
        <v>292</v>
      </c>
      <c r="G228" s="74"/>
      <c r="H228" s="95">
        <v>0.0</v>
      </c>
      <c r="I228" s="95">
        <v>8775000.0</v>
      </c>
      <c r="J228" s="80">
        <f t="shared" si="2"/>
        <v>41215732</v>
      </c>
      <c r="K228" s="77">
        <f t="shared" si="3"/>
        <v>5</v>
      </c>
    </row>
    <row r="229" ht="15.75" customHeight="1">
      <c r="A229" s="99">
        <v>45070.0</v>
      </c>
      <c r="B229" s="74"/>
      <c r="C229" s="78"/>
      <c r="D229" s="81" t="s">
        <v>210</v>
      </c>
      <c r="E229" s="73" t="s">
        <v>470</v>
      </c>
      <c r="F229" s="73" t="s">
        <v>292</v>
      </c>
      <c r="G229" s="74"/>
      <c r="H229" s="95">
        <v>0.0</v>
      </c>
      <c r="I229" s="95">
        <v>8775000.0</v>
      </c>
      <c r="J229" s="80">
        <f t="shared" si="2"/>
        <v>32440732</v>
      </c>
      <c r="K229" s="77">
        <f t="shared" si="3"/>
        <v>5</v>
      </c>
    </row>
    <row r="230" ht="15.75" customHeight="1">
      <c r="A230" s="99">
        <v>45070.0</v>
      </c>
      <c r="B230" s="74"/>
      <c r="C230" s="78"/>
      <c r="D230" s="69"/>
      <c r="E230" s="73" t="s">
        <v>471</v>
      </c>
      <c r="F230" s="73" t="s">
        <v>297</v>
      </c>
      <c r="G230" s="74"/>
      <c r="H230" s="95">
        <v>0.0</v>
      </c>
      <c r="I230" s="95">
        <v>3977710.0</v>
      </c>
      <c r="J230" s="80">
        <f t="shared" si="2"/>
        <v>28463022</v>
      </c>
      <c r="K230" s="77">
        <f t="shared" si="3"/>
        <v>5</v>
      </c>
    </row>
    <row r="231" ht="15.75" customHeight="1">
      <c r="A231" s="99">
        <v>45070.0</v>
      </c>
      <c r="B231" s="74"/>
      <c r="C231" s="78"/>
      <c r="D231" s="69"/>
      <c r="E231" s="73" t="s">
        <v>295</v>
      </c>
      <c r="F231" s="73" t="s">
        <v>21</v>
      </c>
      <c r="G231" s="74"/>
      <c r="H231" s="95">
        <v>1.5E8</v>
      </c>
      <c r="I231" s="95">
        <v>0.0</v>
      </c>
      <c r="J231" s="80">
        <f t="shared" si="2"/>
        <v>178463022</v>
      </c>
      <c r="K231" s="77">
        <f t="shared" si="3"/>
        <v>5</v>
      </c>
    </row>
    <row r="232" ht="15.75" customHeight="1">
      <c r="A232" s="99">
        <v>45076.0</v>
      </c>
      <c r="B232" s="74"/>
      <c r="C232" s="78"/>
      <c r="D232" s="69"/>
      <c r="E232" s="73" t="s">
        <v>472</v>
      </c>
      <c r="F232" s="73" t="s">
        <v>315</v>
      </c>
      <c r="G232" s="74"/>
      <c r="H232" s="95">
        <v>0.0</v>
      </c>
      <c r="I232" s="95">
        <v>9350000.0</v>
      </c>
      <c r="J232" s="80">
        <f t="shared" si="2"/>
        <v>169113022</v>
      </c>
      <c r="K232" s="77">
        <f t="shared" si="3"/>
        <v>5</v>
      </c>
    </row>
    <row r="233" ht="15.75" customHeight="1">
      <c r="A233" s="99">
        <v>45076.0</v>
      </c>
      <c r="B233" s="74"/>
      <c r="C233" s="78"/>
      <c r="D233" s="71"/>
      <c r="E233" s="73" t="s">
        <v>473</v>
      </c>
      <c r="F233" s="73" t="s">
        <v>317</v>
      </c>
      <c r="G233" s="74"/>
      <c r="H233" s="95">
        <v>0.0</v>
      </c>
      <c r="I233" s="95">
        <v>300000.0</v>
      </c>
      <c r="J233" s="80">
        <f t="shared" si="2"/>
        <v>168813022</v>
      </c>
      <c r="K233" s="77">
        <f t="shared" si="3"/>
        <v>5</v>
      </c>
    </row>
    <row r="234" ht="15.75" customHeight="1">
      <c r="A234" s="99">
        <v>45076.0</v>
      </c>
      <c r="B234" s="74"/>
      <c r="C234" s="78"/>
      <c r="D234" s="69"/>
      <c r="E234" s="73" t="s">
        <v>474</v>
      </c>
      <c r="F234" s="73" t="s">
        <v>21</v>
      </c>
      <c r="G234" s="74"/>
      <c r="H234" s="95">
        <v>4000000.0</v>
      </c>
      <c r="I234" s="95">
        <v>0.0</v>
      </c>
      <c r="J234" s="80">
        <f t="shared" si="2"/>
        <v>172813022</v>
      </c>
      <c r="K234" s="77">
        <f t="shared" si="3"/>
        <v>5</v>
      </c>
    </row>
    <row r="235" ht="15.75" customHeight="1">
      <c r="A235" s="116">
        <v>45076.0</v>
      </c>
      <c r="B235" s="74"/>
      <c r="C235" s="78"/>
      <c r="D235" s="71"/>
      <c r="E235" s="73" t="s">
        <v>319</v>
      </c>
      <c r="F235" s="73" t="s">
        <v>320</v>
      </c>
      <c r="G235" s="74"/>
      <c r="H235" s="95">
        <v>0.0</v>
      </c>
      <c r="I235" s="95">
        <v>7000000.0</v>
      </c>
      <c r="J235" s="80">
        <f t="shared" si="2"/>
        <v>165813022</v>
      </c>
      <c r="K235" s="77">
        <f t="shared" si="3"/>
        <v>5</v>
      </c>
    </row>
    <row r="236" ht="15.75" customHeight="1">
      <c r="A236" s="116">
        <v>45076.0</v>
      </c>
      <c r="B236" s="74"/>
      <c r="C236" s="78"/>
      <c r="D236" s="71"/>
      <c r="E236" s="73" t="s">
        <v>319</v>
      </c>
      <c r="F236" s="73" t="s">
        <v>321</v>
      </c>
      <c r="G236" s="74"/>
      <c r="H236" s="95">
        <v>0.0</v>
      </c>
      <c r="I236" s="95">
        <v>8000000.0</v>
      </c>
      <c r="J236" s="80">
        <f t="shared" si="2"/>
        <v>157813022</v>
      </c>
      <c r="K236" s="77">
        <f t="shared" si="3"/>
        <v>5</v>
      </c>
    </row>
    <row r="237" ht="15.75" customHeight="1">
      <c r="A237" s="116">
        <v>45076.0</v>
      </c>
      <c r="B237" s="74"/>
      <c r="C237" s="78"/>
      <c r="D237" s="69"/>
      <c r="E237" s="73" t="s">
        <v>475</v>
      </c>
      <c r="F237" s="89" t="s">
        <v>315</v>
      </c>
      <c r="G237" s="74"/>
      <c r="H237" s="95">
        <v>0.0</v>
      </c>
      <c r="I237" s="95">
        <v>9800000.0</v>
      </c>
      <c r="J237" s="80">
        <f t="shared" si="2"/>
        <v>148013022</v>
      </c>
      <c r="K237" s="77">
        <f t="shared" si="3"/>
        <v>5</v>
      </c>
    </row>
    <row r="238" ht="15.75" customHeight="1">
      <c r="A238" s="116">
        <v>45076.0</v>
      </c>
      <c r="B238" s="74"/>
      <c r="C238" s="78"/>
      <c r="D238" s="71"/>
      <c r="E238" s="73" t="s">
        <v>476</v>
      </c>
      <c r="F238" s="89" t="s">
        <v>317</v>
      </c>
      <c r="G238" s="74"/>
      <c r="H238" s="95">
        <v>0.0</v>
      </c>
      <c r="I238" s="95">
        <v>0.0</v>
      </c>
      <c r="J238" s="80">
        <f t="shared" si="2"/>
        <v>148013022</v>
      </c>
      <c r="K238" s="77">
        <f t="shared" si="3"/>
        <v>5</v>
      </c>
    </row>
    <row r="239" ht="15.75" customHeight="1">
      <c r="A239" s="113">
        <v>45076.0</v>
      </c>
      <c r="B239" s="90"/>
      <c r="C239" s="87"/>
      <c r="D239" s="86"/>
      <c r="E239" s="72" t="s">
        <v>477</v>
      </c>
      <c r="F239" s="89" t="s">
        <v>325</v>
      </c>
      <c r="G239" s="90"/>
      <c r="H239" s="114">
        <v>0.0</v>
      </c>
      <c r="I239" s="114">
        <v>0.0</v>
      </c>
      <c r="J239" s="80">
        <f t="shared" si="2"/>
        <v>148013022</v>
      </c>
      <c r="K239" s="77">
        <f t="shared" si="3"/>
        <v>5</v>
      </c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</row>
    <row r="240" ht="15.75" customHeight="1">
      <c r="A240" s="113">
        <v>45076.0</v>
      </c>
      <c r="B240" s="90"/>
      <c r="C240" s="87"/>
      <c r="D240" s="71"/>
      <c r="E240" s="117" t="s">
        <v>478</v>
      </c>
      <c r="F240" s="89" t="s">
        <v>327</v>
      </c>
      <c r="G240" s="90"/>
      <c r="H240" s="114">
        <v>0.0</v>
      </c>
      <c r="I240" s="114">
        <v>5.085E7</v>
      </c>
      <c r="J240" s="80">
        <f t="shared" si="2"/>
        <v>97163022</v>
      </c>
      <c r="K240" s="77">
        <f t="shared" si="3"/>
        <v>5</v>
      </c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</row>
    <row r="241" ht="15.75" customHeight="1">
      <c r="A241" s="113">
        <v>45076.0</v>
      </c>
      <c r="B241" s="90"/>
      <c r="C241" s="87"/>
      <c r="D241" s="71"/>
      <c r="E241" s="117" t="s">
        <v>479</v>
      </c>
      <c r="F241" s="89" t="s">
        <v>329</v>
      </c>
      <c r="G241" s="90"/>
      <c r="H241" s="114">
        <v>0.0</v>
      </c>
      <c r="I241" s="114">
        <v>1.1525E7</v>
      </c>
      <c r="J241" s="80">
        <f t="shared" si="2"/>
        <v>85638022</v>
      </c>
      <c r="K241" s="77">
        <f t="shared" si="3"/>
        <v>5</v>
      </c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</row>
    <row r="242" ht="15.75" customHeight="1">
      <c r="A242" s="113">
        <v>45076.0</v>
      </c>
      <c r="B242" s="90"/>
      <c r="C242" s="87"/>
      <c r="D242" s="86"/>
      <c r="E242" s="117" t="s">
        <v>480</v>
      </c>
      <c r="F242" s="73" t="s">
        <v>331</v>
      </c>
      <c r="G242" s="90"/>
      <c r="H242" s="114">
        <v>0.0</v>
      </c>
      <c r="I242" s="114">
        <v>1.975E7</v>
      </c>
      <c r="J242" s="80">
        <f t="shared" si="2"/>
        <v>65888022</v>
      </c>
      <c r="K242" s="77">
        <f t="shared" si="3"/>
        <v>5</v>
      </c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</row>
    <row r="243" ht="15.75" customHeight="1">
      <c r="A243" s="113">
        <v>45076.0</v>
      </c>
      <c r="B243" s="90"/>
      <c r="C243" s="87"/>
      <c r="D243" s="71"/>
      <c r="E243" s="117" t="s">
        <v>481</v>
      </c>
      <c r="F243" s="73" t="s">
        <v>21</v>
      </c>
      <c r="G243" s="90"/>
      <c r="H243" s="114">
        <v>1400000.0</v>
      </c>
      <c r="I243" s="114">
        <v>0.0</v>
      </c>
      <c r="J243" s="80">
        <f t="shared" si="2"/>
        <v>67288022</v>
      </c>
      <c r="K243" s="115">
        <f t="shared" si="3"/>
        <v>5</v>
      </c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</row>
    <row r="244" ht="15.75" customHeight="1">
      <c r="A244" s="99">
        <v>45076.0</v>
      </c>
      <c r="B244" s="74"/>
      <c r="C244" s="78"/>
      <c r="D244" s="69"/>
      <c r="E244" s="102" t="s">
        <v>482</v>
      </c>
      <c r="F244" s="73" t="s">
        <v>315</v>
      </c>
      <c r="G244" s="74"/>
      <c r="H244" s="95">
        <v>0.0</v>
      </c>
      <c r="I244" s="95">
        <v>1.305E7</v>
      </c>
      <c r="J244" s="80">
        <f t="shared" si="2"/>
        <v>54238022</v>
      </c>
      <c r="K244" s="77">
        <f t="shared" si="3"/>
        <v>5</v>
      </c>
    </row>
    <row r="245" ht="15.75" customHeight="1">
      <c r="A245" s="99">
        <v>45076.0</v>
      </c>
      <c r="B245" s="74"/>
      <c r="C245" s="78"/>
      <c r="D245" s="69"/>
      <c r="E245" s="102" t="s">
        <v>483</v>
      </c>
      <c r="F245" s="73" t="s">
        <v>21</v>
      </c>
      <c r="G245" s="74"/>
      <c r="H245" s="95">
        <v>1000000.0</v>
      </c>
      <c r="I245" s="95">
        <v>0.0</v>
      </c>
      <c r="J245" s="80">
        <f t="shared" si="2"/>
        <v>55238022</v>
      </c>
      <c r="K245" s="77">
        <f t="shared" si="3"/>
        <v>5</v>
      </c>
    </row>
    <row r="246" ht="15.75" customHeight="1">
      <c r="A246" s="99">
        <v>45076.0</v>
      </c>
      <c r="B246" s="74"/>
      <c r="C246" s="78"/>
      <c r="D246" s="69"/>
      <c r="E246" s="102" t="s">
        <v>484</v>
      </c>
      <c r="F246" s="73" t="s">
        <v>315</v>
      </c>
      <c r="G246" s="74"/>
      <c r="H246" s="95">
        <v>0.0</v>
      </c>
      <c r="I246" s="95">
        <v>7000000.0</v>
      </c>
      <c r="J246" s="80">
        <f t="shared" si="2"/>
        <v>48238022</v>
      </c>
      <c r="K246" s="77">
        <f t="shared" si="3"/>
        <v>5</v>
      </c>
    </row>
    <row r="247" ht="15.75" customHeight="1">
      <c r="A247" s="99">
        <v>45076.0</v>
      </c>
      <c r="B247" s="74"/>
      <c r="C247" s="78"/>
      <c r="D247" s="69"/>
      <c r="E247" s="102" t="s">
        <v>485</v>
      </c>
      <c r="F247" s="73" t="s">
        <v>21</v>
      </c>
      <c r="G247" s="74"/>
      <c r="H247" s="95">
        <v>1000000.0</v>
      </c>
      <c r="I247" s="95">
        <v>0.0</v>
      </c>
      <c r="J247" s="80">
        <f t="shared" si="2"/>
        <v>49238022</v>
      </c>
      <c r="K247" s="77">
        <f t="shared" si="3"/>
        <v>5</v>
      </c>
    </row>
    <row r="248" ht="15.75" customHeight="1">
      <c r="A248" s="99">
        <v>45076.0</v>
      </c>
      <c r="B248" s="74"/>
      <c r="C248" s="78"/>
      <c r="D248" s="69"/>
      <c r="E248" s="102" t="s">
        <v>486</v>
      </c>
      <c r="F248" s="73" t="s">
        <v>315</v>
      </c>
      <c r="G248" s="74"/>
      <c r="H248" s="95">
        <v>0.0</v>
      </c>
      <c r="I248" s="95">
        <v>5400000.0</v>
      </c>
      <c r="J248" s="80">
        <f t="shared" si="2"/>
        <v>43838022</v>
      </c>
      <c r="K248" s="77">
        <f t="shared" si="3"/>
        <v>5</v>
      </c>
    </row>
    <row r="249" ht="15.75" customHeight="1">
      <c r="A249" s="99">
        <v>45076.0</v>
      </c>
      <c r="B249" s="74"/>
      <c r="C249" s="98"/>
      <c r="D249" s="101"/>
      <c r="E249" s="102" t="s">
        <v>487</v>
      </c>
      <c r="F249" s="73" t="s">
        <v>21</v>
      </c>
      <c r="G249" s="74"/>
      <c r="H249" s="95">
        <v>1000000.0</v>
      </c>
      <c r="I249" s="95">
        <v>0.0</v>
      </c>
      <c r="J249" s="80">
        <f t="shared" si="2"/>
        <v>44838022</v>
      </c>
      <c r="K249" s="77">
        <f t="shared" si="3"/>
        <v>5</v>
      </c>
    </row>
    <row r="250" ht="15.75" customHeight="1">
      <c r="A250" s="99">
        <v>45076.0</v>
      </c>
      <c r="B250" s="74"/>
      <c r="C250" s="78"/>
      <c r="D250" s="84" t="s">
        <v>247</v>
      </c>
      <c r="E250" s="102" t="s">
        <v>339</v>
      </c>
      <c r="F250" s="73" t="s">
        <v>307</v>
      </c>
      <c r="G250" s="74"/>
      <c r="H250" s="95">
        <v>0.0</v>
      </c>
      <c r="I250" s="95">
        <v>2900.0</v>
      </c>
      <c r="J250" s="80">
        <f t="shared" si="2"/>
        <v>44835122</v>
      </c>
      <c r="K250" s="77">
        <f t="shared" si="3"/>
        <v>5</v>
      </c>
    </row>
    <row r="251" ht="15.75" customHeight="1">
      <c r="A251" s="99">
        <v>45076.0</v>
      </c>
      <c r="B251" s="74"/>
      <c r="C251" s="78"/>
      <c r="D251" s="84" t="s">
        <v>247</v>
      </c>
      <c r="E251" s="102" t="s">
        <v>340</v>
      </c>
      <c r="F251" s="89" t="s">
        <v>307</v>
      </c>
      <c r="G251" s="74"/>
      <c r="H251" s="95">
        <v>0.0</v>
      </c>
      <c r="I251" s="95">
        <v>31900.0</v>
      </c>
      <c r="J251" s="80">
        <f t="shared" si="2"/>
        <v>44803222</v>
      </c>
      <c r="K251" s="77">
        <f t="shared" si="3"/>
        <v>5</v>
      </c>
    </row>
    <row r="252" ht="15.75" customHeight="1">
      <c r="A252" s="99">
        <v>45076.0</v>
      </c>
      <c r="B252" s="74"/>
      <c r="C252" s="87"/>
      <c r="D252" s="84" t="s">
        <v>247</v>
      </c>
      <c r="E252" s="102" t="s">
        <v>341</v>
      </c>
      <c r="F252" s="89" t="s">
        <v>307</v>
      </c>
      <c r="G252" s="74"/>
      <c r="H252" s="95">
        <v>0.0</v>
      </c>
      <c r="I252" s="95">
        <v>2900.0</v>
      </c>
      <c r="J252" s="80">
        <f t="shared" si="2"/>
        <v>44800322</v>
      </c>
      <c r="K252" s="77">
        <f t="shared" si="3"/>
        <v>5</v>
      </c>
    </row>
    <row r="253" ht="15.75" customHeight="1">
      <c r="A253" s="113">
        <v>45076.0</v>
      </c>
      <c r="B253" s="90"/>
      <c r="C253" s="87"/>
      <c r="D253" s="84" t="s">
        <v>247</v>
      </c>
      <c r="E253" s="117" t="s">
        <v>342</v>
      </c>
      <c r="F253" s="73" t="s">
        <v>307</v>
      </c>
      <c r="G253" s="90"/>
      <c r="H253" s="114">
        <v>0.0</v>
      </c>
      <c r="I253" s="114">
        <v>0.0</v>
      </c>
      <c r="J253" s="80">
        <f t="shared" si="2"/>
        <v>44800322</v>
      </c>
      <c r="K253" s="115">
        <f t="shared" si="3"/>
        <v>5</v>
      </c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</row>
    <row r="254" ht="15.75" customHeight="1">
      <c r="A254" s="113">
        <v>45076.0</v>
      </c>
      <c r="B254" s="90"/>
      <c r="C254" s="87"/>
      <c r="D254" s="84" t="s">
        <v>247</v>
      </c>
      <c r="E254" s="117" t="s">
        <v>343</v>
      </c>
      <c r="F254" s="73" t="s">
        <v>307</v>
      </c>
      <c r="G254" s="90"/>
      <c r="H254" s="114">
        <v>0.0</v>
      </c>
      <c r="I254" s="114">
        <v>0.0</v>
      </c>
      <c r="J254" s="80">
        <f t="shared" si="2"/>
        <v>44800322</v>
      </c>
      <c r="K254" s="115">
        <f t="shared" si="3"/>
        <v>5</v>
      </c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</row>
    <row r="255" ht="15.75" customHeight="1">
      <c r="A255" s="99">
        <v>45076.0</v>
      </c>
      <c r="B255" s="74"/>
      <c r="C255" s="87"/>
      <c r="D255" s="84" t="s">
        <v>247</v>
      </c>
      <c r="E255" s="102" t="s">
        <v>360</v>
      </c>
      <c r="F255" s="73" t="s">
        <v>361</v>
      </c>
      <c r="G255" s="74"/>
      <c r="H255" s="95">
        <v>0.0</v>
      </c>
      <c r="I255" s="95">
        <v>30000.0</v>
      </c>
      <c r="J255" s="80">
        <f t="shared" si="2"/>
        <v>44770322</v>
      </c>
      <c r="K255" s="77">
        <f t="shared" si="3"/>
        <v>5</v>
      </c>
    </row>
    <row r="256" ht="15.75" customHeight="1">
      <c r="A256" s="99">
        <v>45078.0</v>
      </c>
      <c r="B256" s="74"/>
      <c r="C256" s="87"/>
      <c r="D256" s="86"/>
      <c r="E256" s="102" t="s">
        <v>488</v>
      </c>
      <c r="F256" s="73" t="s">
        <v>305</v>
      </c>
      <c r="G256" s="74"/>
      <c r="H256" s="95">
        <v>0.0</v>
      </c>
      <c r="I256" s="95">
        <v>2500000.0</v>
      </c>
      <c r="J256" s="80">
        <f t="shared" si="2"/>
        <v>42270322</v>
      </c>
      <c r="K256" s="77">
        <f t="shared" si="3"/>
        <v>6</v>
      </c>
    </row>
    <row r="257" ht="15.75" customHeight="1">
      <c r="A257" s="99">
        <v>45078.0</v>
      </c>
      <c r="B257" s="74"/>
      <c r="C257" s="87"/>
      <c r="D257" s="84" t="s">
        <v>247</v>
      </c>
      <c r="E257" s="102" t="s">
        <v>306</v>
      </c>
      <c r="F257" s="73" t="s">
        <v>307</v>
      </c>
      <c r="G257" s="74"/>
      <c r="H257" s="95">
        <v>0.0</v>
      </c>
      <c r="I257" s="95">
        <v>2500.0</v>
      </c>
      <c r="J257" s="80">
        <f t="shared" si="2"/>
        <v>42267822</v>
      </c>
      <c r="K257" s="77">
        <f t="shared" si="3"/>
        <v>6</v>
      </c>
    </row>
    <row r="258" ht="15.75" customHeight="1">
      <c r="A258" s="99">
        <v>45083.0</v>
      </c>
      <c r="B258" s="74"/>
      <c r="C258" s="87"/>
      <c r="D258" s="86"/>
      <c r="E258" s="102" t="s">
        <v>489</v>
      </c>
      <c r="F258" s="73" t="s">
        <v>490</v>
      </c>
      <c r="G258" s="74"/>
      <c r="H258" s="95">
        <v>0.0</v>
      </c>
      <c r="I258" s="95">
        <v>8000000.0</v>
      </c>
      <c r="J258" s="80">
        <f t="shared" si="2"/>
        <v>34267822</v>
      </c>
      <c r="K258" s="77">
        <f t="shared" si="3"/>
        <v>6</v>
      </c>
    </row>
    <row r="259" ht="15.75" customHeight="1">
      <c r="A259" s="99">
        <v>45083.0</v>
      </c>
      <c r="B259" s="74"/>
      <c r="C259" s="118"/>
      <c r="D259" s="119"/>
      <c r="E259" s="102" t="s">
        <v>491</v>
      </c>
      <c r="F259" s="73" t="s">
        <v>288</v>
      </c>
      <c r="G259" s="74"/>
      <c r="H259" s="95">
        <v>0.0</v>
      </c>
      <c r="I259" s="95">
        <v>1.05E7</v>
      </c>
      <c r="J259" s="80">
        <f t="shared" si="2"/>
        <v>23767822</v>
      </c>
      <c r="K259" s="77">
        <f t="shared" si="3"/>
        <v>6</v>
      </c>
    </row>
    <row r="260" ht="15.75" customHeight="1">
      <c r="A260" s="99">
        <v>45083.0</v>
      </c>
      <c r="B260" s="74"/>
      <c r="C260" s="118"/>
      <c r="D260" s="119"/>
      <c r="E260" s="102" t="s">
        <v>392</v>
      </c>
      <c r="F260" s="73" t="s">
        <v>367</v>
      </c>
      <c r="G260" s="74"/>
      <c r="H260" s="95">
        <v>0.0</v>
      </c>
      <c r="I260" s="95">
        <v>124750.0</v>
      </c>
      <c r="J260" s="80">
        <f t="shared" si="2"/>
        <v>23643072</v>
      </c>
      <c r="K260" s="77">
        <f t="shared" si="3"/>
        <v>6</v>
      </c>
    </row>
    <row r="261" ht="15.75" customHeight="1">
      <c r="A261" s="99">
        <v>45083.0</v>
      </c>
      <c r="B261" s="74"/>
      <c r="C261" s="87"/>
      <c r="D261" s="86"/>
      <c r="E261" s="102" t="s">
        <v>390</v>
      </c>
      <c r="F261" s="73" t="s">
        <v>367</v>
      </c>
      <c r="G261" s="74"/>
      <c r="H261" s="95">
        <v>0.0</v>
      </c>
      <c r="I261" s="114">
        <v>138875.0</v>
      </c>
      <c r="J261" s="80">
        <f t="shared" si="2"/>
        <v>23504197</v>
      </c>
      <c r="K261" s="77">
        <f t="shared" si="3"/>
        <v>6</v>
      </c>
    </row>
    <row r="262" ht="15.75" customHeight="1">
      <c r="A262" s="99">
        <v>45083.0</v>
      </c>
      <c r="B262" s="74"/>
      <c r="C262" s="87"/>
      <c r="D262" s="86"/>
      <c r="E262" s="102" t="s">
        <v>391</v>
      </c>
      <c r="F262" s="73" t="s">
        <v>367</v>
      </c>
      <c r="G262" s="74"/>
      <c r="H262" s="95">
        <v>0.0</v>
      </c>
      <c r="I262" s="114">
        <v>209250.0</v>
      </c>
      <c r="J262" s="80">
        <f t="shared" si="2"/>
        <v>23294947</v>
      </c>
      <c r="K262" s="77">
        <f t="shared" si="3"/>
        <v>6</v>
      </c>
    </row>
    <row r="263" ht="15.75" customHeight="1">
      <c r="A263" s="99">
        <v>45083.0</v>
      </c>
      <c r="B263" s="74"/>
      <c r="C263" s="87"/>
      <c r="D263" s="71"/>
      <c r="E263" s="102" t="s">
        <v>492</v>
      </c>
      <c r="F263" s="73" t="s">
        <v>367</v>
      </c>
      <c r="G263" s="74"/>
      <c r="H263" s="95">
        <v>0.0</v>
      </c>
      <c r="I263" s="114">
        <v>70000.0</v>
      </c>
      <c r="J263" s="80">
        <f t="shared" si="2"/>
        <v>23224947</v>
      </c>
      <c r="K263" s="77">
        <f t="shared" si="3"/>
        <v>6</v>
      </c>
    </row>
    <row r="264" ht="15.75" customHeight="1">
      <c r="A264" s="99">
        <v>45083.0</v>
      </c>
      <c r="B264" s="74"/>
      <c r="C264" s="87"/>
      <c r="D264" s="86"/>
      <c r="E264" s="102" t="s">
        <v>493</v>
      </c>
      <c r="F264" s="73" t="s">
        <v>347</v>
      </c>
      <c r="G264" s="74"/>
      <c r="H264" s="95">
        <v>0.0</v>
      </c>
      <c r="I264" s="114">
        <v>100075.0</v>
      </c>
      <c r="J264" s="80">
        <f t="shared" si="2"/>
        <v>23124872</v>
      </c>
      <c r="K264" s="77">
        <f t="shared" si="3"/>
        <v>6</v>
      </c>
    </row>
    <row r="265" ht="15.75" customHeight="1">
      <c r="A265" s="99">
        <v>45083.0</v>
      </c>
      <c r="B265" s="74"/>
      <c r="C265" s="87"/>
      <c r="D265" s="86"/>
      <c r="E265" s="102" t="s">
        <v>494</v>
      </c>
      <c r="F265" s="73" t="s">
        <v>347</v>
      </c>
      <c r="G265" s="74"/>
      <c r="H265" s="114">
        <v>0.0</v>
      </c>
      <c r="I265" s="114">
        <v>100000.0</v>
      </c>
      <c r="J265" s="80">
        <f t="shared" si="2"/>
        <v>23024872</v>
      </c>
      <c r="K265" s="77">
        <f t="shared" si="3"/>
        <v>6</v>
      </c>
    </row>
    <row r="266" ht="15.75" customHeight="1">
      <c r="A266" s="99">
        <v>45084.0</v>
      </c>
      <c r="B266" s="74"/>
      <c r="C266" s="118"/>
      <c r="D266" s="119"/>
      <c r="E266" s="102" t="s">
        <v>495</v>
      </c>
      <c r="F266" s="73" t="s">
        <v>347</v>
      </c>
      <c r="G266" s="74"/>
      <c r="H266" s="95">
        <v>0.0</v>
      </c>
      <c r="I266" s="95">
        <v>100000.0</v>
      </c>
      <c r="J266" s="80">
        <f t="shared" si="2"/>
        <v>22924872</v>
      </c>
      <c r="K266" s="77">
        <f t="shared" si="3"/>
        <v>6</v>
      </c>
    </row>
    <row r="267" ht="15.75" customHeight="1">
      <c r="A267" s="99">
        <v>45084.0</v>
      </c>
      <c r="B267" s="74"/>
      <c r="C267" s="87"/>
      <c r="D267" s="86"/>
      <c r="E267" s="102" t="s">
        <v>496</v>
      </c>
      <c r="F267" s="73" t="s">
        <v>347</v>
      </c>
      <c r="G267" s="74"/>
      <c r="H267" s="95">
        <v>0.0</v>
      </c>
      <c r="I267" s="95">
        <v>100000.0</v>
      </c>
      <c r="J267" s="80">
        <f t="shared" si="2"/>
        <v>22824872</v>
      </c>
      <c r="K267" s="77">
        <f t="shared" si="3"/>
        <v>6</v>
      </c>
    </row>
    <row r="268" ht="15.75" customHeight="1">
      <c r="A268" s="99">
        <v>45084.0</v>
      </c>
      <c r="B268" s="74"/>
      <c r="C268" s="87"/>
      <c r="D268" s="86"/>
      <c r="E268" s="102" t="s">
        <v>497</v>
      </c>
      <c r="F268" s="73" t="s">
        <v>347</v>
      </c>
      <c r="G268" s="74"/>
      <c r="H268" s="95">
        <v>0.0</v>
      </c>
      <c r="I268" s="95">
        <v>100000.0</v>
      </c>
      <c r="J268" s="80">
        <f t="shared" si="2"/>
        <v>22724872</v>
      </c>
      <c r="K268" s="77">
        <f t="shared" si="3"/>
        <v>6</v>
      </c>
    </row>
    <row r="269" ht="15.75" customHeight="1">
      <c r="A269" s="99">
        <v>45084.0</v>
      </c>
      <c r="B269" s="74"/>
      <c r="C269" s="87"/>
      <c r="D269" s="71"/>
      <c r="E269" s="102" t="s">
        <v>498</v>
      </c>
      <c r="F269" s="73" t="s">
        <v>347</v>
      </c>
      <c r="G269" s="74"/>
      <c r="H269" s="95">
        <v>0.0</v>
      </c>
      <c r="I269" s="95">
        <v>500000.0</v>
      </c>
      <c r="J269" s="80">
        <f t="shared" si="2"/>
        <v>22224872</v>
      </c>
      <c r="K269" s="77">
        <f t="shared" si="3"/>
        <v>6</v>
      </c>
    </row>
    <row r="270" ht="15.75" customHeight="1">
      <c r="A270" s="99">
        <v>45084.0</v>
      </c>
      <c r="B270" s="74"/>
      <c r="C270" s="87"/>
      <c r="D270" s="86"/>
      <c r="E270" s="102" t="s">
        <v>499</v>
      </c>
      <c r="F270" s="73" t="s">
        <v>347</v>
      </c>
      <c r="G270" s="74"/>
      <c r="H270" s="95">
        <v>0.0</v>
      </c>
      <c r="I270" s="95">
        <v>500000.0</v>
      </c>
      <c r="J270" s="80">
        <f t="shared" si="2"/>
        <v>21724872</v>
      </c>
      <c r="K270" s="77">
        <f t="shared" si="3"/>
        <v>6</v>
      </c>
    </row>
    <row r="271" ht="15.75" customHeight="1">
      <c r="A271" s="99">
        <v>45084.0</v>
      </c>
      <c r="B271" s="74"/>
      <c r="C271" s="87"/>
      <c r="D271" s="71"/>
      <c r="E271" s="102" t="s">
        <v>500</v>
      </c>
      <c r="F271" s="73" t="s">
        <v>501</v>
      </c>
      <c r="G271" s="74"/>
      <c r="H271" s="95">
        <v>0.0</v>
      </c>
      <c r="I271" s="95">
        <v>1.225E7</v>
      </c>
      <c r="J271" s="80">
        <f t="shared" si="2"/>
        <v>9474872</v>
      </c>
      <c r="K271" s="77">
        <f t="shared" si="3"/>
        <v>6</v>
      </c>
    </row>
    <row r="272" ht="15.75" customHeight="1">
      <c r="A272" s="99">
        <v>45085.0</v>
      </c>
      <c r="B272" s="74"/>
      <c r="C272" s="87"/>
      <c r="D272" s="84" t="s">
        <v>247</v>
      </c>
      <c r="E272" s="102" t="s">
        <v>311</v>
      </c>
      <c r="F272" s="73" t="s">
        <v>307</v>
      </c>
      <c r="G272" s="74"/>
      <c r="H272" s="95">
        <v>0.0</v>
      </c>
      <c r="I272" s="95">
        <v>6500.0</v>
      </c>
      <c r="J272" s="80">
        <f t="shared" si="2"/>
        <v>9468372</v>
      </c>
      <c r="K272" s="77">
        <f t="shared" si="3"/>
        <v>6</v>
      </c>
    </row>
    <row r="273" ht="15.75" customHeight="1">
      <c r="A273" s="99">
        <v>45098.0</v>
      </c>
      <c r="B273" s="74"/>
      <c r="C273" s="87"/>
      <c r="D273" s="71"/>
      <c r="E273" s="102" t="s">
        <v>502</v>
      </c>
      <c r="F273" s="73" t="s">
        <v>21</v>
      </c>
      <c r="G273" s="74"/>
      <c r="H273" s="95">
        <v>1.5E8</v>
      </c>
      <c r="I273" s="95">
        <v>0.0</v>
      </c>
      <c r="J273" s="80">
        <f t="shared" si="2"/>
        <v>159468372</v>
      </c>
      <c r="K273" s="77">
        <f t="shared" si="3"/>
        <v>6</v>
      </c>
    </row>
    <row r="274" ht="15.75" customHeight="1">
      <c r="A274" s="99">
        <v>45104.0</v>
      </c>
      <c r="B274" s="74"/>
      <c r="C274" s="87"/>
      <c r="D274" s="86"/>
      <c r="E274" s="102" t="s">
        <v>503</v>
      </c>
      <c r="F274" s="73" t="s">
        <v>315</v>
      </c>
      <c r="G274" s="74"/>
      <c r="H274" s="95">
        <v>0.0</v>
      </c>
      <c r="I274" s="95">
        <v>9350000.0</v>
      </c>
      <c r="J274" s="80">
        <f t="shared" si="2"/>
        <v>150118372</v>
      </c>
      <c r="K274" s="77">
        <f t="shared" si="3"/>
        <v>6</v>
      </c>
    </row>
    <row r="275" ht="15.75" customHeight="1">
      <c r="A275" s="99">
        <v>45104.0</v>
      </c>
      <c r="B275" s="74"/>
      <c r="C275" s="87"/>
      <c r="D275" s="86"/>
      <c r="E275" s="102" t="s">
        <v>504</v>
      </c>
      <c r="F275" s="73" t="s">
        <v>317</v>
      </c>
      <c r="G275" s="74"/>
      <c r="H275" s="95">
        <v>0.0</v>
      </c>
      <c r="I275" s="95">
        <v>300000.0</v>
      </c>
      <c r="J275" s="80">
        <f t="shared" si="2"/>
        <v>149818372</v>
      </c>
      <c r="K275" s="77">
        <f t="shared" si="3"/>
        <v>6</v>
      </c>
    </row>
    <row r="276" ht="15.75" customHeight="1">
      <c r="A276" s="99">
        <v>45104.0</v>
      </c>
      <c r="B276" s="74"/>
      <c r="C276" s="87"/>
      <c r="D276" s="86"/>
      <c r="E276" s="102" t="s">
        <v>505</v>
      </c>
      <c r="F276" s="73" t="s">
        <v>21</v>
      </c>
      <c r="G276" s="74"/>
      <c r="H276" s="95">
        <v>4000000.0</v>
      </c>
      <c r="I276" s="95">
        <v>0.0</v>
      </c>
      <c r="J276" s="80">
        <f t="shared" si="2"/>
        <v>153818372</v>
      </c>
      <c r="K276" s="77">
        <f t="shared" si="3"/>
        <v>6</v>
      </c>
    </row>
    <row r="277" ht="15.75" customHeight="1">
      <c r="A277" s="99">
        <v>45104.0</v>
      </c>
      <c r="B277" s="74"/>
      <c r="C277" s="87"/>
      <c r="D277" s="86"/>
      <c r="E277" s="102" t="s">
        <v>319</v>
      </c>
      <c r="F277" s="73" t="s">
        <v>320</v>
      </c>
      <c r="G277" s="74"/>
      <c r="H277" s="95">
        <v>0.0</v>
      </c>
      <c r="I277" s="95">
        <v>7000000.0</v>
      </c>
      <c r="J277" s="80">
        <f t="shared" si="2"/>
        <v>146818372</v>
      </c>
      <c r="K277" s="77">
        <f t="shared" si="3"/>
        <v>6</v>
      </c>
    </row>
    <row r="278" ht="15.75" customHeight="1">
      <c r="A278" s="99">
        <v>45104.0</v>
      </c>
      <c r="B278" s="74"/>
      <c r="C278" s="87"/>
      <c r="D278" s="86"/>
      <c r="E278" s="102" t="s">
        <v>319</v>
      </c>
      <c r="F278" s="73" t="s">
        <v>321</v>
      </c>
      <c r="G278" s="74"/>
      <c r="H278" s="95">
        <v>0.0</v>
      </c>
      <c r="I278" s="95">
        <v>8000000.0</v>
      </c>
      <c r="J278" s="80">
        <f t="shared" si="2"/>
        <v>138818372</v>
      </c>
      <c r="K278" s="77">
        <f t="shared" si="3"/>
        <v>6</v>
      </c>
    </row>
    <row r="279" ht="15.75" customHeight="1">
      <c r="A279" s="99">
        <v>45104.0</v>
      </c>
      <c r="B279" s="74"/>
      <c r="C279" s="87"/>
      <c r="D279" s="86"/>
      <c r="E279" s="102" t="s">
        <v>506</v>
      </c>
      <c r="F279" s="73" t="s">
        <v>315</v>
      </c>
      <c r="G279" s="74"/>
      <c r="H279" s="95">
        <v>0.0</v>
      </c>
      <c r="I279" s="95">
        <v>9800000.0</v>
      </c>
      <c r="J279" s="80">
        <f t="shared" si="2"/>
        <v>129018372</v>
      </c>
      <c r="K279" s="77">
        <f t="shared" si="3"/>
        <v>6</v>
      </c>
    </row>
    <row r="280" ht="15.75" customHeight="1">
      <c r="A280" s="99">
        <v>45104.0</v>
      </c>
      <c r="B280" s="74"/>
      <c r="C280" s="87"/>
      <c r="D280" s="86"/>
      <c r="E280" s="102" t="s">
        <v>507</v>
      </c>
      <c r="F280" s="73" t="s">
        <v>317</v>
      </c>
      <c r="G280" s="74"/>
      <c r="H280" s="95">
        <v>0.0</v>
      </c>
      <c r="I280" s="95">
        <v>0.0</v>
      </c>
      <c r="J280" s="80">
        <f t="shared" si="2"/>
        <v>129018372</v>
      </c>
      <c r="K280" s="77">
        <f t="shared" si="3"/>
        <v>6</v>
      </c>
    </row>
    <row r="281" ht="15.75" customHeight="1">
      <c r="A281" s="99">
        <v>45104.0</v>
      </c>
      <c r="B281" s="74"/>
      <c r="C281" s="87"/>
      <c r="D281" s="86"/>
      <c r="E281" s="102" t="s">
        <v>508</v>
      </c>
      <c r="F281" s="73" t="s">
        <v>325</v>
      </c>
      <c r="G281" s="74"/>
      <c r="H281" s="95">
        <v>0.0</v>
      </c>
      <c r="I281" s="95">
        <v>0.0</v>
      </c>
      <c r="J281" s="80">
        <f t="shared" si="2"/>
        <v>129018372</v>
      </c>
      <c r="K281" s="77">
        <f t="shared" si="3"/>
        <v>6</v>
      </c>
    </row>
    <row r="282" ht="15.75" customHeight="1">
      <c r="A282" s="99">
        <v>45104.0</v>
      </c>
      <c r="B282" s="74"/>
      <c r="C282" s="87"/>
      <c r="D282" s="71"/>
      <c r="E282" s="102" t="s">
        <v>509</v>
      </c>
      <c r="F282" s="73" t="s">
        <v>327</v>
      </c>
      <c r="G282" s="74"/>
      <c r="H282" s="95">
        <v>0.0</v>
      </c>
      <c r="I282" s="95">
        <v>5.085E7</v>
      </c>
      <c r="J282" s="80">
        <f t="shared" si="2"/>
        <v>78168372</v>
      </c>
      <c r="K282" s="77">
        <f t="shared" si="3"/>
        <v>6</v>
      </c>
    </row>
    <row r="283" ht="15.75" customHeight="1">
      <c r="A283" s="99">
        <v>45104.0</v>
      </c>
      <c r="B283" s="74"/>
      <c r="C283" s="87"/>
      <c r="D283" s="86"/>
      <c r="E283" s="102" t="s">
        <v>510</v>
      </c>
      <c r="F283" s="73" t="s">
        <v>329</v>
      </c>
      <c r="G283" s="74"/>
      <c r="H283" s="95">
        <v>0.0</v>
      </c>
      <c r="I283" s="95">
        <v>5275000.0</v>
      </c>
      <c r="J283" s="80">
        <f t="shared" si="2"/>
        <v>72893372</v>
      </c>
      <c r="K283" s="77">
        <f t="shared" si="3"/>
        <v>6</v>
      </c>
    </row>
    <row r="284" ht="15.75" customHeight="1">
      <c r="A284" s="99">
        <v>45104.0</v>
      </c>
      <c r="B284" s="74"/>
      <c r="C284" s="87"/>
      <c r="D284" s="86"/>
      <c r="E284" s="102" t="s">
        <v>511</v>
      </c>
      <c r="F284" s="73" t="s">
        <v>331</v>
      </c>
      <c r="G284" s="74"/>
      <c r="H284" s="95">
        <v>0.0</v>
      </c>
      <c r="I284" s="95">
        <v>1.975E7</v>
      </c>
      <c r="J284" s="80">
        <f t="shared" si="2"/>
        <v>53143372</v>
      </c>
      <c r="K284" s="77">
        <f t="shared" si="3"/>
        <v>6</v>
      </c>
    </row>
    <row r="285" ht="15.75" customHeight="1">
      <c r="A285" s="99">
        <v>45104.0</v>
      </c>
      <c r="B285" s="74"/>
      <c r="C285" s="87"/>
      <c r="D285" s="71"/>
      <c r="E285" s="102" t="s">
        <v>512</v>
      </c>
      <c r="F285" s="73" t="s">
        <v>21</v>
      </c>
      <c r="G285" s="74"/>
      <c r="H285" s="95">
        <v>1400000.0</v>
      </c>
      <c r="I285" s="95">
        <v>0.0</v>
      </c>
      <c r="J285" s="80">
        <f t="shared" si="2"/>
        <v>54543372</v>
      </c>
      <c r="K285" s="77">
        <f t="shared" si="3"/>
        <v>6</v>
      </c>
    </row>
    <row r="286" ht="15.75" customHeight="1">
      <c r="A286" s="99">
        <v>45104.0</v>
      </c>
      <c r="B286" s="74"/>
      <c r="C286" s="87"/>
      <c r="D286" s="86"/>
      <c r="E286" s="102" t="s">
        <v>513</v>
      </c>
      <c r="F286" s="73" t="s">
        <v>315</v>
      </c>
      <c r="G286" s="74"/>
      <c r="H286" s="95">
        <v>0.0</v>
      </c>
      <c r="I286" s="95">
        <v>1.305E7</v>
      </c>
      <c r="J286" s="80">
        <f t="shared" si="2"/>
        <v>41493372</v>
      </c>
      <c r="K286" s="77">
        <f t="shared" si="3"/>
        <v>6</v>
      </c>
    </row>
    <row r="287" ht="15.75" customHeight="1">
      <c r="A287" s="99">
        <v>45104.0</v>
      </c>
      <c r="B287" s="74"/>
      <c r="C287" s="87"/>
      <c r="D287" s="86"/>
      <c r="E287" s="102" t="s">
        <v>514</v>
      </c>
      <c r="F287" s="73" t="s">
        <v>21</v>
      </c>
      <c r="G287" s="74"/>
      <c r="H287" s="95">
        <v>1000000.0</v>
      </c>
      <c r="I287" s="95">
        <v>0.0</v>
      </c>
      <c r="J287" s="80">
        <f t="shared" si="2"/>
        <v>42493372</v>
      </c>
      <c r="K287" s="77">
        <f t="shared" si="3"/>
        <v>6</v>
      </c>
    </row>
    <row r="288" ht="15.75" customHeight="1">
      <c r="A288" s="99">
        <v>45104.0</v>
      </c>
      <c r="B288" s="74"/>
      <c r="C288" s="87"/>
      <c r="D288" s="86"/>
      <c r="E288" s="102" t="s">
        <v>515</v>
      </c>
      <c r="F288" s="73" t="s">
        <v>315</v>
      </c>
      <c r="G288" s="74"/>
      <c r="H288" s="95">
        <v>0.0</v>
      </c>
      <c r="I288" s="95">
        <v>7000000.0</v>
      </c>
      <c r="J288" s="80">
        <f t="shared" si="2"/>
        <v>35493372</v>
      </c>
      <c r="K288" s="77">
        <f t="shared" si="3"/>
        <v>6</v>
      </c>
    </row>
    <row r="289" ht="15.75" customHeight="1">
      <c r="A289" s="99">
        <v>45104.0</v>
      </c>
      <c r="B289" s="74"/>
      <c r="C289" s="87"/>
      <c r="D289" s="86"/>
      <c r="E289" s="102" t="s">
        <v>516</v>
      </c>
      <c r="F289" s="73" t="s">
        <v>21</v>
      </c>
      <c r="G289" s="74"/>
      <c r="H289" s="95">
        <v>1000000.0</v>
      </c>
      <c r="I289" s="95">
        <v>0.0</v>
      </c>
      <c r="J289" s="80">
        <f t="shared" si="2"/>
        <v>36493372</v>
      </c>
      <c r="K289" s="77">
        <f t="shared" si="3"/>
        <v>6</v>
      </c>
    </row>
    <row r="290" ht="15.75" customHeight="1">
      <c r="A290" s="99">
        <v>45104.0</v>
      </c>
      <c r="B290" s="74"/>
      <c r="C290" s="87"/>
      <c r="D290" s="71"/>
      <c r="E290" s="102" t="s">
        <v>517</v>
      </c>
      <c r="F290" s="73" t="s">
        <v>315</v>
      </c>
      <c r="G290" s="74"/>
      <c r="H290" s="95">
        <v>0.0</v>
      </c>
      <c r="I290" s="95">
        <v>5400000.0</v>
      </c>
      <c r="J290" s="80">
        <f t="shared" si="2"/>
        <v>31093372</v>
      </c>
      <c r="K290" s="77">
        <f t="shared" si="3"/>
        <v>6</v>
      </c>
    </row>
    <row r="291" ht="15.75" customHeight="1">
      <c r="A291" s="99">
        <v>45104.0</v>
      </c>
      <c r="B291" s="74"/>
      <c r="C291" s="87"/>
      <c r="D291" s="86"/>
      <c r="E291" s="102" t="s">
        <v>518</v>
      </c>
      <c r="F291" s="73" t="s">
        <v>21</v>
      </c>
      <c r="G291" s="74"/>
      <c r="H291" s="95">
        <v>1000000.0</v>
      </c>
      <c r="I291" s="95">
        <v>0.0</v>
      </c>
      <c r="J291" s="80">
        <f t="shared" si="2"/>
        <v>32093372</v>
      </c>
      <c r="K291" s="77">
        <f t="shared" si="3"/>
        <v>6</v>
      </c>
    </row>
    <row r="292" ht="15.75" customHeight="1">
      <c r="A292" s="99">
        <v>45104.0</v>
      </c>
      <c r="B292" s="74"/>
      <c r="C292" s="87"/>
      <c r="D292" s="84" t="s">
        <v>247</v>
      </c>
      <c r="E292" s="102" t="s">
        <v>339</v>
      </c>
      <c r="F292" s="73" t="s">
        <v>307</v>
      </c>
      <c r="G292" s="74"/>
      <c r="H292" s="95">
        <v>0.0</v>
      </c>
      <c r="I292" s="95">
        <v>2900.0</v>
      </c>
      <c r="J292" s="80">
        <f t="shared" si="2"/>
        <v>32090472</v>
      </c>
      <c r="K292" s="77">
        <f t="shared" si="3"/>
        <v>6</v>
      </c>
    </row>
    <row r="293" ht="15.75" customHeight="1">
      <c r="A293" s="99">
        <v>45104.0</v>
      </c>
      <c r="B293" s="74"/>
      <c r="C293" s="87"/>
      <c r="D293" s="84" t="s">
        <v>247</v>
      </c>
      <c r="E293" s="102" t="s">
        <v>340</v>
      </c>
      <c r="F293" s="73" t="s">
        <v>307</v>
      </c>
      <c r="G293" s="74"/>
      <c r="H293" s="95">
        <v>0.0</v>
      </c>
      <c r="I293" s="95">
        <v>31900.0</v>
      </c>
      <c r="J293" s="80">
        <f t="shared" si="2"/>
        <v>32058572</v>
      </c>
      <c r="K293" s="77">
        <f t="shared" si="3"/>
        <v>6</v>
      </c>
    </row>
    <row r="294" ht="15.75" customHeight="1">
      <c r="A294" s="99">
        <v>45104.0</v>
      </c>
      <c r="B294" s="74"/>
      <c r="C294" s="87"/>
      <c r="D294" s="84" t="s">
        <v>247</v>
      </c>
      <c r="E294" s="102" t="s">
        <v>341</v>
      </c>
      <c r="F294" s="73" t="s">
        <v>307</v>
      </c>
      <c r="G294" s="74"/>
      <c r="H294" s="95">
        <v>0.0</v>
      </c>
      <c r="I294" s="95">
        <v>2900.0</v>
      </c>
      <c r="J294" s="80">
        <f t="shared" si="2"/>
        <v>32055672</v>
      </c>
      <c r="K294" s="77">
        <f t="shared" si="3"/>
        <v>6</v>
      </c>
    </row>
    <row r="295" ht="15.75" customHeight="1">
      <c r="A295" s="99">
        <v>45104.0</v>
      </c>
      <c r="B295" s="74"/>
      <c r="C295" s="87"/>
      <c r="D295" s="84" t="s">
        <v>247</v>
      </c>
      <c r="E295" s="102" t="s">
        <v>342</v>
      </c>
      <c r="F295" s="73" t="s">
        <v>307</v>
      </c>
      <c r="G295" s="74"/>
      <c r="H295" s="95">
        <v>0.0</v>
      </c>
      <c r="I295" s="95">
        <v>0.0</v>
      </c>
      <c r="J295" s="80">
        <f t="shared" si="2"/>
        <v>32055672</v>
      </c>
      <c r="K295" s="77">
        <f t="shared" si="3"/>
        <v>6</v>
      </c>
    </row>
    <row r="296" ht="15.75" customHeight="1">
      <c r="A296" s="99">
        <v>45104.0</v>
      </c>
      <c r="B296" s="74"/>
      <c r="C296" s="87"/>
      <c r="D296" s="84" t="s">
        <v>247</v>
      </c>
      <c r="E296" s="102" t="s">
        <v>343</v>
      </c>
      <c r="F296" s="73" t="s">
        <v>307</v>
      </c>
      <c r="G296" s="74"/>
      <c r="H296" s="95">
        <v>0.0</v>
      </c>
      <c r="I296" s="95">
        <v>0.0</v>
      </c>
      <c r="J296" s="80">
        <f t="shared" si="2"/>
        <v>32055672</v>
      </c>
      <c r="K296" s="77">
        <f t="shared" si="3"/>
        <v>6</v>
      </c>
    </row>
    <row r="297" ht="15.75" customHeight="1">
      <c r="A297" s="99">
        <v>45106.0</v>
      </c>
      <c r="B297" s="74"/>
      <c r="C297" s="87"/>
      <c r="D297" s="86"/>
      <c r="E297" s="102" t="s">
        <v>519</v>
      </c>
      <c r="F297" s="73" t="s">
        <v>221</v>
      </c>
      <c r="G297" s="74"/>
      <c r="H297" s="95">
        <v>0.0</v>
      </c>
      <c r="I297" s="95">
        <v>1984532.0</v>
      </c>
      <c r="J297" s="80">
        <f t="shared" si="2"/>
        <v>30071140</v>
      </c>
      <c r="K297" s="77">
        <f t="shared" si="3"/>
        <v>6</v>
      </c>
    </row>
    <row r="298" ht="15.75" customHeight="1">
      <c r="A298" s="99">
        <v>45106.0</v>
      </c>
      <c r="B298" s="74"/>
      <c r="C298" s="87"/>
      <c r="D298" s="86"/>
      <c r="E298" s="102" t="s">
        <v>520</v>
      </c>
      <c r="F298" s="73" t="s">
        <v>221</v>
      </c>
      <c r="G298" s="74"/>
      <c r="H298" s="95">
        <v>0.0</v>
      </c>
      <c r="I298" s="95">
        <v>218500.0</v>
      </c>
      <c r="J298" s="80">
        <f t="shared" si="2"/>
        <v>29852640</v>
      </c>
      <c r="K298" s="77">
        <f t="shared" si="3"/>
        <v>6</v>
      </c>
    </row>
    <row r="299" ht="15.75" customHeight="1">
      <c r="A299" s="99">
        <v>45106.0</v>
      </c>
      <c r="B299" s="74"/>
      <c r="C299" s="87"/>
      <c r="D299" s="84" t="s">
        <v>247</v>
      </c>
      <c r="E299" s="102" t="s">
        <v>306</v>
      </c>
      <c r="F299" s="73" t="s">
        <v>307</v>
      </c>
      <c r="G299" s="74"/>
      <c r="H299" s="95">
        <v>0.0</v>
      </c>
      <c r="I299" s="95">
        <v>2500.0</v>
      </c>
      <c r="J299" s="80">
        <f t="shared" si="2"/>
        <v>29850140</v>
      </c>
      <c r="K299" s="77">
        <f t="shared" si="3"/>
        <v>6</v>
      </c>
    </row>
    <row r="300" ht="15.75" customHeight="1">
      <c r="A300" s="99">
        <v>45107.0</v>
      </c>
      <c r="B300" s="74"/>
      <c r="C300" s="87"/>
      <c r="D300" s="84" t="s">
        <v>247</v>
      </c>
      <c r="E300" s="102" t="s">
        <v>360</v>
      </c>
      <c r="F300" s="73" t="s">
        <v>361</v>
      </c>
      <c r="G300" s="74"/>
      <c r="H300" s="95">
        <v>0.0</v>
      </c>
      <c r="I300" s="95">
        <v>30000.0</v>
      </c>
      <c r="J300" s="80">
        <f t="shared" si="2"/>
        <v>29820140</v>
      </c>
      <c r="K300" s="77">
        <f t="shared" si="3"/>
        <v>6</v>
      </c>
    </row>
    <row r="301" ht="15.75" customHeight="1">
      <c r="A301" s="99">
        <v>45108.0</v>
      </c>
      <c r="B301" s="74"/>
      <c r="C301" s="87"/>
      <c r="D301" s="86"/>
      <c r="E301" s="102" t="s">
        <v>521</v>
      </c>
      <c r="F301" s="73" t="s">
        <v>305</v>
      </c>
      <c r="G301" s="74"/>
      <c r="H301" s="95">
        <v>0.0</v>
      </c>
      <c r="I301" s="95">
        <v>2500000.0</v>
      </c>
      <c r="J301" s="80">
        <f t="shared" si="2"/>
        <v>27320140</v>
      </c>
      <c r="K301" s="77">
        <f t="shared" si="3"/>
        <v>7</v>
      </c>
    </row>
    <row r="302" ht="15.75" customHeight="1">
      <c r="A302" s="99">
        <v>45108.0</v>
      </c>
      <c r="B302" s="74"/>
      <c r="C302" s="87"/>
      <c r="D302" s="84" t="s">
        <v>247</v>
      </c>
      <c r="E302" s="102" t="s">
        <v>306</v>
      </c>
      <c r="F302" s="73" t="s">
        <v>307</v>
      </c>
      <c r="G302" s="74"/>
      <c r="H302" s="95">
        <v>0.0</v>
      </c>
      <c r="I302" s="95">
        <v>2500.0</v>
      </c>
      <c r="J302" s="80">
        <f t="shared" si="2"/>
        <v>27317640</v>
      </c>
      <c r="K302" s="77">
        <f t="shared" si="3"/>
        <v>7</v>
      </c>
    </row>
    <row r="303" ht="15.75" customHeight="1">
      <c r="A303" s="99">
        <v>45110.0</v>
      </c>
      <c r="B303" s="74"/>
      <c r="C303" s="87"/>
      <c r="D303" s="86"/>
      <c r="E303" s="102" t="s">
        <v>489</v>
      </c>
      <c r="F303" s="73" t="s">
        <v>21</v>
      </c>
      <c r="G303" s="74"/>
      <c r="H303" s="95">
        <v>1000000.0</v>
      </c>
      <c r="I303" s="95">
        <v>0.0</v>
      </c>
      <c r="J303" s="80">
        <f t="shared" si="2"/>
        <v>28317640</v>
      </c>
      <c r="K303" s="77">
        <f t="shared" si="3"/>
        <v>7</v>
      </c>
    </row>
    <row r="304" ht="15.75" customHeight="1">
      <c r="A304" s="99">
        <v>45110.0</v>
      </c>
      <c r="B304" s="74"/>
      <c r="C304" s="87"/>
      <c r="D304" s="71"/>
      <c r="E304" s="102" t="s">
        <v>491</v>
      </c>
      <c r="F304" s="73" t="s">
        <v>288</v>
      </c>
      <c r="G304" s="74"/>
      <c r="H304" s="95">
        <v>0.0</v>
      </c>
      <c r="I304" s="95">
        <v>1.05E7</v>
      </c>
      <c r="J304" s="80">
        <f t="shared" si="2"/>
        <v>17817640</v>
      </c>
      <c r="K304" s="77">
        <f t="shared" si="3"/>
        <v>7</v>
      </c>
    </row>
    <row r="305" ht="15.75" customHeight="1">
      <c r="A305" s="99">
        <v>45110.0</v>
      </c>
      <c r="B305" s="74"/>
      <c r="C305" s="87"/>
      <c r="D305" s="86"/>
      <c r="E305" s="102" t="s">
        <v>522</v>
      </c>
      <c r="F305" s="73" t="s">
        <v>21</v>
      </c>
      <c r="G305" s="74"/>
      <c r="H305" s="95">
        <v>1.5E8</v>
      </c>
      <c r="I305" s="95">
        <v>0.0</v>
      </c>
      <c r="J305" s="80">
        <f t="shared" si="2"/>
        <v>167817640</v>
      </c>
      <c r="K305" s="77">
        <f t="shared" si="3"/>
        <v>7</v>
      </c>
    </row>
    <row r="306" ht="15.75" customHeight="1">
      <c r="A306" s="99">
        <v>45135.0</v>
      </c>
      <c r="B306" s="74"/>
      <c r="C306" s="87"/>
      <c r="D306" s="86"/>
      <c r="E306" s="102" t="s">
        <v>523</v>
      </c>
      <c r="F306" s="73" t="s">
        <v>315</v>
      </c>
      <c r="G306" s="74"/>
      <c r="H306" s="95">
        <v>0.0</v>
      </c>
      <c r="I306" s="95">
        <v>9350000.0</v>
      </c>
      <c r="J306" s="80">
        <f t="shared" si="2"/>
        <v>158467640</v>
      </c>
      <c r="K306" s="77">
        <f t="shared" si="3"/>
        <v>7</v>
      </c>
    </row>
    <row r="307" ht="15.75" customHeight="1">
      <c r="A307" s="99">
        <v>45135.0</v>
      </c>
      <c r="B307" s="74"/>
      <c r="C307" s="87"/>
      <c r="D307" s="86"/>
      <c r="E307" s="102" t="s">
        <v>524</v>
      </c>
      <c r="F307" s="73" t="s">
        <v>317</v>
      </c>
      <c r="G307" s="74"/>
      <c r="H307" s="95">
        <v>0.0</v>
      </c>
      <c r="I307" s="95">
        <v>300000.0</v>
      </c>
      <c r="J307" s="80">
        <f t="shared" si="2"/>
        <v>158167640</v>
      </c>
      <c r="K307" s="77">
        <f t="shared" si="3"/>
        <v>7</v>
      </c>
    </row>
    <row r="308" ht="15.75" customHeight="1">
      <c r="A308" s="99">
        <v>45135.0</v>
      </c>
      <c r="B308" s="74"/>
      <c r="C308" s="87"/>
      <c r="D308" s="86"/>
      <c r="E308" s="102" t="s">
        <v>525</v>
      </c>
      <c r="F308" s="73" t="s">
        <v>21</v>
      </c>
      <c r="G308" s="74"/>
      <c r="H308" s="95">
        <v>4000000.0</v>
      </c>
      <c r="I308" s="95">
        <v>0.0</v>
      </c>
      <c r="J308" s="80">
        <f t="shared" si="2"/>
        <v>162167640</v>
      </c>
      <c r="K308" s="77">
        <f t="shared" si="3"/>
        <v>7</v>
      </c>
    </row>
    <row r="309" ht="15.75" customHeight="1">
      <c r="A309" s="99">
        <v>45135.0</v>
      </c>
      <c r="B309" s="74"/>
      <c r="C309" s="87"/>
      <c r="D309" s="71"/>
      <c r="E309" s="102" t="s">
        <v>319</v>
      </c>
      <c r="F309" s="73" t="s">
        <v>321</v>
      </c>
      <c r="G309" s="74"/>
      <c r="H309" s="95">
        <v>0.0</v>
      </c>
      <c r="I309" s="95">
        <v>7000000.0</v>
      </c>
      <c r="J309" s="80">
        <f t="shared" si="2"/>
        <v>155167640</v>
      </c>
      <c r="K309" s="77">
        <f t="shared" si="3"/>
        <v>7</v>
      </c>
    </row>
    <row r="310" ht="15.75" customHeight="1">
      <c r="A310" s="99">
        <v>45135.0</v>
      </c>
      <c r="B310" s="74"/>
      <c r="C310" s="87"/>
      <c r="D310" s="86"/>
      <c r="E310" s="102" t="s">
        <v>319</v>
      </c>
      <c r="F310" s="73" t="s">
        <v>320</v>
      </c>
      <c r="G310" s="74"/>
      <c r="H310" s="95">
        <v>0.0</v>
      </c>
      <c r="I310" s="95">
        <v>8000000.0</v>
      </c>
      <c r="J310" s="80">
        <f t="shared" si="2"/>
        <v>147167640</v>
      </c>
      <c r="K310" s="77">
        <f t="shared" si="3"/>
        <v>7</v>
      </c>
    </row>
    <row r="311" ht="15.75" customHeight="1">
      <c r="A311" s="99">
        <v>45135.0</v>
      </c>
      <c r="B311" s="74"/>
      <c r="C311" s="87"/>
      <c r="D311" s="71"/>
      <c r="E311" s="102" t="s">
        <v>526</v>
      </c>
      <c r="F311" s="73" t="s">
        <v>315</v>
      </c>
      <c r="G311" s="74"/>
      <c r="H311" s="95">
        <v>0.0</v>
      </c>
      <c r="I311" s="95">
        <v>9800000.0</v>
      </c>
      <c r="J311" s="80">
        <f t="shared" si="2"/>
        <v>137367640</v>
      </c>
      <c r="K311" s="77">
        <f t="shared" si="3"/>
        <v>7</v>
      </c>
    </row>
    <row r="312" ht="15.75" customHeight="1">
      <c r="A312" s="99">
        <v>45135.0</v>
      </c>
      <c r="B312" s="74"/>
      <c r="C312" s="87"/>
      <c r="D312" s="86"/>
      <c r="E312" s="102" t="s">
        <v>527</v>
      </c>
      <c r="F312" s="73" t="s">
        <v>317</v>
      </c>
      <c r="G312" s="74"/>
      <c r="H312" s="95">
        <v>0.0</v>
      </c>
      <c r="I312" s="95">
        <v>0.0</v>
      </c>
      <c r="J312" s="80">
        <f t="shared" si="2"/>
        <v>137367640</v>
      </c>
      <c r="K312" s="77">
        <f t="shared" si="3"/>
        <v>7</v>
      </c>
    </row>
    <row r="313" ht="15.75" customHeight="1">
      <c r="A313" s="99">
        <v>45135.0</v>
      </c>
      <c r="B313" s="74"/>
      <c r="C313" s="87"/>
      <c r="D313" s="86"/>
      <c r="E313" s="102" t="s">
        <v>528</v>
      </c>
      <c r="F313" s="73" t="s">
        <v>325</v>
      </c>
      <c r="G313" s="74"/>
      <c r="H313" s="95">
        <v>0.0</v>
      </c>
      <c r="I313" s="95">
        <v>0.0</v>
      </c>
      <c r="J313" s="80">
        <f t="shared" si="2"/>
        <v>137367640</v>
      </c>
      <c r="K313" s="77">
        <f t="shared" si="3"/>
        <v>7</v>
      </c>
    </row>
    <row r="314" ht="15.75" customHeight="1">
      <c r="A314" s="99">
        <v>45135.0</v>
      </c>
      <c r="B314" s="74"/>
      <c r="C314" s="87"/>
      <c r="D314" s="71"/>
      <c r="E314" s="102" t="s">
        <v>529</v>
      </c>
      <c r="F314" s="73" t="s">
        <v>327</v>
      </c>
      <c r="G314" s="74"/>
      <c r="H314" s="95">
        <v>0.0</v>
      </c>
      <c r="I314" s="95">
        <v>5.085E7</v>
      </c>
      <c r="J314" s="80">
        <f t="shared" si="2"/>
        <v>86517640</v>
      </c>
      <c r="K314" s="77">
        <f t="shared" si="3"/>
        <v>7</v>
      </c>
    </row>
    <row r="315" ht="15.75" customHeight="1">
      <c r="A315" s="99">
        <v>45135.0</v>
      </c>
      <c r="B315" s="74"/>
      <c r="C315" s="87"/>
      <c r="D315" s="86"/>
      <c r="E315" s="102" t="s">
        <v>530</v>
      </c>
      <c r="F315" s="73" t="s">
        <v>329</v>
      </c>
      <c r="G315" s="74"/>
      <c r="H315" s="95">
        <v>0.0</v>
      </c>
      <c r="I315" s="95">
        <v>4525000.0</v>
      </c>
      <c r="J315" s="80">
        <f t="shared" si="2"/>
        <v>81992640</v>
      </c>
      <c r="K315" s="77">
        <f t="shared" si="3"/>
        <v>7</v>
      </c>
    </row>
    <row r="316" ht="15.75" customHeight="1">
      <c r="A316" s="99">
        <v>45135.0</v>
      </c>
      <c r="B316" s="74"/>
      <c r="C316" s="87"/>
      <c r="D316" s="86"/>
      <c r="E316" s="102" t="s">
        <v>531</v>
      </c>
      <c r="F316" s="73" t="s">
        <v>532</v>
      </c>
      <c r="G316" s="74"/>
      <c r="H316" s="95">
        <v>0.0</v>
      </c>
      <c r="I316" s="95">
        <v>1.975E7</v>
      </c>
      <c r="J316" s="80">
        <f t="shared" si="2"/>
        <v>62242640</v>
      </c>
      <c r="K316" s="77">
        <f t="shared" si="3"/>
        <v>7</v>
      </c>
    </row>
    <row r="317" ht="15.75" customHeight="1">
      <c r="A317" s="99">
        <v>45135.0</v>
      </c>
      <c r="B317" s="74"/>
      <c r="C317" s="87"/>
      <c r="D317" s="71"/>
      <c r="E317" s="102" t="s">
        <v>533</v>
      </c>
      <c r="F317" s="73" t="s">
        <v>21</v>
      </c>
      <c r="G317" s="74"/>
      <c r="H317" s="95">
        <v>1400000.0</v>
      </c>
      <c r="I317" s="95">
        <v>0.0</v>
      </c>
      <c r="J317" s="80">
        <f t="shared" si="2"/>
        <v>63642640</v>
      </c>
      <c r="K317" s="77">
        <f t="shared" si="3"/>
        <v>7</v>
      </c>
    </row>
    <row r="318" ht="15.75" customHeight="1">
      <c r="A318" s="99">
        <v>45135.0</v>
      </c>
      <c r="B318" s="74"/>
      <c r="C318" s="87"/>
      <c r="D318" s="71"/>
      <c r="E318" s="102" t="s">
        <v>534</v>
      </c>
      <c r="F318" s="73" t="s">
        <v>315</v>
      </c>
      <c r="G318" s="74"/>
      <c r="H318" s="95">
        <v>0.0</v>
      </c>
      <c r="I318" s="95">
        <v>1.305E7</v>
      </c>
      <c r="J318" s="80">
        <f t="shared" si="2"/>
        <v>50592640</v>
      </c>
      <c r="K318" s="77">
        <f t="shared" si="3"/>
        <v>7</v>
      </c>
    </row>
    <row r="319" ht="15.75" customHeight="1">
      <c r="A319" s="99">
        <v>45135.0</v>
      </c>
      <c r="B319" s="74"/>
      <c r="C319" s="87"/>
      <c r="D319" s="86"/>
      <c r="E319" s="102" t="s">
        <v>535</v>
      </c>
      <c r="F319" s="73" t="s">
        <v>21</v>
      </c>
      <c r="G319" s="74"/>
      <c r="H319" s="95">
        <v>1000000.0</v>
      </c>
      <c r="I319" s="95">
        <v>0.0</v>
      </c>
      <c r="J319" s="80">
        <f t="shared" si="2"/>
        <v>51592640</v>
      </c>
      <c r="K319" s="77">
        <f t="shared" si="3"/>
        <v>7</v>
      </c>
    </row>
    <row r="320" ht="15.75" customHeight="1">
      <c r="A320" s="99">
        <v>45135.0</v>
      </c>
      <c r="B320" s="74"/>
      <c r="C320" s="87"/>
      <c r="D320" s="86"/>
      <c r="E320" s="102" t="s">
        <v>536</v>
      </c>
      <c r="F320" s="73" t="s">
        <v>315</v>
      </c>
      <c r="G320" s="74"/>
      <c r="H320" s="95">
        <v>0.0</v>
      </c>
      <c r="I320" s="95">
        <v>7000000.0</v>
      </c>
      <c r="J320" s="80">
        <f t="shared" si="2"/>
        <v>44592640</v>
      </c>
      <c r="K320" s="77">
        <f t="shared" si="3"/>
        <v>7</v>
      </c>
    </row>
    <row r="321" ht="15.75" customHeight="1">
      <c r="A321" s="99">
        <v>45135.0</v>
      </c>
      <c r="B321" s="74"/>
      <c r="C321" s="87"/>
      <c r="D321" s="71"/>
      <c r="E321" s="102" t="s">
        <v>537</v>
      </c>
      <c r="F321" s="73" t="s">
        <v>21</v>
      </c>
      <c r="G321" s="74"/>
      <c r="H321" s="95">
        <v>1000000.0</v>
      </c>
      <c r="I321" s="95">
        <v>0.0</v>
      </c>
      <c r="J321" s="80">
        <f t="shared" si="2"/>
        <v>45592640</v>
      </c>
      <c r="K321" s="77">
        <f t="shared" si="3"/>
        <v>7</v>
      </c>
    </row>
    <row r="322" ht="15.75" customHeight="1">
      <c r="A322" s="99">
        <v>45135.0</v>
      </c>
      <c r="B322" s="74"/>
      <c r="C322" s="87"/>
      <c r="D322" s="86"/>
      <c r="E322" s="102" t="s">
        <v>538</v>
      </c>
      <c r="F322" s="73" t="s">
        <v>315</v>
      </c>
      <c r="G322" s="74"/>
      <c r="H322" s="95">
        <v>0.0</v>
      </c>
      <c r="I322" s="95">
        <v>5400000.0</v>
      </c>
      <c r="J322" s="80">
        <f t="shared" si="2"/>
        <v>40192640</v>
      </c>
      <c r="K322" s="77">
        <f t="shared" si="3"/>
        <v>7</v>
      </c>
    </row>
    <row r="323" ht="15.75" customHeight="1">
      <c r="A323" s="99">
        <v>45135.0</v>
      </c>
      <c r="B323" s="74"/>
      <c r="C323" s="87"/>
      <c r="D323" s="86"/>
      <c r="E323" s="102" t="s">
        <v>539</v>
      </c>
      <c r="F323" s="73" t="s">
        <v>21</v>
      </c>
      <c r="G323" s="74"/>
      <c r="H323" s="95">
        <v>1500000.0</v>
      </c>
      <c r="I323" s="95">
        <v>0.0</v>
      </c>
      <c r="J323" s="80">
        <f t="shared" si="2"/>
        <v>41692640</v>
      </c>
      <c r="K323" s="77">
        <f t="shared" si="3"/>
        <v>7</v>
      </c>
    </row>
    <row r="324" ht="15.75" customHeight="1">
      <c r="A324" s="99">
        <v>45135.0</v>
      </c>
      <c r="B324" s="74"/>
      <c r="C324" s="87"/>
      <c r="D324" s="84" t="s">
        <v>247</v>
      </c>
      <c r="E324" s="102" t="s">
        <v>339</v>
      </c>
      <c r="F324" s="73" t="s">
        <v>307</v>
      </c>
      <c r="G324" s="74"/>
      <c r="H324" s="95">
        <v>0.0</v>
      </c>
      <c r="I324" s="95">
        <v>2900.0</v>
      </c>
      <c r="J324" s="80">
        <f t="shared" si="2"/>
        <v>41689740</v>
      </c>
      <c r="K324" s="77">
        <f t="shared" si="3"/>
        <v>7</v>
      </c>
    </row>
    <row r="325" ht="15.75" customHeight="1">
      <c r="A325" s="99">
        <v>45135.0</v>
      </c>
      <c r="B325" s="74"/>
      <c r="C325" s="87"/>
      <c r="D325" s="84" t="s">
        <v>247</v>
      </c>
      <c r="E325" s="102" t="s">
        <v>340</v>
      </c>
      <c r="F325" s="73" t="s">
        <v>307</v>
      </c>
      <c r="G325" s="74"/>
      <c r="H325" s="95">
        <v>0.0</v>
      </c>
      <c r="I325" s="95">
        <v>31900.0</v>
      </c>
      <c r="J325" s="80">
        <f t="shared" si="2"/>
        <v>41657840</v>
      </c>
      <c r="K325" s="77">
        <f t="shared" si="3"/>
        <v>7</v>
      </c>
    </row>
    <row r="326" ht="15.75" customHeight="1">
      <c r="A326" s="99">
        <v>45135.0</v>
      </c>
      <c r="B326" s="74"/>
      <c r="C326" s="87"/>
      <c r="D326" s="84" t="s">
        <v>247</v>
      </c>
      <c r="E326" s="102" t="s">
        <v>341</v>
      </c>
      <c r="F326" s="73" t="s">
        <v>307</v>
      </c>
      <c r="G326" s="74"/>
      <c r="H326" s="95">
        <v>0.0</v>
      </c>
      <c r="I326" s="95">
        <v>2900.0</v>
      </c>
      <c r="J326" s="80">
        <f t="shared" si="2"/>
        <v>41654940</v>
      </c>
      <c r="K326" s="77">
        <f t="shared" si="3"/>
        <v>7</v>
      </c>
    </row>
    <row r="327" ht="15.75" customHeight="1">
      <c r="A327" s="99">
        <v>45135.0</v>
      </c>
      <c r="B327" s="74"/>
      <c r="C327" s="87"/>
      <c r="D327" s="84" t="s">
        <v>247</v>
      </c>
      <c r="E327" s="102" t="s">
        <v>342</v>
      </c>
      <c r="F327" s="73" t="s">
        <v>307</v>
      </c>
      <c r="G327" s="74"/>
      <c r="H327" s="95">
        <v>0.0</v>
      </c>
      <c r="I327" s="95">
        <v>0.0</v>
      </c>
      <c r="J327" s="80">
        <f t="shared" si="2"/>
        <v>41654940</v>
      </c>
      <c r="K327" s="77">
        <f t="shared" si="3"/>
        <v>7</v>
      </c>
    </row>
    <row r="328" ht="15.75" customHeight="1">
      <c r="A328" s="99">
        <v>45135.0</v>
      </c>
      <c r="B328" s="74"/>
      <c r="C328" s="87"/>
      <c r="D328" s="84" t="s">
        <v>247</v>
      </c>
      <c r="E328" s="102" t="s">
        <v>343</v>
      </c>
      <c r="F328" s="73" t="s">
        <v>307</v>
      </c>
      <c r="G328" s="74"/>
      <c r="H328" s="95">
        <v>0.0</v>
      </c>
      <c r="I328" s="95">
        <v>0.0</v>
      </c>
      <c r="J328" s="80">
        <f t="shared" si="2"/>
        <v>41654940</v>
      </c>
      <c r="K328" s="77">
        <f t="shared" si="3"/>
        <v>7</v>
      </c>
    </row>
    <row r="329" ht="15.75" customHeight="1">
      <c r="A329" s="99">
        <v>45138.0</v>
      </c>
      <c r="B329" s="74"/>
      <c r="C329" s="87"/>
      <c r="D329" s="84" t="s">
        <v>247</v>
      </c>
      <c r="E329" s="102" t="s">
        <v>360</v>
      </c>
      <c r="F329" s="73" t="s">
        <v>361</v>
      </c>
      <c r="G329" s="74"/>
      <c r="H329" s="95">
        <v>0.0</v>
      </c>
      <c r="I329" s="95">
        <v>30000.0</v>
      </c>
      <c r="J329" s="80">
        <f t="shared" si="2"/>
        <v>41624940</v>
      </c>
      <c r="K329" s="77">
        <f t="shared" si="3"/>
        <v>7</v>
      </c>
    </row>
    <row r="330" ht="15.75" customHeight="1">
      <c r="A330" s="99">
        <v>45139.0</v>
      </c>
      <c r="B330" s="74"/>
      <c r="C330" s="87"/>
      <c r="D330" s="86"/>
      <c r="E330" s="102" t="s">
        <v>295</v>
      </c>
      <c r="F330" s="73" t="s">
        <v>21</v>
      </c>
      <c r="G330" s="74"/>
      <c r="H330" s="95">
        <v>2.0E8</v>
      </c>
      <c r="I330" s="95">
        <v>0.0</v>
      </c>
      <c r="J330" s="80">
        <f t="shared" si="2"/>
        <v>241624940</v>
      </c>
      <c r="K330" s="77">
        <f t="shared" si="3"/>
        <v>8</v>
      </c>
    </row>
    <row r="331" ht="15.75" customHeight="1">
      <c r="A331" s="99">
        <v>45140.0</v>
      </c>
      <c r="B331" s="74"/>
      <c r="C331" s="87"/>
      <c r="D331" s="71"/>
      <c r="E331" s="102" t="s">
        <v>540</v>
      </c>
      <c r="F331" s="73" t="s">
        <v>305</v>
      </c>
      <c r="G331" s="74"/>
      <c r="H331" s="95">
        <v>0.0</v>
      </c>
      <c r="I331" s="95">
        <v>2500000.0</v>
      </c>
      <c r="J331" s="80">
        <f t="shared" si="2"/>
        <v>239124940</v>
      </c>
      <c r="K331" s="77">
        <f t="shared" si="3"/>
        <v>8</v>
      </c>
    </row>
    <row r="332" ht="15.75" customHeight="1">
      <c r="A332" s="99">
        <v>45140.0</v>
      </c>
      <c r="B332" s="74"/>
      <c r="C332" s="87"/>
      <c r="D332" s="84" t="s">
        <v>247</v>
      </c>
      <c r="E332" s="102" t="s">
        <v>306</v>
      </c>
      <c r="F332" s="73" t="s">
        <v>307</v>
      </c>
      <c r="G332" s="74"/>
      <c r="H332" s="95">
        <v>0.0</v>
      </c>
      <c r="I332" s="95">
        <v>2500.0</v>
      </c>
      <c r="J332" s="80">
        <f t="shared" si="2"/>
        <v>239122440</v>
      </c>
      <c r="K332" s="77">
        <f t="shared" si="3"/>
        <v>8</v>
      </c>
    </row>
    <row r="333" ht="15.75" customHeight="1">
      <c r="A333" s="99">
        <v>45140.0</v>
      </c>
      <c r="B333" s="74"/>
      <c r="C333" s="87"/>
      <c r="D333" s="71"/>
      <c r="E333" s="102" t="s">
        <v>541</v>
      </c>
      <c r="F333" s="73" t="s">
        <v>373</v>
      </c>
      <c r="G333" s="74"/>
      <c r="H333" s="95">
        <v>0.0</v>
      </c>
      <c r="I333" s="95">
        <v>7.8975E7</v>
      </c>
      <c r="J333" s="80">
        <f t="shared" si="2"/>
        <v>160147440</v>
      </c>
      <c r="K333" s="77">
        <f t="shared" si="3"/>
        <v>8</v>
      </c>
    </row>
    <row r="334" ht="15.75" customHeight="1">
      <c r="A334" s="99">
        <v>45140.0</v>
      </c>
      <c r="B334" s="74"/>
      <c r="C334" s="87"/>
      <c r="D334" s="84" t="s">
        <v>247</v>
      </c>
      <c r="E334" s="102" t="s">
        <v>306</v>
      </c>
      <c r="F334" s="73" t="s">
        <v>307</v>
      </c>
      <c r="G334" s="74"/>
      <c r="H334" s="95">
        <v>0.0</v>
      </c>
      <c r="I334" s="95">
        <v>2500.0</v>
      </c>
      <c r="J334" s="80">
        <f t="shared" si="2"/>
        <v>160144940</v>
      </c>
      <c r="K334" s="77">
        <f t="shared" si="3"/>
        <v>8</v>
      </c>
    </row>
    <row r="335" ht="15.75" customHeight="1">
      <c r="A335" s="99">
        <v>45140.0</v>
      </c>
      <c r="B335" s="74"/>
      <c r="C335" s="87"/>
      <c r="D335" s="86"/>
      <c r="E335" s="102" t="s">
        <v>542</v>
      </c>
      <c r="F335" s="73" t="s">
        <v>290</v>
      </c>
      <c r="G335" s="74"/>
      <c r="H335" s="95">
        <v>0.0</v>
      </c>
      <c r="I335" s="95">
        <v>209250.0</v>
      </c>
      <c r="J335" s="80">
        <f t="shared" si="2"/>
        <v>159935690</v>
      </c>
      <c r="K335" s="77">
        <f t="shared" si="3"/>
        <v>8</v>
      </c>
    </row>
    <row r="336" ht="15.75" customHeight="1">
      <c r="A336" s="99">
        <v>45141.0</v>
      </c>
      <c r="B336" s="74"/>
      <c r="C336" s="87"/>
      <c r="D336" s="86"/>
      <c r="E336" s="102" t="s">
        <v>489</v>
      </c>
      <c r="F336" s="73" t="s">
        <v>21</v>
      </c>
      <c r="G336" s="74"/>
      <c r="H336" s="95">
        <v>1000000.0</v>
      </c>
      <c r="I336" s="95">
        <v>0.0</v>
      </c>
      <c r="J336" s="80">
        <f t="shared" si="2"/>
        <v>160935690</v>
      </c>
      <c r="K336" s="77">
        <f t="shared" si="3"/>
        <v>8</v>
      </c>
    </row>
    <row r="337" ht="15.75" customHeight="1">
      <c r="A337" s="99">
        <v>45141.0</v>
      </c>
      <c r="B337" s="74"/>
      <c r="C337" s="87"/>
      <c r="D337" s="86"/>
      <c r="E337" s="102" t="s">
        <v>491</v>
      </c>
      <c r="F337" s="73" t="s">
        <v>288</v>
      </c>
      <c r="G337" s="74"/>
      <c r="H337" s="95">
        <v>0.0</v>
      </c>
      <c r="I337" s="95">
        <v>1.05E7</v>
      </c>
      <c r="J337" s="80">
        <f t="shared" si="2"/>
        <v>150435690</v>
      </c>
      <c r="K337" s="77">
        <f t="shared" si="3"/>
        <v>8</v>
      </c>
    </row>
    <row r="338" ht="15.75" customHeight="1">
      <c r="A338" s="99">
        <v>45141.0</v>
      </c>
      <c r="B338" s="74"/>
      <c r="C338" s="87"/>
      <c r="D338" s="86"/>
      <c r="E338" s="102" t="s">
        <v>543</v>
      </c>
      <c r="F338" s="73" t="s">
        <v>544</v>
      </c>
      <c r="G338" s="74"/>
      <c r="H338" s="95">
        <v>0.0</v>
      </c>
      <c r="I338" s="95">
        <v>2500000.0</v>
      </c>
      <c r="J338" s="80">
        <f t="shared" si="2"/>
        <v>147935690</v>
      </c>
      <c r="K338" s="77">
        <f t="shared" si="3"/>
        <v>8</v>
      </c>
    </row>
    <row r="339" ht="15.75" customHeight="1">
      <c r="A339" s="99">
        <v>45147.0</v>
      </c>
      <c r="B339" s="74"/>
      <c r="C339" s="87"/>
      <c r="D339" s="84" t="s">
        <v>247</v>
      </c>
      <c r="E339" s="102" t="s">
        <v>306</v>
      </c>
      <c r="F339" s="73" t="s">
        <v>307</v>
      </c>
      <c r="G339" s="74"/>
      <c r="H339" s="95">
        <v>0.0</v>
      </c>
      <c r="I339" s="95">
        <v>2500.0</v>
      </c>
      <c r="J339" s="80">
        <f t="shared" si="2"/>
        <v>147933190</v>
      </c>
      <c r="K339" s="77">
        <f t="shared" si="3"/>
        <v>8</v>
      </c>
    </row>
    <row r="340" ht="15.75" customHeight="1">
      <c r="A340" s="99">
        <v>45166.0</v>
      </c>
      <c r="B340" s="74"/>
      <c r="C340" s="87"/>
      <c r="D340" s="86"/>
      <c r="E340" s="102" t="s">
        <v>545</v>
      </c>
      <c r="F340" s="73" t="s">
        <v>315</v>
      </c>
      <c r="G340" s="74"/>
      <c r="H340" s="95">
        <v>0.0</v>
      </c>
      <c r="I340" s="95">
        <v>9350000.0</v>
      </c>
      <c r="J340" s="80">
        <f t="shared" si="2"/>
        <v>138583190</v>
      </c>
      <c r="K340" s="77">
        <f t="shared" si="3"/>
        <v>8</v>
      </c>
    </row>
    <row r="341" ht="15.75" customHeight="1">
      <c r="A341" s="99">
        <v>45166.0</v>
      </c>
      <c r="B341" s="74"/>
      <c r="C341" s="87"/>
      <c r="D341" s="71"/>
      <c r="E341" s="102" t="s">
        <v>546</v>
      </c>
      <c r="F341" s="73" t="s">
        <v>317</v>
      </c>
      <c r="G341" s="74"/>
      <c r="H341" s="95">
        <v>0.0</v>
      </c>
      <c r="I341" s="95">
        <v>300000.0</v>
      </c>
      <c r="J341" s="80">
        <f t="shared" si="2"/>
        <v>138283190</v>
      </c>
      <c r="K341" s="77">
        <f t="shared" si="3"/>
        <v>8</v>
      </c>
    </row>
    <row r="342" ht="15.75" customHeight="1">
      <c r="A342" s="99">
        <v>45166.0</v>
      </c>
      <c r="B342" s="74"/>
      <c r="C342" s="87"/>
      <c r="D342" s="86"/>
      <c r="E342" s="102" t="s">
        <v>547</v>
      </c>
      <c r="F342" s="73" t="s">
        <v>21</v>
      </c>
      <c r="G342" s="74"/>
      <c r="H342" s="95">
        <v>4000000.0</v>
      </c>
      <c r="I342" s="95">
        <v>0.0</v>
      </c>
      <c r="J342" s="80">
        <f t="shared" si="2"/>
        <v>142283190</v>
      </c>
      <c r="K342" s="77">
        <f t="shared" si="3"/>
        <v>8</v>
      </c>
    </row>
    <row r="343" ht="15.75" customHeight="1">
      <c r="A343" s="99">
        <v>45166.0</v>
      </c>
      <c r="B343" s="74"/>
      <c r="C343" s="87"/>
      <c r="D343" s="86"/>
      <c r="E343" s="102" t="s">
        <v>319</v>
      </c>
      <c r="F343" s="73" t="s">
        <v>321</v>
      </c>
      <c r="G343" s="74"/>
      <c r="H343" s="95">
        <v>0.0</v>
      </c>
      <c r="I343" s="95">
        <v>7000000.0</v>
      </c>
      <c r="J343" s="80">
        <f t="shared" si="2"/>
        <v>135283190</v>
      </c>
      <c r="K343" s="77">
        <f t="shared" si="3"/>
        <v>8</v>
      </c>
    </row>
    <row r="344" ht="15.75" customHeight="1">
      <c r="A344" s="99">
        <v>45166.0</v>
      </c>
      <c r="B344" s="74"/>
      <c r="C344" s="87"/>
      <c r="D344" s="86"/>
      <c r="E344" s="102" t="s">
        <v>319</v>
      </c>
      <c r="F344" s="73" t="s">
        <v>320</v>
      </c>
      <c r="G344" s="74"/>
      <c r="H344" s="95">
        <v>0.0</v>
      </c>
      <c r="I344" s="95">
        <v>8000000.0</v>
      </c>
      <c r="J344" s="80">
        <f t="shared" si="2"/>
        <v>127283190</v>
      </c>
      <c r="K344" s="77">
        <f t="shared" si="3"/>
        <v>8</v>
      </c>
    </row>
    <row r="345" ht="15.75" customHeight="1">
      <c r="A345" s="99">
        <v>45166.0</v>
      </c>
      <c r="B345" s="74"/>
      <c r="C345" s="87"/>
      <c r="D345" s="71"/>
      <c r="E345" s="102" t="s">
        <v>548</v>
      </c>
      <c r="F345" s="73" t="s">
        <v>315</v>
      </c>
      <c r="G345" s="74"/>
      <c r="H345" s="95">
        <v>0.0</v>
      </c>
      <c r="I345" s="95">
        <v>9800000.0</v>
      </c>
      <c r="J345" s="80">
        <f t="shared" si="2"/>
        <v>117483190</v>
      </c>
      <c r="K345" s="77">
        <f t="shared" si="3"/>
        <v>8</v>
      </c>
    </row>
    <row r="346" ht="15.75" customHeight="1">
      <c r="A346" s="99">
        <v>45166.0</v>
      </c>
      <c r="B346" s="74"/>
      <c r="C346" s="87"/>
      <c r="D346" s="86"/>
      <c r="E346" s="102" t="s">
        <v>549</v>
      </c>
      <c r="F346" s="73" t="s">
        <v>317</v>
      </c>
      <c r="G346" s="74"/>
      <c r="H346" s="95">
        <v>0.0</v>
      </c>
      <c r="I346" s="95">
        <v>0.0</v>
      </c>
      <c r="J346" s="80">
        <f t="shared" si="2"/>
        <v>117483190</v>
      </c>
      <c r="K346" s="77">
        <f t="shared" si="3"/>
        <v>8</v>
      </c>
    </row>
    <row r="347" ht="15.75" customHeight="1">
      <c r="A347" s="99">
        <v>45166.0</v>
      </c>
      <c r="B347" s="74"/>
      <c r="C347" s="87"/>
      <c r="D347" s="86"/>
      <c r="E347" s="102" t="s">
        <v>550</v>
      </c>
      <c r="F347" s="73" t="s">
        <v>325</v>
      </c>
      <c r="G347" s="74"/>
      <c r="H347" s="95">
        <v>0.0</v>
      </c>
      <c r="I347" s="95">
        <v>0.0</v>
      </c>
      <c r="J347" s="80">
        <f t="shared" si="2"/>
        <v>117483190</v>
      </c>
      <c r="K347" s="77">
        <f t="shared" si="3"/>
        <v>8</v>
      </c>
    </row>
    <row r="348" ht="15.75" customHeight="1">
      <c r="A348" s="99">
        <v>45166.0</v>
      </c>
      <c r="B348" s="74"/>
      <c r="C348" s="87"/>
      <c r="D348" s="86"/>
      <c r="E348" s="102" t="s">
        <v>551</v>
      </c>
      <c r="F348" s="73" t="s">
        <v>327</v>
      </c>
      <c r="G348" s="74"/>
      <c r="H348" s="95">
        <v>0.0</v>
      </c>
      <c r="I348" s="95">
        <v>5.085E7</v>
      </c>
      <c r="J348" s="80">
        <f t="shared" si="2"/>
        <v>66633190</v>
      </c>
      <c r="K348" s="77">
        <f t="shared" si="3"/>
        <v>8</v>
      </c>
    </row>
    <row r="349" ht="15.75" customHeight="1">
      <c r="A349" s="99">
        <v>45166.0</v>
      </c>
      <c r="B349" s="74"/>
      <c r="C349" s="87"/>
      <c r="D349" s="86"/>
      <c r="E349" s="102" t="s">
        <v>552</v>
      </c>
      <c r="F349" s="73" t="s">
        <v>329</v>
      </c>
      <c r="G349" s="74"/>
      <c r="H349" s="95">
        <v>0.0</v>
      </c>
      <c r="I349" s="95">
        <v>5275000.0</v>
      </c>
      <c r="J349" s="80">
        <f t="shared" si="2"/>
        <v>61358190</v>
      </c>
      <c r="K349" s="77">
        <f t="shared" si="3"/>
        <v>8</v>
      </c>
    </row>
    <row r="350" ht="15.75" customHeight="1">
      <c r="A350" s="99">
        <v>45166.0</v>
      </c>
      <c r="B350" s="74"/>
      <c r="C350" s="87"/>
      <c r="D350" s="71"/>
      <c r="E350" s="102" t="s">
        <v>553</v>
      </c>
      <c r="F350" s="73" t="s">
        <v>532</v>
      </c>
      <c r="G350" s="74"/>
      <c r="H350" s="95">
        <v>0.0</v>
      </c>
      <c r="I350" s="95">
        <v>1.975E7</v>
      </c>
      <c r="J350" s="80">
        <f t="shared" si="2"/>
        <v>41608190</v>
      </c>
      <c r="K350" s="77">
        <f t="shared" si="3"/>
        <v>8</v>
      </c>
    </row>
    <row r="351" ht="15.75" customHeight="1">
      <c r="A351" s="99">
        <v>45166.0</v>
      </c>
      <c r="B351" s="74"/>
      <c r="C351" s="87"/>
      <c r="D351" s="86"/>
      <c r="E351" s="102" t="s">
        <v>554</v>
      </c>
      <c r="F351" s="73" t="s">
        <v>21</v>
      </c>
      <c r="G351" s="74"/>
      <c r="H351" s="95">
        <v>1400000.0</v>
      </c>
      <c r="I351" s="95">
        <v>0.0</v>
      </c>
      <c r="J351" s="80">
        <f t="shared" si="2"/>
        <v>43008190</v>
      </c>
      <c r="K351" s="77">
        <f t="shared" si="3"/>
        <v>8</v>
      </c>
    </row>
    <row r="352" ht="15.75" customHeight="1">
      <c r="A352" s="99">
        <v>45166.0</v>
      </c>
      <c r="B352" s="74"/>
      <c r="C352" s="87"/>
      <c r="D352" s="86"/>
      <c r="E352" s="102" t="s">
        <v>555</v>
      </c>
      <c r="F352" s="73" t="s">
        <v>315</v>
      </c>
      <c r="G352" s="74"/>
      <c r="H352" s="95">
        <v>0.0</v>
      </c>
      <c r="I352" s="95">
        <v>1.305E7</v>
      </c>
      <c r="J352" s="80">
        <f t="shared" si="2"/>
        <v>29958190</v>
      </c>
      <c r="K352" s="77">
        <f t="shared" si="3"/>
        <v>8</v>
      </c>
    </row>
    <row r="353" ht="15.75" customHeight="1">
      <c r="A353" s="99">
        <v>45166.0</v>
      </c>
      <c r="B353" s="74"/>
      <c r="C353" s="87"/>
      <c r="D353" s="71"/>
      <c r="E353" s="102" t="s">
        <v>556</v>
      </c>
      <c r="F353" s="73" t="s">
        <v>21</v>
      </c>
      <c r="G353" s="74"/>
      <c r="H353" s="95">
        <v>1000000.0</v>
      </c>
      <c r="I353" s="95">
        <v>0.0</v>
      </c>
      <c r="J353" s="80">
        <f t="shared" si="2"/>
        <v>30958190</v>
      </c>
      <c r="K353" s="77">
        <f t="shared" si="3"/>
        <v>8</v>
      </c>
    </row>
    <row r="354" ht="15.75" customHeight="1">
      <c r="A354" s="99">
        <v>45166.0</v>
      </c>
      <c r="B354" s="74"/>
      <c r="C354" s="87"/>
      <c r="D354" s="86"/>
      <c r="E354" s="102" t="s">
        <v>557</v>
      </c>
      <c r="F354" s="73" t="s">
        <v>315</v>
      </c>
      <c r="G354" s="74"/>
      <c r="H354" s="95">
        <v>0.0</v>
      </c>
      <c r="I354" s="95">
        <v>7000000.0</v>
      </c>
      <c r="J354" s="80">
        <f t="shared" si="2"/>
        <v>23958190</v>
      </c>
      <c r="K354" s="77">
        <f t="shared" si="3"/>
        <v>8</v>
      </c>
    </row>
    <row r="355" ht="15.75" customHeight="1">
      <c r="A355" s="99">
        <v>45166.0</v>
      </c>
      <c r="B355" s="74"/>
      <c r="C355" s="87"/>
      <c r="D355" s="86"/>
      <c r="E355" s="102" t="s">
        <v>558</v>
      </c>
      <c r="F355" s="73" t="s">
        <v>21</v>
      </c>
      <c r="G355" s="74"/>
      <c r="H355" s="95">
        <v>1000000.0</v>
      </c>
      <c r="I355" s="95">
        <v>0.0</v>
      </c>
      <c r="J355" s="80">
        <f t="shared" si="2"/>
        <v>24958190</v>
      </c>
      <c r="K355" s="77">
        <f t="shared" si="3"/>
        <v>8</v>
      </c>
    </row>
    <row r="356" ht="15.75" customHeight="1">
      <c r="A356" s="99">
        <v>45166.0</v>
      </c>
      <c r="B356" s="74"/>
      <c r="C356" s="87"/>
      <c r="D356" s="86"/>
      <c r="E356" s="102" t="s">
        <v>559</v>
      </c>
      <c r="F356" s="73" t="s">
        <v>315</v>
      </c>
      <c r="G356" s="74"/>
      <c r="H356" s="95">
        <v>0.0</v>
      </c>
      <c r="I356" s="95">
        <v>5400000.0</v>
      </c>
      <c r="J356" s="80">
        <f t="shared" si="2"/>
        <v>19558190</v>
      </c>
      <c r="K356" s="77">
        <f t="shared" si="3"/>
        <v>8</v>
      </c>
    </row>
    <row r="357" ht="15.75" customHeight="1">
      <c r="A357" s="99">
        <v>45166.0</v>
      </c>
      <c r="B357" s="74"/>
      <c r="C357" s="87"/>
      <c r="D357" s="71"/>
      <c r="E357" s="102" t="s">
        <v>560</v>
      </c>
      <c r="F357" s="73" t="s">
        <v>21</v>
      </c>
      <c r="G357" s="74"/>
      <c r="H357" s="95">
        <v>1500000.0</v>
      </c>
      <c r="I357" s="95">
        <v>0.0</v>
      </c>
      <c r="J357" s="80">
        <f t="shared" si="2"/>
        <v>21058190</v>
      </c>
      <c r="K357" s="77">
        <f t="shared" si="3"/>
        <v>8</v>
      </c>
    </row>
    <row r="358" ht="15.75" customHeight="1">
      <c r="A358" s="99">
        <v>45166.0</v>
      </c>
      <c r="B358" s="74"/>
      <c r="C358" s="87"/>
      <c r="D358" s="84" t="s">
        <v>247</v>
      </c>
      <c r="E358" s="102" t="s">
        <v>339</v>
      </c>
      <c r="F358" s="73" t="s">
        <v>307</v>
      </c>
      <c r="G358" s="74"/>
      <c r="H358" s="95">
        <v>0.0</v>
      </c>
      <c r="I358" s="95">
        <v>2900.0</v>
      </c>
      <c r="J358" s="80">
        <f t="shared" si="2"/>
        <v>21055290</v>
      </c>
      <c r="K358" s="77">
        <f t="shared" si="3"/>
        <v>8</v>
      </c>
    </row>
    <row r="359" ht="15.75" customHeight="1">
      <c r="A359" s="99">
        <v>45166.0</v>
      </c>
      <c r="B359" s="74"/>
      <c r="C359" s="87"/>
      <c r="D359" s="84" t="s">
        <v>247</v>
      </c>
      <c r="E359" s="102" t="s">
        <v>340</v>
      </c>
      <c r="F359" s="73" t="s">
        <v>307</v>
      </c>
      <c r="G359" s="74"/>
      <c r="H359" s="95">
        <v>0.0</v>
      </c>
      <c r="I359" s="95">
        <v>31900.0</v>
      </c>
      <c r="J359" s="80">
        <f t="shared" si="2"/>
        <v>21023390</v>
      </c>
      <c r="K359" s="77">
        <f t="shared" si="3"/>
        <v>8</v>
      </c>
    </row>
    <row r="360" ht="15.75" customHeight="1">
      <c r="A360" s="99">
        <v>45166.0</v>
      </c>
      <c r="B360" s="74"/>
      <c r="C360" s="87"/>
      <c r="D360" s="84" t="s">
        <v>247</v>
      </c>
      <c r="E360" s="102" t="s">
        <v>341</v>
      </c>
      <c r="F360" s="73" t="s">
        <v>307</v>
      </c>
      <c r="G360" s="74"/>
      <c r="H360" s="95">
        <v>0.0</v>
      </c>
      <c r="I360" s="95">
        <v>2900.0</v>
      </c>
      <c r="J360" s="80">
        <f t="shared" si="2"/>
        <v>21020490</v>
      </c>
      <c r="K360" s="77">
        <f t="shared" si="3"/>
        <v>8</v>
      </c>
    </row>
    <row r="361" ht="15.75" customHeight="1">
      <c r="A361" s="99">
        <v>45166.0</v>
      </c>
      <c r="B361" s="74"/>
      <c r="C361" s="87"/>
      <c r="D361" s="84" t="s">
        <v>247</v>
      </c>
      <c r="E361" s="102" t="s">
        <v>342</v>
      </c>
      <c r="F361" s="73" t="s">
        <v>307</v>
      </c>
      <c r="G361" s="74"/>
      <c r="H361" s="95">
        <v>0.0</v>
      </c>
      <c r="I361" s="95">
        <v>0.0</v>
      </c>
      <c r="J361" s="80">
        <f t="shared" si="2"/>
        <v>21020490</v>
      </c>
      <c r="K361" s="77">
        <f t="shared" si="3"/>
        <v>8</v>
      </c>
    </row>
    <row r="362" ht="15.75" customHeight="1">
      <c r="A362" s="99">
        <v>45166.0</v>
      </c>
      <c r="B362" s="74"/>
      <c r="C362" s="87"/>
      <c r="D362" s="84" t="s">
        <v>247</v>
      </c>
      <c r="E362" s="102" t="s">
        <v>343</v>
      </c>
      <c r="F362" s="73" t="s">
        <v>307</v>
      </c>
      <c r="G362" s="74"/>
      <c r="H362" s="95">
        <v>0.0</v>
      </c>
      <c r="I362" s="95">
        <v>0.0</v>
      </c>
      <c r="J362" s="80">
        <f t="shared" si="2"/>
        <v>21020490</v>
      </c>
      <c r="K362" s="77">
        <f t="shared" si="3"/>
        <v>8</v>
      </c>
    </row>
    <row r="363" ht="15.75" customHeight="1">
      <c r="A363" s="99">
        <v>45169.0</v>
      </c>
      <c r="B363" s="74"/>
      <c r="C363" s="87"/>
      <c r="D363" s="84" t="s">
        <v>247</v>
      </c>
      <c r="E363" s="102" t="s">
        <v>360</v>
      </c>
      <c r="F363" s="73" t="s">
        <v>361</v>
      </c>
      <c r="G363" s="74"/>
      <c r="H363" s="95">
        <v>0.0</v>
      </c>
      <c r="I363" s="95">
        <v>30000.0</v>
      </c>
      <c r="J363" s="80">
        <f t="shared" si="2"/>
        <v>20990490</v>
      </c>
      <c r="K363" s="77">
        <f t="shared" si="3"/>
        <v>8</v>
      </c>
    </row>
    <row r="364" ht="15.75" customHeight="1">
      <c r="A364" s="99">
        <v>45170.0</v>
      </c>
      <c r="B364" s="74"/>
      <c r="C364" s="87"/>
      <c r="D364" s="71"/>
      <c r="E364" s="102" t="s">
        <v>502</v>
      </c>
      <c r="F364" s="73" t="s">
        <v>21</v>
      </c>
      <c r="G364" s="74"/>
      <c r="H364" s="95">
        <v>2.0E8</v>
      </c>
      <c r="I364" s="95">
        <v>0.0</v>
      </c>
      <c r="J364" s="80">
        <f t="shared" si="2"/>
        <v>220990490</v>
      </c>
      <c r="K364" s="77">
        <f t="shared" si="3"/>
        <v>9</v>
      </c>
    </row>
    <row r="365" ht="15.75" customHeight="1">
      <c r="A365" s="99">
        <v>45196.0</v>
      </c>
      <c r="B365" s="74"/>
      <c r="C365" s="87"/>
      <c r="D365" s="86"/>
      <c r="E365" s="102" t="s">
        <v>561</v>
      </c>
      <c r="F365" s="73" t="s">
        <v>315</v>
      </c>
      <c r="G365" s="74"/>
      <c r="H365" s="95">
        <v>0.0</v>
      </c>
      <c r="I365" s="95">
        <v>9350000.0</v>
      </c>
      <c r="J365" s="80">
        <f t="shared" si="2"/>
        <v>211640490</v>
      </c>
      <c r="K365" s="77">
        <f t="shared" si="3"/>
        <v>9</v>
      </c>
    </row>
    <row r="366" ht="15.75" customHeight="1">
      <c r="A366" s="99">
        <v>45196.0</v>
      </c>
      <c r="B366" s="74"/>
      <c r="C366" s="87"/>
      <c r="D366" s="86"/>
      <c r="E366" s="102" t="s">
        <v>562</v>
      </c>
      <c r="F366" s="73" t="s">
        <v>317</v>
      </c>
      <c r="G366" s="74"/>
      <c r="H366" s="95">
        <v>0.0</v>
      </c>
      <c r="I366" s="95">
        <v>300000.0</v>
      </c>
      <c r="J366" s="80">
        <f t="shared" si="2"/>
        <v>211340490</v>
      </c>
      <c r="K366" s="77">
        <f t="shared" si="3"/>
        <v>9</v>
      </c>
    </row>
    <row r="367" ht="15.75" customHeight="1">
      <c r="A367" s="99">
        <v>45196.0</v>
      </c>
      <c r="B367" s="74"/>
      <c r="C367" s="87"/>
      <c r="D367" s="86"/>
      <c r="E367" s="102" t="s">
        <v>563</v>
      </c>
      <c r="F367" s="73" t="s">
        <v>21</v>
      </c>
      <c r="G367" s="74"/>
      <c r="H367" s="95">
        <v>4000000.0</v>
      </c>
      <c r="I367" s="95">
        <v>0.0</v>
      </c>
      <c r="J367" s="80">
        <f t="shared" si="2"/>
        <v>215340490</v>
      </c>
      <c r="K367" s="77">
        <f t="shared" si="3"/>
        <v>9</v>
      </c>
    </row>
    <row r="368" ht="15.75" customHeight="1">
      <c r="A368" s="99">
        <v>45196.0</v>
      </c>
      <c r="B368" s="74"/>
      <c r="C368" s="87"/>
      <c r="D368" s="71"/>
      <c r="E368" s="102" t="s">
        <v>319</v>
      </c>
      <c r="F368" s="73" t="s">
        <v>321</v>
      </c>
      <c r="G368" s="74"/>
      <c r="H368" s="95">
        <v>0.0</v>
      </c>
      <c r="I368" s="95">
        <v>7000000.0</v>
      </c>
      <c r="J368" s="80">
        <f t="shared" si="2"/>
        <v>208340490</v>
      </c>
      <c r="K368" s="77">
        <f t="shared" si="3"/>
        <v>9</v>
      </c>
    </row>
    <row r="369" ht="15.75" customHeight="1">
      <c r="A369" s="99">
        <v>45196.0</v>
      </c>
      <c r="B369" s="74"/>
      <c r="C369" s="87"/>
      <c r="D369" s="86"/>
      <c r="E369" s="102" t="s">
        <v>319</v>
      </c>
      <c r="F369" s="73" t="s">
        <v>320</v>
      </c>
      <c r="G369" s="74"/>
      <c r="H369" s="95">
        <v>0.0</v>
      </c>
      <c r="I369" s="95">
        <v>8000000.0</v>
      </c>
      <c r="J369" s="80">
        <f t="shared" si="2"/>
        <v>200340490</v>
      </c>
      <c r="K369" s="77">
        <f t="shared" si="3"/>
        <v>9</v>
      </c>
    </row>
    <row r="370" ht="15.75" customHeight="1">
      <c r="A370" s="99">
        <v>45196.0</v>
      </c>
      <c r="B370" s="74"/>
      <c r="C370" s="87"/>
      <c r="D370" s="71"/>
      <c r="E370" s="102" t="s">
        <v>564</v>
      </c>
      <c r="F370" s="73" t="s">
        <v>315</v>
      </c>
      <c r="G370" s="74"/>
      <c r="H370" s="95">
        <v>0.0</v>
      </c>
      <c r="I370" s="95">
        <v>9800000.0</v>
      </c>
      <c r="J370" s="80">
        <f t="shared" si="2"/>
        <v>190540490</v>
      </c>
      <c r="K370" s="77">
        <f t="shared" si="3"/>
        <v>9</v>
      </c>
    </row>
    <row r="371" ht="15.75" customHeight="1">
      <c r="A371" s="99">
        <v>45196.0</v>
      </c>
      <c r="B371" s="74"/>
      <c r="C371" s="87"/>
      <c r="D371" s="71"/>
      <c r="E371" s="102" t="s">
        <v>565</v>
      </c>
      <c r="F371" s="73" t="s">
        <v>317</v>
      </c>
      <c r="G371" s="74"/>
      <c r="H371" s="95">
        <v>0.0</v>
      </c>
      <c r="I371" s="95">
        <v>0.0</v>
      </c>
      <c r="J371" s="80">
        <f t="shared" si="2"/>
        <v>190540490</v>
      </c>
      <c r="K371" s="77">
        <f t="shared" si="3"/>
        <v>9</v>
      </c>
    </row>
    <row r="372" ht="15.75" customHeight="1">
      <c r="A372" s="99">
        <v>45196.0</v>
      </c>
      <c r="B372" s="74"/>
      <c r="C372" s="87"/>
      <c r="D372" s="71"/>
      <c r="E372" s="102" t="s">
        <v>566</v>
      </c>
      <c r="F372" s="73" t="s">
        <v>21</v>
      </c>
      <c r="G372" s="74"/>
      <c r="H372" s="95">
        <v>500000.0</v>
      </c>
      <c r="I372" s="95">
        <v>0.0</v>
      </c>
      <c r="J372" s="80">
        <f t="shared" si="2"/>
        <v>191040490</v>
      </c>
      <c r="K372" s="77">
        <f t="shared" si="3"/>
        <v>9</v>
      </c>
    </row>
    <row r="373" ht="15.75" customHeight="1">
      <c r="A373" s="99">
        <v>45196.0</v>
      </c>
      <c r="B373" s="74"/>
      <c r="C373" s="87"/>
      <c r="D373" s="86"/>
      <c r="E373" s="102" t="s">
        <v>567</v>
      </c>
      <c r="F373" s="73" t="s">
        <v>327</v>
      </c>
      <c r="G373" s="74"/>
      <c r="H373" s="95">
        <v>0.0</v>
      </c>
      <c r="I373" s="95">
        <v>5.085E7</v>
      </c>
      <c r="J373" s="80">
        <f t="shared" si="2"/>
        <v>140190490</v>
      </c>
      <c r="K373" s="77">
        <f t="shared" si="3"/>
        <v>9</v>
      </c>
    </row>
    <row r="374" ht="15.75" customHeight="1">
      <c r="A374" s="99">
        <v>45196.0</v>
      </c>
      <c r="B374" s="74"/>
      <c r="C374" s="87"/>
      <c r="D374" s="71"/>
      <c r="E374" s="102" t="s">
        <v>568</v>
      </c>
      <c r="F374" s="73" t="s">
        <v>329</v>
      </c>
      <c r="G374" s="74"/>
      <c r="H374" s="95">
        <v>0.0</v>
      </c>
      <c r="I374" s="95">
        <v>5150000.0</v>
      </c>
      <c r="J374" s="80">
        <f t="shared" si="2"/>
        <v>135040490</v>
      </c>
      <c r="K374" s="77">
        <f t="shared" si="3"/>
        <v>9</v>
      </c>
    </row>
    <row r="375" ht="15.75" customHeight="1">
      <c r="A375" s="99">
        <v>45196.0</v>
      </c>
      <c r="B375" s="74"/>
      <c r="C375" s="87"/>
      <c r="D375" s="71"/>
      <c r="E375" s="102" t="s">
        <v>569</v>
      </c>
      <c r="F375" s="73" t="s">
        <v>532</v>
      </c>
      <c r="G375" s="74"/>
      <c r="H375" s="95">
        <v>0.0</v>
      </c>
      <c r="I375" s="95">
        <v>1.975E7</v>
      </c>
      <c r="J375" s="80">
        <f t="shared" si="2"/>
        <v>115290490</v>
      </c>
      <c r="K375" s="77">
        <f t="shared" si="3"/>
        <v>9</v>
      </c>
    </row>
    <row r="376" ht="15.75" customHeight="1">
      <c r="A376" s="99">
        <v>45196.0</v>
      </c>
      <c r="B376" s="74"/>
      <c r="C376" s="87"/>
      <c r="D376" s="86"/>
      <c r="E376" s="102" t="s">
        <v>570</v>
      </c>
      <c r="F376" s="73" t="s">
        <v>21</v>
      </c>
      <c r="G376" s="74"/>
      <c r="H376" s="95">
        <v>1400000.0</v>
      </c>
      <c r="I376" s="95">
        <v>0.0</v>
      </c>
      <c r="J376" s="80">
        <f t="shared" si="2"/>
        <v>116690490</v>
      </c>
      <c r="K376" s="77">
        <f t="shared" si="3"/>
        <v>9</v>
      </c>
    </row>
    <row r="377" ht="15.75" customHeight="1">
      <c r="A377" s="99">
        <v>45196.0</v>
      </c>
      <c r="B377" s="74"/>
      <c r="C377" s="87"/>
      <c r="D377" s="71"/>
      <c r="E377" s="102" t="s">
        <v>571</v>
      </c>
      <c r="F377" s="73" t="s">
        <v>315</v>
      </c>
      <c r="G377" s="74"/>
      <c r="H377" s="95">
        <v>0.0</v>
      </c>
      <c r="I377" s="95">
        <v>1.305E7</v>
      </c>
      <c r="J377" s="80">
        <f t="shared" si="2"/>
        <v>103640490</v>
      </c>
      <c r="K377" s="77">
        <f t="shared" si="3"/>
        <v>9</v>
      </c>
    </row>
    <row r="378" ht="15.75" customHeight="1">
      <c r="A378" s="99">
        <v>45196.0</v>
      </c>
      <c r="B378" s="74"/>
      <c r="C378" s="87"/>
      <c r="D378" s="71"/>
      <c r="E378" s="102" t="s">
        <v>572</v>
      </c>
      <c r="F378" s="73" t="s">
        <v>21</v>
      </c>
      <c r="G378" s="74"/>
      <c r="H378" s="95">
        <v>1000000.0</v>
      </c>
      <c r="I378" s="95">
        <v>0.0</v>
      </c>
      <c r="J378" s="80">
        <f t="shared" si="2"/>
        <v>104640490</v>
      </c>
      <c r="K378" s="77">
        <f t="shared" si="3"/>
        <v>9</v>
      </c>
    </row>
    <row r="379" ht="15.75" customHeight="1">
      <c r="A379" s="99">
        <v>45196.0</v>
      </c>
      <c r="B379" s="74"/>
      <c r="C379" s="87"/>
      <c r="D379" s="71"/>
      <c r="E379" s="102" t="s">
        <v>573</v>
      </c>
      <c r="F379" s="73" t="s">
        <v>315</v>
      </c>
      <c r="G379" s="74"/>
      <c r="H379" s="95">
        <v>0.0</v>
      </c>
      <c r="I379" s="95">
        <v>7000000.0</v>
      </c>
      <c r="J379" s="80">
        <f t="shared" si="2"/>
        <v>97640490</v>
      </c>
      <c r="K379" s="77">
        <f t="shared" si="3"/>
        <v>9</v>
      </c>
    </row>
    <row r="380" ht="15.75" customHeight="1">
      <c r="A380" s="99">
        <v>45196.0</v>
      </c>
      <c r="B380" s="74"/>
      <c r="C380" s="87"/>
      <c r="D380" s="71"/>
      <c r="E380" s="102" t="s">
        <v>574</v>
      </c>
      <c r="F380" s="73" t="s">
        <v>21</v>
      </c>
      <c r="G380" s="74"/>
      <c r="H380" s="95">
        <v>1000000.0</v>
      </c>
      <c r="I380" s="95">
        <v>0.0</v>
      </c>
      <c r="J380" s="80">
        <f t="shared" si="2"/>
        <v>98640490</v>
      </c>
      <c r="K380" s="77">
        <f t="shared" si="3"/>
        <v>9</v>
      </c>
    </row>
    <row r="381" ht="15.75" customHeight="1">
      <c r="A381" s="99">
        <v>45196.0</v>
      </c>
      <c r="B381" s="74"/>
      <c r="C381" s="87"/>
      <c r="D381" s="71"/>
      <c r="E381" s="102" t="s">
        <v>575</v>
      </c>
      <c r="F381" s="73" t="s">
        <v>315</v>
      </c>
      <c r="G381" s="74"/>
      <c r="H381" s="95">
        <v>0.0</v>
      </c>
      <c r="I381" s="95">
        <v>5400000.0</v>
      </c>
      <c r="J381" s="80">
        <f t="shared" si="2"/>
        <v>93240490</v>
      </c>
      <c r="K381" s="77">
        <f t="shared" si="3"/>
        <v>9</v>
      </c>
    </row>
    <row r="382" ht="15.75" customHeight="1">
      <c r="A382" s="99">
        <v>45196.0</v>
      </c>
      <c r="B382" s="74"/>
      <c r="C382" s="87"/>
      <c r="D382" s="71"/>
      <c r="E382" s="102" t="s">
        <v>576</v>
      </c>
      <c r="F382" s="73" t="s">
        <v>21</v>
      </c>
      <c r="G382" s="74"/>
      <c r="H382" s="95">
        <v>1500000.0</v>
      </c>
      <c r="I382" s="95">
        <v>0.0</v>
      </c>
      <c r="J382" s="80">
        <f t="shared" si="2"/>
        <v>94740490</v>
      </c>
      <c r="K382" s="77">
        <f t="shared" si="3"/>
        <v>9</v>
      </c>
    </row>
    <row r="383" ht="15.75" customHeight="1">
      <c r="A383" s="99">
        <v>45196.0</v>
      </c>
      <c r="B383" s="74"/>
      <c r="C383" s="87"/>
      <c r="D383" s="84" t="s">
        <v>247</v>
      </c>
      <c r="E383" s="102" t="s">
        <v>339</v>
      </c>
      <c r="F383" s="73" t="s">
        <v>307</v>
      </c>
      <c r="G383" s="74"/>
      <c r="H383" s="95">
        <v>0.0</v>
      </c>
      <c r="I383" s="95">
        <v>2900.0</v>
      </c>
      <c r="J383" s="80">
        <f t="shared" si="2"/>
        <v>94737590</v>
      </c>
      <c r="K383" s="77">
        <f t="shared" si="3"/>
        <v>9</v>
      </c>
    </row>
    <row r="384" ht="15.75" customHeight="1">
      <c r="A384" s="99">
        <v>45196.0</v>
      </c>
      <c r="B384" s="74"/>
      <c r="C384" s="87"/>
      <c r="D384" s="84" t="s">
        <v>247</v>
      </c>
      <c r="E384" s="102" t="s">
        <v>340</v>
      </c>
      <c r="F384" s="73" t="s">
        <v>307</v>
      </c>
      <c r="G384" s="74"/>
      <c r="H384" s="95">
        <v>0.0</v>
      </c>
      <c r="I384" s="95">
        <v>31900.0</v>
      </c>
      <c r="J384" s="80">
        <f t="shared" si="2"/>
        <v>94705690</v>
      </c>
      <c r="K384" s="77">
        <f t="shared" si="3"/>
        <v>9</v>
      </c>
    </row>
    <row r="385" ht="15.75" customHeight="1">
      <c r="A385" s="99">
        <v>45196.0</v>
      </c>
      <c r="B385" s="74"/>
      <c r="C385" s="87"/>
      <c r="D385" s="84" t="s">
        <v>247</v>
      </c>
      <c r="E385" s="102" t="s">
        <v>341</v>
      </c>
      <c r="F385" s="73" t="s">
        <v>307</v>
      </c>
      <c r="G385" s="74"/>
      <c r="H385" s="95">
        <v>0.0</v>
      </c>
      <c r="I385" s="95">
        <v>2900.0</v>
      </c>
      <c r="J385" s="80">
        <f t="shared" si="2"/>
        <v>94702790</v>
      </c>
      <c r="K385" s="77">
        <f t="shared" si="3"/>
        <v>9</v>
      </c>
    </row>
    <row r="386" ht="15.75" customHeight="1">
      <c r="A386" s="99">
        <v>45196.0</v>
      </c>
      <c r="B386" s="74"/>
      <c r="C386" s="87"/>
      <c r="D386" s="84" t="s">
        <v>247</v>
      </c>
      <c r="E386" s="102" t="s">
        <v>342</v>
      </c>
      <c r="F386" s="73" t="s">
        <v>307</v>
      </c>
      <c r="G386" s="74"/>
      <c r="H386" s="95">
        <v>0.0</v>
      </c>
      <c r="I386" s="95">
        <v>0.0</v>
      </c>
      <c r="J386" s="80">
        <f t="shared" si="2"/>
        <v>94702790</v>
      </c>
      <c r="K386" s="77">
        <f t="shared" si="3"/>
        <v>9</v>
      </c>
    </row>
    <row r="387" ht="15.75" customHeight="1">
      <c r="A387" s="99">
        <v>45196.0</v>
      </c>
      <c r="B387" s="74"/>
      <c r="C387" s="87"/>
      <c r="D387" s="84" t="s">
        <v>247</v>
      </c>
      <c r="E387" s="102" t="s">
        <v>343</v>
      </c>
      <c r="F387" s="73" t="s">
        <v>307</v>
      </c>
      <c r="G387" s="74"/>
      <c r="H387" s="95">
        <v>0.0</v>
      </c>
      <c r="I387" s="95">
        <v>0.0</v>
      </c>
      <c r="J387" s="80">
        <f t="shared" si="2"/>
        <v>94702790</v>
      </c>
      <c r="K387" s="77">
        <f t="shared" si="3"/>
        <v>9</v>
      </c>
    </row>
    <row r="388" ht="15.75" customHeight="1">
      <c r="A388" s="99">
        <v>45196.0</v>
      </c>
      <c r="B388" s="74"/>
      <c r="C388" s="87"/>
      <c r="D388" s="86"/>
      <c r="E388" s="102" t="s">
        <v>577</v>
      </c>
      <c r="F388" s="73" t="s">
        <v>325</v>
      </c>
      <c r="G388" s="74"/>
      <c r="H388" s="95">
        <v>0.0</v>
      </c>
      <c r="I388" s="95">
        <v>4400000.0</v>
      </c>
      <c r="J388" s="80">
        <f t="shared" si="2"/>
        <v>90302790</v>
      </c>
      <c r="K388" s="77">
        <f t="shared" si="3"/>
        <v>9</v>
      </c>
    </row>
    <row r="389" ht="15.75" customHeight="1">
      <c r="A389" s="99">
        <v>45199.0</v>
      </c>
      <c r="B389" s="74"/>
      <c r="C389" s="87"/>
      <c r="D389" s="84" t="s">
        <v>247</v>
      </c>
      <c r="E389" s="102" t="s">
        <v>360</v>
      </c>
      <c r="F389" s="73" t="s">
        <v>361</v>
      </c>
      <c r="G389" s="74"/>
      <c r="H389" s="95">
        <v>0.0</v>
      </c>
      <c r="I389" s="95">
        <v>30000.0</v>
      </c>
      <c r="J389" s="80">
        <f t="shared" si="2"/>
        <v>90272790</v>
      </c>
      <c r="K389" s="77">
        <f t="shared" si="3"/>
        <v>9</v>
      </c>
    </row>
    <row r="390" ht="15.75" customHeight="1">
      <c r="A390" s="99">
        <v>45200.0</v>
      </c>
      <c r="B390" s="74"/>
      <c r="C390" s="87"/>
      <c r="D390" s="86"/>
      <c r="E390" s="102" t="s">
        <v>578</v>
      </c>
      <c r="F390" s="73" t="s">
        <v>305</v>
      </c>
      <c r="G390" s="74"/>
      <c r="H390" s="95">
        <v>0.0</v>
      </c>
      <c r="I390" s="95">
        <v>2500000.0</v>
      </c>
      <c r="J390" s="80">
        <f t="shared" si="2"/>
        <v>87772790</v>
      </c>
      <c r="K390" s="77">
        <f t="shared" si="3"/>
        <v>10</v>
      </c>
    </row>
    <row r="391" ht="15.75" customHeight="1">
      <c r="A391" s="99">
        <v>45200.0</v>
      </c>
      <c r="B391" s="74"/>
      <c r="C391" s="87"/>
      <c r="D391" s="84" t="s">
        <v>247</v>
      </c>
      <c r="E391" s="102" t="s">
        <v>306</v>
      </c>
      <c r="F391" s="73" t="s">
        <v>307</v>
      </c>
      <c r="G391" s="74"/>
      <c r="H391" s="95">
        <v>0.0</v>
      </c>
      <c r="I391" s="95">
        <v>2500.0</v>
      </c>
      <c r="J391" s="80">
        <f t="shared" si="2"/>
        <v>87770290</v>
      </c>
      <c r="K391" s="77">
        <f t="shared" si="3"/>
        <v>10</v>
      </c>
    </row>
    <row r="392" ht="15.75" customHeight="1">
      <c r="A392" s="99">
        <v>45201.0</v>
      </c>
      <c r="B392" s="74"/>
      <c r="C392" s="87"/>
      <c r="D392" s="86"/>
      <c r="E392" s="102" t="s">
        <v>491</v>
      </c>
      <c r="F392" s="73" t="s">
        <v>288</v>
      </c>
      <c r="G392" s="74"/>
      <c r="H392" s="95">
        <v>0.0</v>
      </c>
      <c r="I392" s="95">
        <v>1.05E7</v>
      </c>
      <c r="J392" s="80">
        <f t="shared" si="2"/>
        <v>77270290</v>
      </c>
      <c r="K392" s="77">
        <f t="shared" si="3"/>
        <v>10</v>
      </c>
    </row>
    <row r="393" ht="15.75" customHeight="1">
      <c r="A393" s="99">
        <v>45201.0</v>
      </c>
      <c r="B393" s="74"/>
      <c r="C393" s="87"/>
      <c r="D393" s="86"/>
      <c r="E393" s="102" t="s">
        <v>579</v>
      </c>
      <c r="F393" s="73" t="s">
        <v>290</v>
      </c>
      <c r="G393" s="74"/>
      <c r="H393" s="95">
        <v>0.0</v>
      </c>
      <c r="I393" s="95">
        <v>209250.0</v>
      </c>
      <c r="J393" s="80">
        <f t="shared" si="2"/>
        <v>77061040</v>
      </c>
      <c r="K393" s="77">
        <f t="shared" si="3"/>
        <v>10</v>
      </c>
    </row>
    <row r="394" ht="15.75" customHeight="1">
      <c r="A394" s="99">
        <v>45215.0</v>
      </c>
      <c r="B394" s="74"/>
      <c r="C394" s="87"/>
      <c r="D394" s="86"/>
      <c r="E394" s="102" t="s">
        <v>577</v>
      </c>
      <c r="F394" s="73" t="s">
        <v>21</v>
      </c>
      <c r="G394" s="74"/>
      <c r="H394" s="95">
        <v>4400000.0</v>
      </c>
      <c r="I394" s="95">
        <v>0.0</v>
      </c>
      <c r="J394" s="80">
        <f t="shared" si="2"/>
        <v>81461040</v>
      </c>
      <c r="K394" s="77">
        <f t="shared" si="3"/>
        <v>10</v>
      </c>
    </row>
    <row r="395" ht="15.75" customHeight="1">
      <c r="A395" s="99">
        <v>45222.0</v>
      </c>
      <c r="B395" s="74"/>
      <c r="C395" s="87"/>
      <c r="D395" s="86"/>
      <c r="E395" s="102" t="s">
        <v>580</v>
      </c>
      <c r="F395" s="73" t="s">
        <v>581</v>
      </c>
      <c r="G395" s="74"/>
      <c r="H395" s="95">
        <v>0.0</v>
      </c>
      <c r="I395" s="95">
        <v>800910.0</v>
      </c>
      <c r="J395" s="80">
        <f t="shared" si="2"/>
        <v>80660130</v>
      </c>
      <c r="K395" s="77">
        <f t="shared" si="3"/>
        <v>10</v>
      </c>
    </row>
    <row r="396" ht="15.75" customHeight="1">
      <c r="A396" s="99">
        <v>45222.0</v>
      </c>
      <c r="B396" s="74"/>
      <c r="C396" s="87"/>
      <c r="D396" s="84" t="s">
        <v>247</v>
      </c>
      <c r="E396" s="102" t="s">
        <v>306</v>
      </c>
      <c r="F396" s="73" t="s">
        <v>307</v>
      </c>
      <c r="G396" s="74"/>
      <c r="H396" s="95">
        <v>0.0</v>
      </c>
      <c r="I396" s="95">
        <v>2500.0</v>
      </c>
      <c r="J396" s="80">
        <f t="shared" si="2"/>
        <v>80657630</v>
      </c>
      <c r="K396" s="77">
        <f t="shared" si="3"/>
        <v>10</v>
      </c>
    </row>
    <row r="397" ht="15.75" customHeight="1">
      <c r="A397" s="99">
        <v>45222.0</v>
      </c>
      <c r="B397" s="74"/>
      <c r="C397" s="87"/>
      <c r="D397" s="86"/>
      <c r="E397" s="102" t="s">
        <v>295</v>
      </c>
      <c r="F397" s="73" t="s">
        <v>21</v>
      </c>
      <c r="G397" s="74"/>
      <c r="H397" s="95">
        <v>2.5E8</v>
      </c>
      <c r="I397" s="95">
        <v>0.0</v>
      </c>
      <c r="J397" s="80">
        <f t="shared" si="2"/>
        <v>330657630</v>
      </c>
      <c r="K397" s="77">
        <f t="shared" si="3"/>
        <v>10</v>
      </c>
    </row>
    <row r="398" ht="15.75" customHeight="1">
      <c r="A398" s="99">
        <v>45229.0</v>
      </c>
      <c r="B398" s="74"/>
      <c r="C398" s="87"/>
      <c r="D398" s="71"/>
      <c r="E398" s="102" t="s">
        <v>582</v>
      </c>
      <c r="F398" s="73" t="s">
        <v>315</v>
      </c>
      <c r="G398" s="74"/>
      <c r="H398" s="95">
        <v>0.0</v>
      </c>
      <c r="I398" s="95">
        <v>9350000.0</v>
      </c>
      <c r="J398" s="80">
        <f t="shared" si="2"/>
        <v>321307630</v>
      </c>
      <c r="K398" s="77">
        <f t="shared" si="3"/>
        <v>10</v>
      </c>
    </row>
    <row r="399" ht="15.75" customHeight="1">
      <c r="A399" s="99">
        <v>45229.0</v>
      </c>
      <c r="B399" s="74"/>
      <c r="C399" s="87"/>
      <c r="D399" s="86"/>
      <c r="E399" s="102" t="s">
        <v>583</v>
      </c>
      <c r="F399" s="73" t="s">
        <v>317</v>
      </c>
      <c r="G399" s="74"/>
      <c r="H399" s="95">
        <v>0.0</v>
      </c>
      <c r="I399" s="95">
        <v>300000.0</v>
      </c>
      <c r="J399" s="80">
        <f t="shared" si="2"/>
        <v>321007630</v>
      </c>
      <c r="K399" s="77">
        <f t="shared" si="3"/>
        <v>10</v>
      </c>
    </row>
    <row r="400" ht="15.75" customHeight="1">
      <c r="A400" s="99">
        <v>45229.0</v>
      </c>
      <c r="B400" s="74"/>
      <c r="C400" s="87"/>
      <c r="D400" s="86"/>
      <c r="E400" s="102" t="s">
        <v>584</v>
      </c>
      <c r="F400" s="73" t="s">
        <v>21</v>
      </c>
      <c r="G400" s="74"/>
      <c r="H400" s="95">
        <v>4000000.0</v>
      </c>
      <c r="I400" s="95">
        <v>0.0</v>
      </c>
      <c r="J400" s="80">
        <f t="shared" si="2"/>
        <v>325007630</v>
      </c>
      <c r="K400" s="77">
        <f t="shared" si="3"/>
        <v>10</v>
      </c>
    </row>
    <row r="401" ht="15.75" customHeight="1">
      <c r="A401" s="99">
        <v>45229.0</v>
      </c>
      <c r="B401" s="74"/>
      <c r="C401" s="87"/>
      <c r="D401" s="86"/>
      <c r="E401" s="102" t="s">
        <v>319</v>
      </c>
      <c r="F401" s="73" t="s">
        <v>321</v>
      </c>
      <c r="G401" s="74"/>
      <c r="H401" s="95">
        <v>0.0</v>
      </c>
      <c r="I401" s="95">
        <v>7000000.0</v>
      </c>
      <c r="J401" s="80">
        <f t="shared" si="2"/>
        <v>318007630</v>
      </c>
      <c r="K401" s="77">
        <f t="shared" si="3"/>
        <v>10</v>
      </c>
    </row>
    <row r="402" ht="15.75" customHeight="1">
      <c r="A402" s="99">
        <v>45229.0</v>
      </c>
      <c r="B402" s="74"/>
      <c r="C402" s="87"/>
      <c r="D402" s="86"/>
      <c r="E402" s="102" t="s">
        <v>319</v>
      </c>
      <c r="F402" s="73" t="s">
        <v>320</v>
      </c>
      <c r="G402" s="74"/>
      <c r="H402" s="95">
        <v>0.0</v>
      </c>
      <c r="I402" s="95">
        <v>8000000.0</v>
      </c>
      <c r="J402" s="80">
        <f t="shared" si="2"/>
        <v>310007630</v>
      </c>
      <c r="K402" s="77">
        <f t="shared" si="3"/>
        <v>10</v>
      </c>
    </row>
    <row r="403" ht="15.75" customHeight="1">
      <c r="A403" s="99">
        <v>45229.0</v>
      </c>
      <c r="B403" s="74"/>
      <c r="C403" s="87"/>
      <c r="D403" s="86"/>
      <c r="E403" s="102" t="s">
        <v>585</v>
      </c>
      <c r="F403" s="73" t="s">
        <v>315</v>
      </c>
      <c r="G403" s="74"/>
      <c r="H403" s="95">
        <v>0.0</v>
      </c>
      <c r="I403" s="95">
        <v>9800000.0</v>
      </c>
      <c r="J403" s="80">
        <f t="shared" si="2"/>
        <v>300207630</v>
      </c>
      <c r="K403" s="77">
        <f t="shared" si="3"/>
        <v>10</v>
      </c>
    </row>
    <row r="404" ht="15.75" customHeight="1">
      <c r="A404" s="99">
        <v>45229.0</v>
      </c>
      <c r="B404" s="74"/>
      <c r="C404" s="87"/>
      <c r="D404" s="86"/>
      <c r="E404" s="102" t="s">
        <v>586</v>
      </c>
      <c r="F404" s="73" t="s">
        <v>317</v>
      </c>
      <c r="G404" s="74"/>
      <c r="H404" s="95">
        <v>0.0</v>
      </c>
      <c r="I404" s="95">
        <v>0.0</v>
      </c>
      <c r="J404" s="80">
        <f t="shared" si="2"/>
        <v>300207630</v>
      </c>
      <c r="K404" s="77">
        <f t="shared" si="3"/>
        <v>10</v>
      </c>
    </row>
    <row r="405" ht="15.75" customHeight="1">
      <c r="A405" s="99">
        <v>45229.0</v>
      </c>
      <c r="B405" s="74"/>
      <c r="C405" s="87"/>
      <c r="D405" s="86"/>
      <c r="E405" s="102" t="s">
        <v>587</v>
      </c>
      <c r="F405" s="73" t="s">
        <v>21</v>
      </c>
      <c r="G405" s="74"/>
      <c r="H405" s="95">
        <v>500000.0</v>
      </c>
      <c r="I405" s="95">
        <v>0.0</v>
      </c>
      <c r="J405" s="80">
        <f t="shared" si="2"/>
        <v>300707630</v>
      </c>
      <c r="K405" s="77">
        <f t="shared" si="3"/>
        <v>10</v>
      </c>
    </row>
    <row r="406" ht="15.75" customHeight="1">
      <c r="A406" s="99">
        <v>45229.0</v>
      </c>
      <c r="B406" s="74"/>
      <c r="C406" s="87"/>
      <c r="D406" s="86"/>
      <c r="E406" s="102" t="s">
        <v>588</v>
      </c>
      <c r="F406" s="73" t="s">
        <v>327</v>
      </c>
      <c r="G406" s="74"/>
      <c r="H406" s="95">
        <v>0.0</v>
      </c>
      <c r="I406" s="95">
        <v>5.085E7</v>
      </c>
      <c r="J406" s="80">
        <f t="shared" si="2"/>
        <v>249857630</v>
      </c>
      <c r="K406" s="77">
        <f t="shared" si="3"/>
        <v>10</v>
      </c>
    </row>
    <row r="407" ht="15.75" customHeight="1">
      <c r="A407" s="99">
        <v>45229.0</v>
      </c>
      <c r="B407" s="74"/>
      <c r="C407" s="87"/>
      <c r="D407" s="71"/>
      <c r="E407" s="102" t="s">
        <v>589</v>
      </c>
      <c r="F407" s="73" t="s">
        <v>329</v>
      </c>
      <c r="G407" s="74"/>
      <c r="H407" s="95">
        <v>0.0</v>
      </c>
      <c r="I407" s="95">
        <v>4400000.0</v>
      </c>
      <c r="J407" s="80">
        <f t="shared" si="2"/>
        <v>245457630</v>
      </c>
      <c r="K407" s="77">
        <f t="shared" si="3"/>
        <v>10</v>
      </c>
    </row>
    <row r="408" ht="15.75" customHeight="1">
      <c r="A408" s="99">
        <v>45229.0</v>
      </c>
      <c r="B408" s="74"/>
      <c r="C408" s="87"/>
      <c r="D408" s="86"/>
      <c r="E408" s="102" t="s">
        <v>590</v>
      </c>
      <c r="F408" s="73" t="s">
        <v>457</v>
      </c>
      <c r="G408" s="74"/>
      <c r="H408" s="95">
        <v>0.0</v>
      </c>
      <c r="I408" s="95">
        <v>7950000.0</v>
      </c>
      <c r="J408" s="80">
        <f t="shared" si="2"/>
        <v>237507630</v>
      </c>
      <c r="K408" s="77">
        <f t="shared" si="3"/>
        <v>10</v>
      </c>
    </row>
    <row r="409" ht="15.75" customHeight="1">
      <c r="A409" s="99">
        <v>45229.0</v>
      </c>
      <c r="B409" s="74"/>
      <c r="C409" s="87"/>
      <c r="D409" s="71"/>
      <c r="E409" s="102" t="s">
        <v>591</v>
      </c>
      <c r="F409" s="73" t="s">
        <v>532</v>
      </c>
      <c r="G409" s="74"/>
      <c r="H409" s="95">
        <v>0.0</v>
      </c>
      <c r="I409" s="95">
        <v>1.975E7</v>
      </c>
      <c r="J409" s="80">
        <f t="shared" si="2"/>
        <v>217757630</v>
      </c>
      <c r="K409" s="77">
        <f t="shared" si="3"/>
        <v>10</v>
      </c>
    </row>
    <row r="410" ht="15.75" customHeight="1">
      <c r="A410" s="99">
        <v>45229.0</v>
      </c>
      <c r="B410" s="74"/>
      <c r="C410" s="87"/>
      <c r="D410" s="71"/>
      <c r="E410" s="102" t="s">
        <v>592</v>
      </c>
      <c r="F410" s="73" t="s">
        <v>21</v>
      </c>
      <c r="G410" s="74"/>
      <c r="H410" s="95">
        <v>1400000.0</v>
      </c>
      <c r="I410" s="95">
        <v>0.0</v>
      </c>
      <c r="J410" s="80">
        <f t="shared" si="2"/>
        <v>219157630</v>
      </c>
      <c r="K410" s="77">
        <f t="shared" si="3"/>
        <v>10</v>
      </c>
    </row>
    <row r="411" ht="15.75" customHeight="1">
      <c r="A411" s="99">
        <v>45229.0</v>
      </c>
      <c r="B411" s="74"/>
      <c r="C411" s="87"/>
      <c r="D411" s="86"/>
      <c r="E411" s="102" t="s">
        <v>593</v>
      </c>
      <c r="F411" s="73" t="s">
        <v>315</v>
      </c>
      <c r="G411" s="74"/>
      <c r="H411" s="95">
        <v>0.0</v>
      </c>
      <c r="I411" s="95">
        <v>1.305E7</v>
      </c>
      <c r="J411" s="80">
        <f t="shared" si="2"/>
        <v>206107630</v>
      </c>
      <c r="K411" s="77">
        <f t="shared" si="3"/>
        <v>10</v>
      </c>
    </row>
    <row r="412" ht="15.75" customHeight="1">
      <c r="A412" s="99">
        <v>45229.0</v>
      </c>
      <c r="B412" s="74"/>
      <c r="C412" s="87"/>
      <c r="D412" s="86"/>
      <c r="E412" s="102" t="s">
        <v>594</v>
      </c>
      <c r="F412" s="73" t="s">
        <v>325</v>
      </c>
      <c r="G412" s="74"/>
      <c r="H412" s="95">
        <v>0.0</v>
      </c>
      <c r="I412" s="95">
        <v>3400000.0</v>
      </c>
      <c r="J412" s="80">
        <f t="shared" si="2"/>
        <v>202707630</v>
      </c>
      <c r="K412" s="77">
        <f t="shared" si="3"/>
        <v>10</v>
      </c>
    </row>
    <row r="413" ht="15.75" customHeight="1">
      <c r="A413" s="99">
        <v>45229.0</v>
      </c>
      <c r="B413" s="74"/>
      <c r="C413" s="87"/>
      <c r="D413" s="86"/>
      <c r="E413" s="102" t="s">
        <v>595</v>
      </c>
      <c r="F413" s="73" t="s">
        <v>315</v>
      </c>
      <c r="G413" s="74"/>
      <c r="H413" s="95">
        <v>0.0</v>
      </c>
      <c r="I413" s="95">
        <v>7000000.0</v>
      </c>
      <c r="J413" s="80">
        <f t="shared" si="2"/>
        <v>195707630</v>
      </c>
      <c r="K413" s="77">
        <f t="shared" si="3"/>
        <v>10</v>
      </c>
    </row>
    <row r="414" ht="15.75" customHeight="1">
      <c r="A414" s="99">
        <v>45229.0</v>
      </c>
      <c r="B414" s="74"/>
      <c r="C414" s="87"/>
      <c r="D414" s="86"/>
      <c r="E414" s="102" t="s">
        <v>596</v>
      </c>
      <c r="F414" s="73" t="s">
        <v>21</v>
      </c>
      <c r="G414" s="74"/>
      <c r="H414" s="95">
        <v>1000000.0</v>
      </c>
      <c r="I414" s="95">
        <v>0.0</v>
      </c>
      <c r="J414" s="80">
        <f t="shared" si="2"/>
        <v>196707630</v>
      </c>
      <c r="K414" s="77">
        <f t="shared" si="3"/>
        <v>10</v>
      </c>
    </row>
    <row r="415" ht="15.75" customHeight="1">
      <c r="A415" s="99">
        <v>45229.0</v>
      </c>
      <c r="B415" s="74"/>
      <c r="C415" s="87"/>
      <c r="D415" s="71"/>
      <c r="E415" s="102" t="s">
        <v>597</v>
      </c>
      <c r="F415" s="73" t="s">
        <v>315</v>
      </c>
      <c r="G415" s="74"/>
      <c r="H415" s="95">
        <v>0.0</v>
      </c>
      <c r="I415" s="95">
        <v>5400000.0</v>
      </c>
      <c r="J415" s="80">
        <f t="shared" si="2"/>
        <v>191307630</v>
      </c>
      <c r="K415" s="77">
        <f t="shared" si="3"/>
        <v>10</v>
      </c>
    </row>
    <row r="416" ht="15.75" customHeight="1">
      <c r="A416" s="99">
        <v>45229.0</v>
      </c>
      <c r="B416" s="74"/>
      <c r="C416" s="87"/>
      <c r="D416" s="86"/>
      <c r="E416" s="102" t="s">
        <v>598</v>
      </c>
      <c r="F416" s="73" t="s">
        <v>21</v>
      </c>
      <c r="G416" s="74"/>
      <c r="H416" s="95">
        <v>1500000.0</v>
      </c>
      <c r="I416" s="95">
        <v>0.0</v>
      </c>
      <c r="J416" s="80">
        <f t="shared" si="2"/>
        <v>192807630</v>
      </c>
      <c r="K416" s="77">
        <f t="shared" si="3"/>
        <v>10</v>
      </c>
    </row>
    <row r="417" ht="15.75" customHeight="1">
      <c r="A417" s="99">
        <v>45229.0</v>
      </c>
      <c r="B417" s="74"/>
      <c r="C417" s="87"/>
      <c r="D417" s="84" t="s">
        <v>247</v>
      </c>
      <c r="E417" s="102" t="s">
        <v>339</v>
      </c>
      <c r="F417" s="73" t="s">
        <v>307</v>
      </c>
      <c r="G417" s="74"/>
      <c r="H417" s="95">
        <v>0.0</v>
      </c>
      <c r="I417" s="95">
        <v>2900.0</v>
      </c>
      <c r="J417" s="80">
        <f t="shared" si="2"/>
        <v>192804730</v>
      </c>
      <c r="K417" s="77">
        <f t="shared" si="3"/>
        <v>10</v>
      </c>
    </row>
    <row r="418" ht="15.75" customHeight="1">
      <c r="A418" s="99">
        <v>45229.0</v>
      </c>
      <c r="B418" s="74"/>
      <c r="C418" s="87"/>
      <c r="D418" s="84" t="s">
        <v>247</v>
      </c>
      <c r="E418" s="102" t="s">
        <v>340</v>
      </c>
      <c r="F418" s="73" t="s">
        <v>307</v>
      </c>
      <c r="G418" s="74"/>
      <c r="H418" s="95">
        <v>0.0</v>
      </c>
      <c r="I418" s="95">
        <v>37700.0</v>
      </c>
      <c r="J418" s="80">
        <f t="shared" si="2"/>
        <v>192767030</v>
      </c>
      <c r="K418" s="77">
        <f t="shared" si="3"/>
        <v>10</v>
      </c>
    </row>
    <row r="419" ht="15.75" customHeight="1">
      <c r="A419" s="99">
        <v>45229.0</v>
      </c>
      <c r="B419" s="74"/>
      <c r="C419" s="87"/>
      <c r="D419" s="84" t="s">
        <v>247</v>
      </c>
      <c r="E419" s="102" t="s">
        <v>341</v>
      </c>
      <c r="F419" s="73" t="s">
        <v>307</v>
      </c>
      <c r="G419" s="74"/>
      <c r="H419" s="95">
        <v>0.0</v>
      </c>
      <c r="I419" s="95">
        <v>2900.0</v>
      </c>
      <c r="J419" s="80">
        <f t="shared" si="2"/>
        <v>192764130</v>
      </c>
      <c r="K419" s="77">
        <f t="shared" si="3"/>
        <v>10</v>
      </c>
    </row>
    <row r="420" ht="15.75" customHeight="1">
      <c r="A420" s="99">
        <v>45229.0</v>
      </c>
      <c r="B420" s="74"/>
      <c r="C420" s="87"/>
      <c r="D420" s="84" t="s">
        <v>247</v>
      </c>
      <c r="E420" s="102" t="s">
        <v>342</v>
      </c>
      <c r="F420" s="73" t="s">
        <v>307</v>
      </c>
      <c r="G420" s="74"/>
      <c r="H420" s="95">
        <v>0.0</v>
      </c>
      <c r="I420" s="95">
        <v>0.0</v>
      </c>
      <c r="J420" s="80">
        <f t="shared" si="2"/>
        <v>192764130</v>
      </c>
      <c r="K420" s="77">
        <f t="shared" si="3"/>
        <v>10</v>
      </c>
    </row>
    <row r="421" ht="15.75" customHeight="1">
      <c r="A421" s="99">
        <v>45229.0</v>
      </c>
      <c r="B421" s="74"/>
      <c r="C421" s="87"/>
      <c r="D421" s="84" t="s">
        <v>247</v>
      </c>
      <c r="E421" s="102" t="s">
        <v>343</v>
      </c>
      <c r="F421" s="73" t="s">
        <v>307</v>
      </c>
      <c r="G421" s="74"/>
      <c r="H421" s="95">
        <v>0.0</v>
      </c>
      <c r="I421" s="95">
        <v>0.0</v>
      </c>
      <c r="J421" s="80">
        <f t="shared" si="2"/>
        <v>192764130</v>
      </c>
      <c r="K421" s="77">
        <f t="shared" si="3"/>
        <v>10</v>
      </c>
    </row>
    <row r="422" ht="15.75" customHeight="1">
      <c r="A422" s="99">
        <v>45229.0</v>
      </c>
      <c r="B422" s="74"/>
      <c r="C422" s="87"/>
      <c r="D422" s="71"/>
      <c r="E422" s="102" t="s">
        <v>588</v>
      </c>
      <c r="F422" s="73" t="s">
        <v>21</v>
      </c>
      <c r="G422" s="74"/>
      <c r="H422" s="95">
        <v>2400000.0</v>
      </c>
      <c r="I422" s="95">
        <v>0.0</v>
      </c>
      <c r="J422" s="80">
        <f t="shared" si="2"/>
        <v>195164130</v>
      </c>
      <c r="K422" s="77">
        <f t="shared" si="3"/>
        <v>10</v>
      </c>
    </row>
    <row r="423" ht="15.75" customHeight="1">
      <c r="A423" s="99">
        <v>45230.0</v>
      </c>
      <c r="B423" s="74"/>
      <c r="C423" s="87"/>
      <c r="D423" s="84" t="s">
        <v>247</v>
      </c>
      <c r="E423" s="102" t="s">
        <v>360</v>
      </c>
      <c r="F423" s="73" t="s">
        <v>361</v>
      </c>
      <c r="G423" s="74"/>
      <c r="H423" s="95">
        <v>0.0</v>
      </c>
      <c r="I423" s="95">
        <v>30000.0</v>
      </c>
      <c r="J423" s="80">
        <f t="shared" si="2"/>
        <v>195134130</v>
      </c>
      <c r="K423" s="77">
        <f t="shared" si="3"/>
        <v>10</v>
      </c>
    </row>
    <row r="424" ht="15.75" customHeight="1">
      <c r="A424" s="99">
        <v>45232.0</v>
      </c>
      <c r="B424" s="74"/>
      <c r="C424" s="87"/>
      <c r="D424" s="86"/>
      <c r="E424" s="102" t="s">
        <v>599</v>
      </c>
      <c r="F424" s="73" t="s">
        <v>288</v>
      </c>
      <c r="G424" s="74"/>
      <c r="H424" s="95">
        <v>0.0</v>
      </c>
      <c r="I424" s="95">
        <v>1.05E7</v>
      </c>
      <c r="J424" s="80">
        <f t="shared" si="2"/>
        <v>184634130</v>
      </c>
      <c r="K424" s="77">
        <f t="shared" si="3"/>
        <v>11</v>
      </c>
    </row>
    <row r="425" ht="15.75" customHeight="1">
      <c r="A425" s="99">
        <v>45232.0</v>
      </c>
      <c r="B425" s="74"/>
      <c r="C425" s="87"/>
      <c r="D425" s="86"/>
      <c r="E425" s="102" t="s">
        <v>600</v>
      </c>
      <c r="F425" s="73" t="s">
        <v>21</v>
      </c>
      <c r="G425" s="74"/>
      <c r="H425" s="95">
        <v>1000000.0</v>
      </c>
      <c r="I425" s="95">
        <v>0.0</v>
      </c>
      <c r="J425" s="80">
        <f t="shared" si="2"/>
        <v>185634130</v>
      </c>
      <c r="K425" s="77">
        <f t="shared" si="3"/>
        <v>11</v>
      </c>
    </row>
    <row r="426" ht="15.75" customHeight="1">
      <c r="A426" s="99">
        <v>45236.0</v>
      </c>
      <c r="B426" s="74"/>
      <c r="C426" s="87"/>
      <c r="D426" s="86"/>
      <c r="E426" s="102" t="s">
        <v>601</v>
      </c>
      <c r="F426" s="73" t="s">
        <v>373</v>
      </c>
      <c r="G426" s="74"/>
      <c r="H426" s="95">
        <v>0.0</v>
      </c>
      <c r="I426" s="95">
        <v>7.8975E7</v>
      </c>
      <c r="J426" s="80">
        <f t="shared" si="2"/>
        <v>106659130</v>
      </c>
      <c r="K426" s="77">
        <f t="shared" si="3"/>
        <v>11</v>
      </c>
    </row>
    <row r="427" ht="15.75" customHeight="1">
      <c r="A427" s="99">
        <v>45236.0</v>
      </c>
      <c r="B427" s="74"/>
      <c r="C427" s="87"/>
      <c r="D427" s="84" t="s">
        <v>247</v>
      </c>
      <c r="E427" s="102" t="s">
        <v>306</v>
      </c>
      <c r="F427" s="73" t="s">
        <v>307</v>
      </c>
      <c r="G427" s="74"/>
      <c r="H427" s="95">
        <v>0.0</v>
      </c>
      <c r="I427" s="95">
        <v>2500.0</v>
      </c>
      <c r="J427" s="80">
        <f t="shared" si="2"/>
        <v>106656630</v>
      </c>
      <c r="K427" s="77">
        <f t="shared" si="3"/>
        <v>11</v>
      </c>
    </row>
    <row r="428" ht="15.75" customHeight="1">
      <c r="A428" s="99">
        <v>45236.0</v>
      </c>
      <c r="B428" s="74"/>
      <c r="C428" s="87"/>
      <c r="D428" s="86"/>
      <c r="E428" s="102" t="s">
        <v>602</v>
      </c>
      <c r="F428" s="73" t="s">
        <v>21</v>
      </c>
      <c r="G428" s="74"/>
      <c r="H428" s="95">
        <v>4400000.0</v>
      </c>
      <c r="I428" s="95">
        <v>0.0</v>
      </c>
      <c r="J428" s="80">
        <f t="shared" si="2"/>
        <v>111056630</v>
      </c>
      <c r="K428" s="77">
        <f t="shared" si="3"/>
        <v>11</v>
      </c>
    </row>
    <row r="429" ht="15.75" customHeight="1">
      <c r="A429" s="99">
        <v>45237.0</v>
      </c>
      <c r="B429" s="74"/>
      <c r="C429" s="87"/>
      <c r="D429" s="71"/>
      <c r="E429" s="102" t="s">
        <v>603</v>
      </c>
      <c r="F429" s="73" t="s">
        <v>490</v>
      </c>
      <c r="G429" s="74"/>
      <c r="H429" s="95">
        <v>0.0</v>
      </c>
      <c r="I429" s="95">
        <v>1.0E7</v>
      </c>
      <c r="J429" s="80">
        <f t="shared" si="2"/>
        <v>101056630</v>
      </c>
      <c r="K429" s="77">
        <f t="shared" si="3"/>
        <v>11</v>
      </c>
    </row>
    <row r="430" ht="15.75" customHeight="1">
      <c r="A430" s="99">
        <v>45237.0</v>
      </c>
      <c r="B430" s="74"/>
      <c r="C430" s="87"/>
      <c r="D430" s="84" t="s">
        <v>247</v>
      </c>
      <c r="E430" s="102" t="s">
        <v>306</v>
      </c>
      <c r="F430" s="73" t="s">
        <v>307</v>
      </c>
      <c r="G430" s="74"/>
      <c r="H430" s="95">
        <v>0.0</v>
      </c>
      <c r="I430" s="95">
        <v>2500.0</v>
      </c>
      <c r="J430" s="80">
        <f t="shared" si="2"/>
        <v>101054130</v>
      </c>
      <c r="K430" s="77">
        <f t="shared" si="3"/>
        <v>11</v>
      </c>
    </row>
    <row r="431" ht="15.75" customHeight="1">
      <c r="A431" s="99">
        <v>45243.0</v>
      </c>
      <c r="B431" s="74"/>
      <c r="C431" s="87"/>
      <c r="D431" s="86"/>
      <c r="E431" s="102" t="s">
        <v>604</v>
      </c>
      <c r="F431" s="73" t="s">
        <v>305</v>
      </c>
      <c r="G431" s="74"/>
      <c r="H431" s="95">
        <v>0.0</v>
      </c>
      <c r="I431" s="95">
        <v>7500000.0</v>
      </c>
      <c r="J431" s="80">
        <f t="shared" si="2"/>
        <v>93554130</v>
      </c>
      <c r="K431" s="77">
        <f t="shared" si="3"/>
        <v>11</v>
      </c>
    </row>
    <row r="432" ht="15.75" customHeight="1">
      <c r="A432" s="99">
        <v>45257.0</v>
      </c>
      <c r="B432" s="74"/>
      <c r="C432" s="87"/>
      <c r="D432" s="86"/>
      <c r="E432" s="102" t="s">
        <v>605</v>
      </c>
      <c r="F432" s="73" t="s">
        <v>21</v>
      </c>
      <c r="G432" s="74"/>
      <c r="H432" s="95">
        <v>1.5E8</v>
      </c>
      <c r="I432" s="95">
        <v>0.0</v>
      </c>
      <c r="J432" s="80">
        <f t="shared" si="2"/>
        <v>243554130</v>
      </c>
      <c r="K432" s="77">
        <f t="shared" si="3"/>
        <v>11</v>
      </c>
    </row>
    <row r="433" ht="15.75" customHeight="1">
      <c r="A433" s="99">
        <v>45260.0</v>
      </c>
      <c r="B433" s="74"/>
      <c r="C433" s="87"/>
      <c r="D433" s="86"/>
      <c r="E433" s="102" t="s">
        <v>606</v>
      </c>
      <c r="F433" s="73" t="s">
        <v>315</v>
      </c>
      <c r="G433" s="74"/>
      <c r="H433" s="95">
        <v>0.0</v>
      </c>
      <c r="I433" s="95">
        <v>9350000.0</v>
      </c>
      <c r="J433" s="80">
        <f t="shared" si="2"/>
        <v>234204130</v>
      </c>
      <c r="K433" s="77">
        <f t="shared" si="3"/>
        <v>11</v>
      </c>
    </row>
    <row r="434" ht="15.75" customHeight="1">
      <c r="A434" s="99">
        <v>45260.0</v>
      </c>
      <c r="B434" s="74"/>
      <c r="C434" s="87"/>
      <c r="D434" s="71"/>
      <c r="E434" s="102" t="s">
        <v>607</v>
      </c>
      <c r="F434" s="73" t="s">
        <v>317</v>
      </c>
      <c r="G434" s="74"/>
      <c r="H434" s="95">
        <v>0.0</v>
      </c>
      <c r="I434" s="95">
        <v>300000.0</v>
      </c>
      <c r="J434" s="80">
        <f t="shared" si="2"/>
        <v>233904130</v>
      </c>
      <c r="K434" s="77">
        <f t="shared" si="3"/>
        <v>11</v>
      </c>
    </row>
    <row r="435" ht="15.75" customHeight="1">
      <c r="A435" s="99">
        <v>45260.0</v>
      </c>
      <c r="B435" s="74"/>
      <c r="C435" s="87"/>
      <c r="D435" s="86"/>
      <c r="E435" s="102" t="s">
        <v>608</v>
      </c>
      <c r="F435" s="73" t="s">
        <v>21</v>
      </c>
      <c r="G435" s="74"/>
      <c r="H435" s="95">
        <v>4000000.0</v>
      </c>
      <c r="I435" s="95">
        <v>0.0</v>
      </c>
      <c r="J435" s="80">
        <f t="shared" si="2"/>
        <v>237904130</v>
      </c>
      <c r="K435" s="77">
        <f t="shared" si="3"/>
        <v>11</v>
      </c>
    </row>
    <row r="436" ht="15.75" customHeight="1">
      <c r="A436" s="99">
        <v>45260.0</v>
      </c>
      <c r="B436" s="74"/>
      <c r="C436" s="87"/>
      <c r="D436" s="71"/>
      <c r="E436" s="102" t="s">
        <v>319</v>
      </c>
      <c r="F436" s="73" t="s">
        <v>321</v>
      </c>
      <c r="G436" s="74"/>
      <c r="H436" s="95">
        <v>0.0</v>
      </c>
      <c r="I436" s="95">
        <v>7000000.0</v>
      </c>
      <c r="J436" s="80">
        <f t="shared" si="2"/>
        <v>230904130</v>
      </c>
      <c r="K436" s="77">
        <f t="shared" si="3"/>
        <v>11</v>
      </c>
    </row>
    <row r="437" ht="15.75" customHeight="1">
      <c r="A437" s="99">
        <v>45260.0</v>
      </c>
      <c r="B437" s="74"/>
      <c r="C437" s="87"/>
      <c r="D437" s="86"/>
      <c r="E437" s="102" t="s">
        <v>319</v>
      </c>
      <c r="F437" s="73" t="s">
        <v>320</v>
      </c>
      <c r="G437" s="74"/>
      <c r="H437" s="95">
        <v>0.0</v>
      </c>
      <c r="I437" s="95">
        <v>8000000.0</v>
      </c>
      <c r="J437" s="80">
        <f t="shared" si="2"/>
        <v>222904130</v>
      </c>
      <c r="K437" s="77">
        <f t="shared" si="3"/>
        <v>11</v>
      </c>
    </row>
    <row r="438" ht="15.75" customHeight="1">
      <c r="A438" s="99">
        <v>45260.0</v>
      </c>
      <c r="B438" s="74"/>
      <c r="C438" s="87"/>
      <c r="D438" s="86"/>
      <c r="E438" s="102" t="s">
        <v>609</v>
      </c>
      <c r="F438" s="73" t="s">
        <v>315</v>
      </c>
      <c r="G438" s="74"/>
      <c r="H438" s="95">
        <v>0.0</v>
      </c>
      <c r="I438" s="95">
        <v>9800000.0</v>
      </c>
      <c r="J438" s="80">
        <f t="shared" si="2"/>
        <v>213104130</v>
      </c>
      <c r="K438" s="77">
        <f t="shared" si="3"/>
        <v>11</v>
      </c>
    </row>
    <row r="439" ht="15.75" customHeight="1">
      <c r="A439" s="99">
        <v>45260.0</v>
      </c>
      <c r="B439" s="74"/>
      <c r="C439" s="87"/>
      <c r="D439" s="71"/>
      <c r="E439" s="102" t="s">
        <v>610</v>
      </c>
      <c r="F439" s="73" t="s">
        <v>317</v>
      </c>
      <c r="G439" s="74"/>
      <c r="H439" s="95">
        <v>0.0</v>
      </c>
      <c r="I439" s="95">
        <v>0.0</v>
      </c>
      <c r="J439" s="80">
        <f t="shared" si="2"/>
        <v>213104130</v>
      </c>
      <c r="K439" s="77">
        <f t="shared" si="3"/>
        <v>11</v>
      </c>
    </row>
    <row r="440" ht="15.75" customHeight="1">
      <c r="A440" s="99">
        <v>45260.0</v>
      </c>
      <c r="B440" s="74"/>
      <c r="C440" s="87"/>
      <c r="D440" s="86"/>
      <c r="E440" s="102" t="s">
        <v>611</v>
      </c>
      <c r="F440" s="73" t="s">
        <v>21</v>
      </c>
      <c r="G440" s="74"/>
      <c r="H440" s="95">
        <v>500000.0</v>
      </c>
      <c r="I440" s="95">
        <v>0.0</v>
      </c>
      <c r="J440" s="80">
        <f t="shared" si="2"/>
        <v>213604130</v>
      </c>
      <c r="K440" s="77">
        <f t="shared" si="3"/>
        <v>11</v>
      </c>
    </row>
    <row r="441" ht="15.75" customHeight="1">
      <c r="A441" s="99">
        <v>45260.0</v>
      </c>
      <c r="B441" s="74"/>
      <c r="C441" s="87"/>
      <c r="D441" s="86"/>
      <c r="E441" s="102" t="s">
        <v>612</v>
      </c>
      <c r="F441" s="73" t="s">
        <v>327</v>
      </c>
      <c r="G441" s="74"/>
      <c r="H441" s="95">
        <v>0.0</v>
      </c>
      <c r="I441" s="95">
        <v>6.375E7</v>
      </c>
      <c r="J441" s="80">
        <f t="shared" si="2"/>
        <v>149854130</v>
      </c>
      <c r="K441" s="77">
        <f t="shared" si="3"/>
        <v>11</v>
      </c>
    </row>
    <row r="442" ht="15.75" customHeight="1">
      <c r="A442" s="99">
        <v>45260.0</v>
      </c>
      <c r="B442" s="74"/>
      <c r="C442" s="87"/>
      <c r="D442" s="86"/>
      <c r="E442" s="102" t="s">
        <v>613</v>
      </c>
      <c r="F442" s="73" t="s">
        <v>329</v>
      </c>
      <c r="G442" s="74"/>
      <c r="H442" s="95">
        <v>0.0</v>
      </c>
      <c r="I442" s="95">
        <v>4400000.0</v>
      </c>
      <c r="J442" s="80">
        <f t="shared" si="2"/>
        <v>145454130</v>
      </c>
      <c r="K442" s="77">
        <f t="shared" si="3"/>
        <v>11</v>
      </c>
    </row>
    <row r="443" ht="15.75" customHeight="1">
      <c r="A443" s="99">
        <v>45260.0</v>
      </c>
      <c r="B443" s="74"/>
      <c r="C443" s="87"/>
      <c r="D443" s="86"/>
      <c r="E443" s="102" t="s">
        <v>614</v>
      </c>
      <c r="F443" s="73" t="s">
        <v>457</v>
      </c>
      <c r="G443" s="74"/>
      <c r="H443" s="95">
        <v>0.0</v>
      </c>
      <c r="I443" s="95">
        <v>0.0</v>
      </c>
      <c r="J443" s="80">
        <f t="shared" si="2"/>
        <v>145454130</v>
      </c>
      <c r="K443" s="77">
        <f t="shared" si="3"/>
        <v>11</v>
      </c>
    </row>
    <row r="444" ht="15.75" customHeight="1">
      <c r="A444" s="99">
        <v>45260.0</v>
      </c>
      <c r="B444" s="74"/>
      <c r="C444" s="87"/>
      <c r="D444" s="86"/>
      <c r="E444" s="102" t="s">
        <v>615</v>
      </c>
      <c r="F444" s="73" t="s">
        <v>532</v>
      </c>
      <c r="G444" s="74"/>
      <c r="H444" s="95">
        <v>0.0</v>
      </c>
      <c r="I444" s="95">
        <v>2.495E7</v>
      </c>
      <c r="J444" s="80">
        <f t="shared" si="2"/>
        <v>120504130</v>
      </c>
      <c r="K444" s="77">
        <f t="shared" si="3"/>
        <v>11</v>
      </c>
    </row>
    <row r="445" ht="15.75" customHeight="1">
      <c r="A445" s="99">
        <v>45260.0</v>
      </c>
      <c r="B445" s="74"/>
      <c r="C445" s="87"/>
      <c r="D445" s="86"/>
      <c r="E445" s="102" t="s">
        <v>616</v>
      </c>
      <c r="F445" s="73" t="s">
        <v>21</v>
      </c>
      <c r="G445" s="74"/>
      <c r="H445" s="95">
        <v>1400000.0</v>
      </c>
      <c r="I445" s="95">
        <v>0.0</v>
      </c>
      <c r="J445" s="80">
        <f t="shared" si="2"/>
        <v>121904130</v>
      </c>
      <c r="K445" s="77">
        <f t="shared" si="3"/>
        <v>11</v>
      </c>
    </row>
    <row r="446" ht="15.75" customHeight="1">
      <c r="A446" s="99">
        <v>45260.0</v>
      </c>
      <c r="B446" s="74"/>
      <c r="C446" s="87"/>
      <c r="D446" s="86"/>
      <c r="E446" s="102" t="s">
        <v>617</v>
      </c>
      <c r="F446" s="73" t="s">
        <v>315</v>
      </c>
      <c r="G446" s="74"/>
      <c r="H446" s="95">
        <v>0.0</v>
      </c>
      <c r="I446" s="95">
        <v>1.305E7</v>
      </c>
      <c r="J446" s="80">
        <f t="shared" si="2"/>
        <v>108854130</v>
      </c>
      <c r="K446" s="77">
        <f t="shared" si="3"/>
        <v>11</v>
      </c>
    </row>
    <row r="447" ht="15.75" customHeight="1">
      <c r="A447" s="99">
        <v>45260.0</v>
      </c>
      <c r="B447" s="74"/>
      <c r="C447" s="87"/>
      <c r="D447" s="71"/>
      <c r="E447" s="102" t="s">
        <v>618</v>
      </c>
      <c r="F447" s="73" t="s">
        <v>325</v>
      </c>
      <c r="G447" s="74"/>
      <c r="H447" s="95">
        <v>0.0</v>
      </c>
      <c r="I447" s="95">
        <v>3400000.0</v>
      </c>
      <c r="J447" s="80">
        <f t="shared" si="2"/>
        <v>105454130</v>
      </c>
      <c r="K447" s="77">
        <f t="shared" si="3"/>
        <v>11</v>
      </c>
    </row>
    <row r="448" ht="15.75" customHeight="1">
      <c r="A448" s="99">
        <v>45260.0</v>
      </c>
      <c r="B448" s="74"/>
      <c r="C448" s="87"/>
      <c r="D448" s="86"/>
      <c r="E448" s="102" t="s">
        <v>619</v>
      </c>
      <c r="F448" s="73" t="s">
        <v>315</v>
      </c>
      <c r="G448" s="74"/>
      <c r="H448" s="95">
        <v>0.0</v>
      </c>
      <c r="I448" s="95">
        <v>7000000.0</v>
      </c>
      <c r="J448" s="80">
        <f t="shared" si="2"/>
        <v>98454130</v>
      </c>
      <c r="K448" s="77">
        <f t="shared" si="3"/>
        <v>11</v>
      </c>
    </row>
    <row r="449" ht="15.75" customHeight="1">
      <c r="A449" s="99">
        <v>45260.0</v>
      </c>
      <c r="B449" s="74"/>
      <c r="C449" s="87"/>
      <c r="D449" s="71"/>
      <c r="E449" s="102" t="s">
        <v>620</v>
      </c>
      <c r="F449" s="73" t="s">
        <v>21</v>
      </c>
      <c r="G449" s="74"/>
      <c r="H449" s="95">
        <v>1000000.0</v>
      </c>
      <c r="I449" s="95">
        <v>0.0</v>
      </c>
      <c r="J449" s="80">
        <f t="shared" si="2"/>
        <v>99454130</v>
      </c>
      <c r="K449" s="77">
        <f t="shared" si="3"/>
        <v>11</v>
      </c>
    </row>
    <row r="450" ht="15.75" customHeight="1">
      <c r="A450" s="99">
        <v>45260.0</v>
      </c>
      <c r="B450" s="74"/>
      <c r="C450" s="87"/>
      <c r="D450" s="86"/>
      <c r="E450" s="102" t="s">
        <v>621</v>
      </c>
      <c r="F450" s="73" t="s">
        <v>315</v>
      </c>
      <c r="G450" s="74"/>
      <c r="H450" s="95">
        <v>0.0</v>
      </c>
      <c r="I450" s="95">
        <v>5400000.0</v>
      </c>
      <c r="J450" s="80">
        <f t="shared" si="2"/>
        <v>94054130</v>
      </c>
      <c r="K450" s="77">
        <f t="shared" si="3"/>
        <v>11</v>
      </c>
    </row>
    <row r="451" ht="15.75" customHeight="1">
      <c r="A451" s="99">
        <v>45260.0</v>
      </c>
      <c r="B451" s="74"/>
      <c r="C451" s="87"/>
      <c r="D451" s="86"/>
      <c r="E451" s="102" t="s">
        <v>622</v>
      </c>
      <c r="F451" s="73" t="s">
        <v>21</v>
      </c>
      <c r="G451" s="74"/>
      <c r="H451" s="95">
        <v>1500000.0</v>
      </c>
      <c r="I451" s="95">
        <v>0.0</v>
      </c>
      <c r="J451" s="80">
        <f t="shared" si="2"/>
        <v>95554130</v>
      </c>
      <c r="K451" s="77">
        <f t="shared" si="3"/>
        <v>11</v>
      </c>
    </row>
    <row r="452" ht="15.75" customHeight="1">
      <c r="A452" s="99">
        <v>45260.0</v>
      </c>
      <c r="B452" s="74"/>
      <c r="C452" s="87"/>
      <c r="D452" s="84" t="s">
        <v>247</v>
      </c>
      <c r="E452" s="102" t="s">
        <v>339</v>
      </c>
      <c r="F452" s="73" t="s">
        <v>307</v>
      </c>
      <c r="G452" s="74"/>
      <c r="H452" s="95">
        <v>0.0</v>
      </c>
      <c r="I452" s="95">
        <v>2900.0</v>
      </c>
      <c r="J452" s="80">
        <f t="shared" si="2"/>
        <v>95551230</v>
      </c>
      <c r="K452" s="77">
        <f t="shared" si="3"/>
        <v>11</v>
      </c>
    </row>
    <row r="453" ht="15.75" customHeight="1">
      <c r="A453" s="99">
        <v>45260.0</v>
      </c>
      <c r="B453" s="74"/>
      <c r="C453" s="87"/>
      <c r="D453" s="84" t="s">
        <v>247</v>
      </c>
      <c r="E453" s="102" t="s">
        <v>340</v>
      </c>
      <c r="F453" s="73" t="s">
        <v>307</v>
      </c>
      <c r="G453" s="74"/>
      <c r="H453" s="95">
        <v>0.0</v>
      </c>
      <c r="I453" s="95">
        <v>40600.0</v>
      </c>
      <c r="J453" s="80">
        <f t="shared" si="2"/>
        <v>95510630</v>
      </c>
      <c r="K453" s="77">
        <f t="shared" si="3"/>
        <v>11</v>
      </c>
    </row>
    <row r="454" ht="15.75" customHeight="1">
      <c r="A454" s="99">
        <v>45260.0</v>
      </c>
      <c r="B454" s="74"/>
      <c r="C454" s="87"/>
      <c r="D454" s="84" t="s">
        <v>247</v>
      </c>
      <c r="E454" s="102" t="s">
        <v>341</v>
      </c>
      <c r="F454" s="73" t="s">
        <v>307</v>
      </c>
      <c r="G454" s="74"/>
      <c r="H454" s="95">
        <v>0.0</v>
      </c>
      <c r="I454" s="95">
        <v>2900.0</v>
      </c>
      <c r="J454" s="80">
        <f t="shared" si="2"/>
        <v>95507730</v>
      </c>
      <c r="K454" s="77">
        <f t="shared" si="3"/>
        <v>11</v>
      </c>
    </row>
    <row r="455" ht="15.75" customHeight="1">
      <c r="A455" s="99">
        <v>45260.0</v>
      </c>
      <c r="B455" s="74"/>
      <c r="C455" s="87"/>
      <c r="D455" s="84" t="s">
        <v>247</v>
      </c>
      <c r="E455" s="102" t="s">
        <v>342</v>
      </c>
      <c r="F455" s="73" t="s">
        <v>307</v>
      </c>
      <c r="G455" s="74"/>
      <c r="H455" s="95">
        <v>0.0</v>
      </c>
      <c r="I455" s="95">
        <v>0.0</v>
      </c>
      <c r="J455" s="80">
        <f t="shared" si="2"/>
        <v>95507730</v>
      </c>
      <c r="K455" s="77">
        <f t="shared" si="3"/>
        <v>11</v>
      </c>
    </row>
    <row r="456" ht="15.75" customHeight="1">
      <c r="A456" s="99">
        <v>45260.0</v>
      </c>
      <c r="B456" s="74"/>
      <c r="C456" s="87"/>
      <c r="D456" s="84" t="s">
        <v>247</v>
      </c>
      <c r="E456" s="102" t="s">
        <v>343</v>
      </c>
      <c r="F456" s="73" t="s">
        <v>307</v>
      </c>
      <c r="G456" s="74"/>
      <c r="H456" s="95">
        <v>0.0</v>
      </c>
      <c r="I456" s="95">
        <v>0.0</v>
      </c>
      <c r="J456" s="80">
        <f t="shared" si="2"/>
        <v>95507730</v>
      </c>
      <c r="K456" s="77">
        <f t="shared" si="3"/>
        <v>11</v>
      </c>
    </row>
    <row r="457" ht="15.75" customHeight="1">
      <c r="A457" s="99">
        <v>45260.0</v>
      </c>
      <c r="B457" s="74"/>
      <c r="C457" s="87"/>
      <c r="D457" s="86"/>
      <c r="E457" s="102" t="s">
        <v>623</v>
      </c>
      <c r="F457" s="73" t="s">
        <v>305</v>
      </c>
      <c r="G457" s="74"/>
      <c r="H457" s="95">
        <v>0.0</v>
      </c>
      <c r="I457" s="95">
        <v>1.5E7</v>
      </c>
      <c r="J457" s="80">
        <f t="shared" si="2"/>
        <v>80507730</v>
      </c>
      <c r="K457" s="77">
        <f t="shared" si="3"/>
        <v>11</v>
      </c>
    </row>
    <row r="458" ht="15.75" customHeight="1">
      <c r="A458" s="99">
        <v>45260.0</v>
      </c>
      <c r="B458" s="74"/>
      <c r="C458" s="87"/>
      <c r="D458" s="84" t="s">
        <v>247</v>
      </c>
      <c r="E458" s="102" t="s">
        <v>360</v>
      </c>
      <c r="F458" s="73" t="s">
        <v>361</v>
      </c>
      <c r="G458" s="74"/>
      <c r="H458" s="95">
        <v>0.0</v>
      </c>
      <c r="I458" s="95">
        <v>30000.0</v>
      </c>
      <c r="J458" s="80">
        <f t="shared" si="2"/>
        <v>80477730</v>
      </c>
      <c r="K458" s="77">
        <f t="shared" si="3"/>
        <v>11</v>
      </c>
    </row>
    <row r="459" ht="15.75" customHeight="1">
      <c r="A459" s="99">
        <v>45261.0</v>
      </c>
      <c r="B459" s="74"/>
      <c r="C459" s="87"/>
      <c r="D459" s="86"/>
      <c r="E459" s="102" t="s">
        <v>599</v>
      </c>
      <c r="F459" s="73" t="s">
        <v>288</v>
      </c>
      <c r="G459" s="74"/>
      <c r="H459" s="95">
        <v>0.0</v>
      </c>
      <c r="I459" s="95">
        <v>9500000.0</v>
      </c>
      <c r="J459" s="80">
        <f t="shared" si="2"/>
        <v>70977730</v>
      </c>
      <c r="K459" s="77">
        <f t="shared" si="3"/>
        <v>12</v>
      </c>
    </row>
    <row r="460" ht="15.75" customHeight="1">
      <c r="A460" s="99">
        <v>45261.0</v>
      </c>
      <c r="B460" s="74"/>
      <c r="C460" s="87"/>
      <c r="D460" s="86"/>
      <c r="E460" s="102" t="s">
        <v>599</v>
      </c>
      <c r="F460" s="73" t="s">
        <v>288</v>
      </c>
      <c r="G460" s="74"/>
      <c r="H460" s="95">
        <v>0.0</v>
      </c>
      <c r="I460" s="95">
        <v>1000000.0</v>
      </c>
      <c r="J460" s="80">
        <f t="shared" si="2"/>
        <v>69977730</v>
      </c>
      <c r="K460" s="77">
        <f t="shared" si="3"/>
        <v>12</v>
      </c>
    </row>
    <row r="461" ht="15.75" customHeight="1">
      <c r="A461" s="99">
        <v>45264.0</v>
      </c>
      <c r="B461" s="74"/>
      <c r="C461" s="87"/>
      <c r="D461" s="86"/>
      <c r="E461" s="102" t="s">
        <v>624</v>
      </c>
      <c r="F461" s="73" t="s">
        <v>305</v>
      </c>
      <c r="G461" s="74"/>
      <c r="H461" s="95">
        <v>0.0</v>
      </c>
      <c r="I461" s="95">
        <v>2500000.0</v>
      </c>
      <c r="J461" s="80">
        <f t="shared" si="2"/>
        <v>67477730</v>
      </c>
      <c r="K461" s="77">
        <f t="shared" si="3"/>
        <v>12</v>
      </c>
    </row>
    <row r="462" ht="15.75" customHeight="1">
      <c r="A462" s="99">
        <v>45264.0</v>
      </c>
      <c r="B462" s="74"/>
      <c r="C462" s="87"/>
      <c r="D462" s="84" t="s">
        <v>247</v>
      </c>
      <c r="E462" s="102" t="s">
        <v>306</v>
      </c>
      <c r="F462" s="73" t="s">
        <v>307</v>
      </c>
      <c r="G462" s="74"/>
      <c r="H462" s="95">
        <v>0.0</v>
      </c>
      <c r="I462" s="95">
        <v>2500.0</v>
      </c>
      <c r="J462" s="80">
        <f t="shared" si="2"/>
        <v>67475230</v>
      </c>
      <c r="K462" s="77">
        <f t="shared" si="3"/>
        <v>12</v>
      </c>
    </row>
    <row r="463" ht="15.75" customHeight="1">
      <c r="A463" s="99">
        <v>45264.0</v>
      </c>
      <c r="B463" s="74"/>
      <c r="C463" s="87"/>
      <c r="D463" s="86"/>
      <c r="E463" s="102" t="s">
        <v>602</v>
      </c>
      <c r="F463" s="73" t="s">
        <v>21</v>
      </c>
      <c r="G463" s="74"/>
      <c r="H463" s="95">
        <v>4400000.0</v>
      </c>
      <c r="I463" s="95">
        <v>0.0</v>
      </c>
      <c r="J463" s="80">
        <f t="shared" si="2"/>
        <v>71875230</v>
      </c>
      <c r="K463" s="77">
        <f t="shared" si="3"/>
        <v>12</v>
      </c>
    </row>
    <row r="464" ht="15.75" customHeight="1">
      <c r="A464" s="99">
        <v>45266.0</v>
      </c>
      <c r="B464" s="74"/>
      <c r="C464" s="87"/>
      <c r="D464" s="86"/>
      <c r="E464" s="102" t="s">
        <v>625</v>
      </c>
      <c r="F464" s="73" t="s">
        <v>626</v>
      </c>
      <c r="G464" s="74"/>
      <c r="H464" s="95">
        <v>0.0</v>
      </c>
      <c r="I464" s="95">
        <v>2400000.0</v>
      </c>
      <c r="J464" s="80">
        <f t="shared" si="2"/>
        <v>69475230</v>
      </c>
      <c r="K464" s="77">
        <f t="shared" si="3"/>
        <v>12</v>
      </c>
    </row>
    <row r="465" ht="15.75" customHeight="1">
      <c r="A465" s="99">
        <v>45266.0</v>
      </c>
      <c r="B465" s="74"/>
      <c r="C465" s="87"/>
      <c r="D465" s="86"/>
      <c r="E465" s="102" t="s">
        <v>627</v>
      </c>
      <c r="F465" s="73" t="s">
        <v>626</v>
      </c>
      <c r="G465" s="74"/>
      <c r="H465" s="95">
        <v>0.0</v>
      </c>
      <c r="I465" s="95">
        <v>2300000.0</v>
      </c>
      <c r="J465" s="80">
        <f t="shared" si="2"/>
        <v>67175230</v>
      </c>
      <c r="K465" s="77">
        <f t="shared" si="3"/>
        <v>12</v>
      </c>
    </row>
    <row r="466" ht="15.75" customHeight="1">
      <c r="A466" s="99">
        <v>45266.0</v>
      </c>
      <c r="B466" s="74"/>
      <c r="C466" s="87"/>
      <c r="D466" s="84" t="s">
        <v>247</v>
      </c>
      <c r="E466" s="102" t="s">
        <v>306</v>
      </c>
      <c r="F466" s="73" t="s">
        <v>307</v>
      </c>
      <c r="G466" s="74"/>
      <c r="H466" s="95">
        <v>0.0</v>
      </c>
      <c r="I466" s="95">
        <v>2500.0</v>
      </c>
      <c r="J466" s="80">
        <f t="shared" si="2"/>
        <v>67172730</v>
      </c>
      <c r="K466" s="77">
        <f t="shared" si="3"/>
        <v>12</v>
      </c>
    </row>
    <row r="467" ht="15.75" customHeight="1">
      <c r="A467" s="99">
        <v>45268.0</v>
      </c>
      <c r="B467" s="74"/>
      <c r="C467" s="87"/>
      <c r="D467" s="86"/>
      <c r="E467" s="102" t="s">
        <v>628</v>
      </c>
      <c r="F467" s="73" t="s">
        <v>581</v>
      </c>
      <c r="G467" s="74"/>
      <c r="H467" s="95">
        <v>0.0</v>
      </c>
      <c r="I467" s="95">
        <v>600000.0</v>
      </c>
      <c r="J467" s="80">
        <f t="shared" si="2"/>
        <v>66572730</v>
      </c>
      <c r="K467" s="77">
        <f t="shared" si="3"/>
        <v>12</v>
      </c>
    </row>
    <row r="468" ht="15.75" customHeight="1">
      <c r="A468" s="99">
        <v>45268.0</v>
      </c>
      <c r="B468" s="74"/>
      <c r="C468" s="87"/>
      <c r="D468" s="86"/>
      <c r="E468" s="102" t="s">
        <v>629</v>
      </c>
      <c r="F468" s="73" t="s">
        <v>544</v>
      </c>
      <c r="G468" s="74"/>
      <c r="H468" s="95">
        <v>0.0</v>
      </c>
      <c r="I468" s="95">
        <v>1500000.0</v>
      </c>
      <c r="J468" s="80">
        <f t="shared" si="2"/>
        <v>65072730</v>
      </c>
      <c r="K468" s="77">
        <f t="shared" si="3"/>
        <v>12</v>
      </c>
    </row>
    <row r="469" ht="15.75" customHeight="1">
      <c r="A469" s="99">
        <v>45269.0</v>
      </c>
      <c r="B469" s="74"/>
      <c r="C469" s="87"/>
      <c r="D469" s="81" t="s">
        <v>210</v>
      </c>
      <c r="E469" s="102" t="s">
        <v>630</v>
      </c>
      <c r="F469" s="73" t="s">
        <v>292</v>
      </c>
      <c r="G469" s="74"/>
      <c r="H469" s="95">
        <v>0.0</v>
      </c>
      <c r="I469" s="95">
        <v>8775000.0</v>
      </c>
      <c r="J469" s="80">
        <f t="shared" si="2"/>
        <v>56297730</v>
      </c>
      <c r="K469" s="77">
        <f t="shared" si="3"/>
        <v>12</v>
      </c>
    </row>
    <row r="470" ht="15.75" customHeight="1">
      <c r="A470" s="99">
        <v>45282.0</v>
      </c>
      <c r="B470" s="74"/>
      <c r="C470" s="87"/>
      <c r="D470" s="71"/>
      <c r="E470" s="102" t="s">
        <v>631</v>
      </c>
      <c r="F470" s="73" t="s">
        <v>532</v>
      </c>
      <c r="G470" s="74"/>
      <c r="H470" s="95">
        <v>0.0</v>
      </c>
      <c r="I470" s="95">
        <v>5150000.0</v>
      </c>
      <c r="J470" s="80">
        <f t="shared" si="2"/>
        <v>51147730</v>
      </c>
      <c r="K470" s="77">
        <f t="shared" si="3"/>
        <v>12</v>
      </c>
    </row>
    <row r="471" ht="15.75" customHeight="1">
      <c r="A471" s="99">
        <v>45282.0</v>
      </c>
      <c r="B471" s="74"/>
      <c r="C471" s="87"/>
      <c r="D471" s="86"/>
      <c r="E471" s="102" t="s">
        <v>632</v>
      </c>
      <c r="F471" s="73" t="s">
        <v>21</v>
      </c>
      <c r="G471" s="74"/>
      <c r="H471" s="95">
        <v>1000000.0</v>
      </c>
      <c r="I471" s="95">
        <v>0.0</v>
      </c>
      <c r="J471" s="80">
        <f t="shared" si="2"/>
        <v>52147730</v>
      </c>
      <c r="K471" s="77">
        <f t="shared" si="3"/>
        <v>12</v>
      </c>
    </row>
    <row r="472" ht="15.75" customHeight="1">
      <c r="A472" s="99">
        <v>45282.0</v>
      </c>
      <c r="B472" s="74"/>
      <c r="C472" s="87"/>
      <c r="D472" s="86"/>
      <c r="E472" s="102" t="s">
        <v>633</v>
      </c>
      <c r="F472" s="73" t="s">
        <v>305</v>
      </c>
      <c r="G472" s="74"/>
      <c r="H472" s="95">
        <v>0.0</v>
      </c>
      <c r="I472" s="95">
        <v>1000000.0</v>
      </c>
      <c r="J472" s="80">
        <f t="shared" si="2"/>
        <v>51147730</v>
      </c>
      <c r="K472" s="77">
        <f t="shared" si="3"/>
        <v>12</v>
      </c>
    </row>
    <row r="473" ht="15.75" customHeight="1">
      <c r="A473" s="99">
        <v>45282.0</v>
      </c>
      <c r="B473" s="74"/>
      <c r="C473" s="87"/>
      <c r="D473" s="84" t="s">
        <v>247</v>
      </c>
      <c r="E473" s="102" t="s">
        <v>306</v>
      </c>
      <c r="F473" s="73" t="s">
        <v>307</v>
      </c>
      <c r="G473" s="74"/>
      <c r="H473" s="95">
        <v>0.0</v>
      </c>
      <c r="I473" s="95">
        <v>2500.0</v>
      </c>
      <c r="J473" s="80">
        <f t="shared" si="2"/>
        <v>51145230</v>
      </c>
      <c r="K473" s="77">
        <f t="shared" si="3"/>
        <v>12</v>
      </c>
    </row>
    <row r="474" ht="15.75" customHeight="1">
      <c r="A474" s="99">
        <v>45282.0</v>
      </c>
      <c r="B474" s="74"/>
      <c r="C474" s="87"/>
      <c r="D474" s="86"/>
      <c r="E474" s="102" t="s">
        <v>634</v>
      </c>
      <c r="F474" s="73" t="s">
        <v>635</v>
      </c>
      <c r="G474" s="74"/>
      <c r="H474" s="95">
        <v>0.0</v>
      </c>
      <c r="I474" s="95">
        <v>1.08E7</v>
      </c>
      <c r="J474" s="80">
        <f t="shared" si="2"/>
        <v>40345230</v>
      </c>
      <c r="K474" s="77">
        <f t="shared" si="3"/>
        <v>12</v>
      </c>
    </row>
    <row r="475" ht="15.75" customHeight="1">
      <c r="A475" s="99">
        <v>45282.0</v>
      </c>
      <c r="B475" s="74"/>
      <c r="C475" s="87"/>
      <c r="D475" s="86"/>
      <c r="E475" s="102" t="s">
        <v>636</v>
      </c>
      <c r="F475" s="73" t="s">
        <v>635</v>
      </c>
      <c r="G475" s="74"/>
      <c r="H475" s="95">
        <v>0.0</v>
      </c>
      <c r="I475" s="95">
        <v>2.52E7</v>
      </c>
      <c r="J475" s="80">
        <f t="shared" si="2"/>
        <v>15145230</v>
      </c>
      <c r="K475" s="77">
        <f t="shared" si="3"/>
        <v>12</v>
      </c>
    </row>
    <row r="476" ht="15.75" customHeight="1">
      <c r="A476" s="99">
        <v>45282.0</v>
      </c>
      <c r="B476" s="74"/>
      <c r="C476" s="87"/>
      <c r="D476" s="84" t="s">
        <v>247</v>
      </c>
      <c r="E476" s="102" t="s">
        <v>306</v>
      </c>
      <c r="F476" s="73" t="s">
        <v>307</v>
      </c>
      <c r="G476" s="74"/>
      <c r="H476" s="95">
        <v>0.0</v>
      </c>
      <c r="I476" s="95">
        <v>2500.0</v>
      </c>
      <c r="J476" s="80">
        <f t="shared" si="2"/>
        <v>15142730</v>
      </c>
      <c r="K476" s="77">
        <f t="shared" si="3"/>
        <v>12</v>
      </c>
    </row>
    <row r="477" ht="15.75" customHeight="1">
      <c r="A477" s="99">
        <v>45282.0</v>
      </c>
      <c r="B477" s="74"/>
      <c r="C477" s="87"/>
      <c r="D477" s="71"/>
      <c r="E477" s="102" t="s">
        <v>605</v>
      </c>
      <c r="F477" s="73" t="s">
        <v>21</v>
      </c>
      <c r="G477" s="74"/>
      <c r="H477" s="95">
        <v>2.0E8</v>
      </c>
      <c r="I477" s="95">
        <v>0.0</v>
      </c>
      <c r="J477" s="80">
        <f t="shared" si="2"/>
        <v>215142730</v>
      </c>
      <c r="K477" s="77">
        <f t="shared" si="3"/>
        <v>12</v>
      </c>
    </row>
    <row r="478" ht="15.75" customHeight="1">
      <c r="A478" s="99">
        <v>45287.0</v>
      </c>
      <c r="B478" s="74"/>
      <c r="C478" s="87"/>
      <c r="D478" s="84" t="s">
        <v>226</v>
      </c>
      <c r="E478" s="102" t="s">
        <v>637</v>
      </c>
      <c r="F478" s="73" t="s">
        <v>345</v>
      </c>
      <c r="G478" s="74"/>
      <c r="H478" s="95">
        <v>0.0</v>
      </c>
      <c r="I478" s="95">
        <v>4250000.0</v>
      </c>
      <c r="J478" s="80">
        <f t="shared" si="2"/>
        <v>210892730</v>
      </c>
      <c r="K478" s="77">
        <f t="shared" si="3"/>
        <v>12</v>
      </c>
    </row>
    <row r="479" ht="15.75" customHeight="1">
      <c r="A479" s="99">
        <v>45288.0</v>
      </c>
      <c r="B479" s="74"/>
      <c r="C479" s="87"/>
      <c r="D479" s="71"/>
      <c r="E479" s="102" t="s">
        <v>638</v>
      </c>
      <c r="F479" s="73" t="s">
        <v>315</v>
      </c>
      <c r="G479" s="74"/>
      <c r="H479" s="95">
        <v>0.0</v>
      </c>
      <c r="I479" s="95">
        <v>9350000.0</v>
      </c>
      <c r="J479" s="80">
        <f t="shared" si="2"/>
        <v>201542730</v>
      </c>
      <c r="K479" s="77">
        <f t="shared" si="3"/>
        <v>12</v>
      </c>
    </row>
    <row r="480" ht="15.75" customHeight="1">
      <c r="A480" s="99">
        <v>45288.0</v>
      </c>
      <c r="B480" s="74"/>
      <c r="C480" s="87"/>
      <c r="D480" s="86"/>
      <c r="E480" s="102" t="s">
        <v>639</v>
      </c>
      <c r="F480" s="73" t="s">
        <v>317</v>
      </c>
      <c r="G480" s="74"/>
      <c r="H480" s="95">
        <v>0.0</v>
      </c>
      <c r="I480" s="95">
        <v>300000.0</v>
      </c>
      <c r="J480" s="80">
        <f t="shared" si="2"/>
        <v>201242730</v>
      </c>
      <c r="K480" s="77">
        <f t="shared" si="3"/>
        <v>12</v>
      </c>
    </row>
    <row r="481" ht="15.75" customHeight="1">
      <c r="A481" s="99">
        <v>45288.0</v>
      </c>
      <c r="B481" s="74"/>
      <c r="C481" s="87"/>
      <c r="D481" s="71"/>
      <c r="E481" s="102" t="s">
        <v>640</v>
      </c>
      <c r="F481" s="73" t="s">
        <v>21</v>
      </c>
      <c r="G481" s="74"/>
      <c r="H481" s="95">
        <v>4000000.0</v>
      </c>
      <c r="I481" s="95">
        <v>0.0</v>
      </c>
      <c r="J481" s="80">
        <f t="shared" si="2"/>
        <v>205242730</v>
      </c>
      <c r="K481" s="77">
        <f t="shared" si="3"/>
        <v>12</v>
      </c>
    </row>
    <row r="482" ht="15.75" customHeight="1">
      <c r="A482" s="99">
        <v>45288.0</v>
      </c>
      <c r="B482" s="74"/>
      <c r="C482" s="87"/>
      <c r="D482" s="86"/>
      <c r="E482" s="102" t="s">
        <v>319</v>
      </c>
      <c r="F482" s="73" t="s">
        <v>321</v>
      </c>
      <c r="G482" s="74"/>
      <c r="H482" s="95">
        <v>0.0</v>
      </c>
      <c r="I482" s="95">
        <v>7000000.0</v>
      </c>
      <c r="J482" s="80">
        <f t="shared" si="2"/>
        <v>198242730</v>
      </c>
      <c r="K482" s="77">
        <f t="shared" si="3"/>
        <v>12</v>
      </c>
    </row>
    <row r="483" ht="15.75" customHeight="1">
      <c r="A483" s="99">
        <v>45288.0</v>
      </c>
      <c r="B483" s="74"/>
      <c r="C483" s="87"/>
      <c r="D483" s="71"/>
      <c r="E483" s="102" t="s">
        <v>319</v>
      </c>
      <c r="F483" s="73" t="s">
        <v>320</v>
      </c>
      <c r="G483" s="74"/>
      <c r="H483" s="95">
        <v>0.0</v>
      </c>
      <c r="I483" s="95">
        <v>8000000.0</v>
      </c>
      <c r="J483" s="80">
        <f t="shared" si="2"/>
        <v>190242730</v>
      </c>
      <c r="K483" s="77">
        <f t="shared" si="3"/>
        <v>12</v>
      </c>
    </row>
    <row r="484" ht="15.75" customHeight="1">
      <c r="A484" s="99">
        <v>45288.0</v>
      </c>
      <c r="B484" s="74"/>
      <c r="C484" s="87"/>
      <c r="D484" s="71"/>
      <c r="E484" s="102" t="s">
        <v>641</v>
      </c>
      <c r="F484" s="73" t="s">
        <v>315</v>
      </c>
      <c r="G484" s="74"/>
      <c r="H484" s="95">
        <v>0.0</v>
      </c>
      <c r="I484" s="95">
        <v>9800000.0</v>
      </c>
      <c r="J484" s="80">
        <f t="shared" si="2"/>
        <v>180442730</v>
      </c>
      <c r="K484" s="77">
        <f t="shared" si="3"/>
        <v>12</v>
      </c>
    </row>
    <row r="485" ht="15.75" customHeight="1">
      <c r="A485" s="99">
        <v>45288.0</v>
      </c>
      <c r="B485" s="74"/>
      <c r="C485" s="87"/>
      <c r="D485" s="71"/>
      <c r="E485" s="102" t="s">
        <v>642</v>
      </c>
      <c r="F485" s="73" t="s">
        <v>317</v>
      </c>
      <c r="G485" s="74"/>
      <c r="H485" s="95">
        <v>0.0</v>
      </c>
      <c r="I485" s="95">
        <v>0.0</v>
      </c>
      <c r="J485" s="80">
        <f t="shared" si="2"/>
        <v>180442730</v>
      </c>
      <c r="K485" s="77">
        <f t="shared" si="3"/>
        <v>12</v>
      </c>
    </row>
    <row r="486" ht="15.75" customHeight="1">
      <c r="A486" s="99">
        <v>45288.0</v>
      </c>
      <c r="B486" s="74"/>
      <c r="C486" s="87"/>
      <c r="D486" s="86"/>
      <c r="E486" s="102" t="s">
        <v>643</v>
      </c>
      <c r="F486" s="73" t="s">
        <v>21</v>
      </c>
      <c r="G486" s="74"/>
      <c r="H486" s="95">
        <v>500000.0</v>
      </c>
      <c r="I486" s="95">
        <v>0.0</v>
      </c>
      <c r="J486" s="80">
        <f t="shared" si="2"/>
        <v>180942730</v>
      </c>
      <c r="K486" s="77">
        <f t="shared" si="3"/>
        <v>12</v>
      </c>
    </row>
    <row r="487" ht="15.75" customHeight="1">
      <c r="A487" s="99">
        <v>45288.0</v>
      </c>
      <c r="B487" s="74"/>
      <c r="C487" s="87"/>
      <c r="D487" s="71"/>
      <c r="E487" s="102" t="s">
        <v>644</v>
      </c>
      <c r="F487" s="73" t="s">
        <v>327</v>
      </c>
      <c r="G487" s="74"/>
      <c r="H487" s="95">
        <v>0.0</v>
      </c>
      <c r="I487" s="95">
        <v>6.375E7</v>
      </c>
      <c r="J487" s="80">
        <f t="shared" si="2"/>
        <v>117192730</v>
      </c>
      <c r="K487" s="77">
        <f t="shared" si="3"/>
        <v>12</v>
      </c>
    </row>
    <row r="488" ht="15.75" customHeight="1">
      <c r="A488" s="99">
        <v>45288.0</v>
      </c>
      <c r="B488" s="74"/>
      <c r="C488" s="87"/>
      <c r="D488" s="71"/>
      <c r="E488" s="102" t="s">
        <v>645</v>
      </c>
      <c r="F488" s="73" t="s">
        <v>329</v>
      </c>
      <c r="G488" s="74"/>
      <c r="H488" s="95">
        <v>0.0</v>
      </c>
      <c r="I488" s="95">
        <v>5900000.0</v>
      </c>
      <c r="J488" s="80">
        <f t="shared" si="2"/>
        <v>111292730</v>
      </c>
      <c r="K488" s="77">
        <f t="shared" si="3"/>
        <v>12</v>
      </c>
    </row>
    <row r="489" ht="15.75" customHeight="1">
      <c r="A489" s="99">
        <v>45288.0</v>
      </c>
      <c r="B489" s="74"/>
      <c r="C489" s="87"/>
      <c r="D489" s="86"/>
      <c r="E489" s="102" t="s">
        <v>646</v>
      </c>
      <c r="F489" s="73" t="s">
        <v>457</v>
      </c>
      <c r="G489" s="74"/>
      <c r="H489" s="95">
        <v>0.0</v>
      </c>
      <c r="I489" s="95">
        <v>0.0</v>
      </c>
      <c r="J489" s="80">
        <f t="shared" si="2"/>
        <v>111292730</v>
      </c>
      <c r="K489" s="77">
        <f t="shared" si="3"/>
        <v>12</v>
      </c>
    </row>
    <row r="490" ht="15.75" customHeight="1">
      <c r="A490" s="99">
        <v>45288.0</v>
      </c>
      <c r="B490" s="74"/>
      <c r="C490" s="87"/>
      <c r="D490" s="86"/>
      <c r="E490" s="102" t="s">
        <v>647</v>
      </c>
      <c r="F490" s="73" t="s">
        <v>532</v>
      </c>
      <c r="G490" s="74"/>
      <c r="H490" s="95">
        <v>0.0</v>
      </c>
      <c r="I490" s="95">
        <v>1.98E7</v>
      </c>
      <c r="J490" s="80">
        <f t="shared" si="2"/>
        <v>91492730</v>
      </c>
      <c r="K490" s="77">
        <f t="shared" si="3"/>
        <v>12</v>
      </c>
    </row>
    <row r="491" ht="15.75" customHeight="1">
      <c r="A491" s="99">
        <v>45288.0</v>
      </c>
      <c r="B491" s="74"/>
      <c r="C491" s="87"/>
      <c r="D491" s="86"/>
      <c r="E491" s="102" t="s">
        <v>648</v>
      </c>
      <c r="F491" s="73" t="s">
        <v>21</v>
      </c>
      <c r="G491" s="74"/>
      <c r="H491" s="95">
        <v>400000.0</v>
      </c>
      <c r="I491" s="95">
        <v>0.0</v>
      </c>
      <c r="J491" s="80">
        <f t="shared" si="2"/>
        <v>91892730</v>
      </c>
      <c r="K491" s="77">
        <f t="shared" si="3"/>
        <v>12</v>
      </c>
    </row>
    <row r="492" ht="15.75" customHeight="1">
      <c r="A492" s="99">
        <v>45288.0</v>
      </c>
      <c r="B492" s="74"/>
      <c r="C492" s="87"/>
      <c r="D492" s="86"/>
      <c r="E492" s="102" t="s">
        <v>649</v>
      </c>
      <c r="F492" s="73" t="s">
        <v>315</v>
      </c>
      <c r="G492" s="74"/>
      <c r="H492" s="95">
        <v>0.0</v>
      </c>
      <c r="I492" s="95">
        <v>1.305E7</v>
      </c>
      <c r="J492" s="80">
        <f t="shared" si="2"/>
        <v>78842730</v>
      </c>
      <c r="K492" s="77">
        <f t="shared" si="3"/>
        <v>12</v>
      </c>
    </row>
    <row r="493" ht="15.75" customHeight="1">
      <c r="A493" s="99">
        <v>45288.0</v>
      </c>
      <c r="B493" s="74"/>
      <c r="C493" s="87"/>
      <c r="D493" s="86"/>
      <c r="E493" s="102" t="s">
        <v>650</v>
      </c>
      <c r="F493" s="73" t="s">
        <v>21</v>
      </c>
      <c r="G493" s="74"/>
      <c r="H493" s="95">
        <v>1000000.0</v>
      </c>
      <c r="I493" s="95">
        <v>0.0</v>
      </c>
      <c r="J493" s="80">
        <f t="shared" si="2"/>
        <v>79842730</v>
      </c>
      <c r="K493" s="77">
        <f t="shared" si="3"/>
        <v>12</v>
      </c>
    </row>
    <row r="494" ht="15.75" customHeight="1">
      <c r="A494" s="99">
        <v>45288.0</v>
      </c>
      <c r="B494" s="74"/>
      <c r="C494" s="87"/>
      <c r="D494" s="86"/>
      <c r="E494" s="102" t="s">
        <v>651</v>
      </c>
      <c r="F494" s="73" t="s">
        <v>315</v>
      </c>
      <c r="G494" s="74"/>
      <c r="H494" s="95">
        <v>0.0</v>
      </c>
      <c r="I494" s="95">
        <v>7000000.0</v>
      </c>
      <c r="J494" s="80">
        <f t="shared" si="2"/>
        <v>72842730</v>
      </c>
      <c r="K494" s="77">
        <f t="shared" si="3"/>
        <v>12</v>
      </c>
    </row>
    <row r="495" ht="15.75" customHeight="1">
      <c r="A495" s="99">
        <v>45288.0</v>
      </c>
      <c r="B495" s="74"/>
      <c r="C495" s="87"/>
      <c r="D495" s="71"/>
      <c r="E495" s="102" t="s">
        <v>652</v>
      </c>
      <c r="F495" s="73" t="s">
        <v>21</v>
      </c>
      <c r="G495" s="74"/>
      <c r="H495" s="95">
        <v>1000000.0</v>
      </c>
      <c r="I495" s="95">
        <v>0.0</v>
      </c>
      <c r="J495" s="80">
        <f t="shared" si="2"/>
        <v>73842730</v>
      </c>
      <c r="K495" s="77">
        <f t="shared" si="3"/>
        <v>12</v>
      </c>
    </row>
    <row r="496" ht="15.75" customHeight="1">
      <c r="A496" s="99">
        <v>45288.0</v>
      </c>
      <c r="B496" s="74"/>
      <c r="C496" s="87"/>
      <c r="D496" s="86"/>
      <c r="E496" s="102" t="s">
        <v>653</v>
      </c>
      <c r="F496" s="73" t="s">
        <v>315</v>
      </c>
      <c r="G496" s="74"/>
      <c r="H496" s="95">
        <v>0.0</v>
      </c>
      <c r="I496" s="95">
        <v>5400000.0</v>
      </c>
      <c r="J496" s="80">
        <f t="shared" si="2"/>
        <v>68442730</v>
      </c>
      <c r="K496" s="77">
        <f t="shared" si="3"/>
        <v>12</v>
      </c>
    </row>
    <row r="497" ht="15.75" customHeight="1">
      <c r="A497" s="99">
        <v>45288.0</v>
      </c>
      <c r="B497" s="74"/>
      <c r="C497" s="87"/>
      <c r="D497" s="71"/>
      <c r="E497" s="102" t="s">
        <v>654</v>
      </c>
      <c r="F497" s="73" t="s">
        <v>21</v>
      </c>
      <c r="G497" s="74"/>
      <c r="H497" s="95">
        <v>1500000.0</v>
      </c>
      <c r="I497" s="95">
        <v>0.0</v>
      </c>
      <c r="J497" s="80">
        <f t="shared" si="2"/>
        <v>69942730</v>
      </c>
      <c r="K497" s="77">
        <f t="shared" si="3"/>
        <v>12</v>
      </c>
    </row>
    <row r="498" ht="15.75" customHeight="1">
      <c r="A498" s="99">
        <v>45288.0</v>
      </c>
      <c r="B498" s="74"/>
      <c r="C498" s="87"/>
      <c r="D498" s="84" t="s">
        <v>247</v>
      </c>
      <c r="E498" s="102" t="s">
        <v>339</v>
      </c>
      <c r="F498" s="73" t="s">
        <v>307</v>
      </c>
      <c r="G498" s="74"/>
      <c r="H498" s="95">
        <v>0.0</v>
      </c>
      <c r="I498" s="95">
        <v>2900.0</v>
      </c>
      <c r="J498" s="80">
        <f t="shared" si="2"/>
        <v>69939830</v>
      </c>
      <c r="K498" s="77">
        <f t="shared" si="3"/>
        <v>12</v>
      </c>
    </row>
    <row r="499" ht="15.75" customHeight="1">
      <c r="A499" s="99">
        <v>45288.0</v>
      </c>
      <c r="B499" s="74"/>
      <c r="C499" s="87"/>
      <c r="D499" s="84" t="s">
        <v>247</v>
      </c>
      <c r="E499" s="102" t="s">
        <v>340</v>
      </c>
      <c r="F499" s="73" t="s">
        <v>307</v>
      </c>
      <c r="G499" s="74"/>
      <c r="H499" s="95">
        <v>0.0</v>
      </c>
      <c r="I499" s="95">
        <v>40600.0</v>
      </c>
      <c r="J499" s="80">
        <f t="shared" si="2"/>
        <v>69899230</v>
      </c>
      <c r="K499" s="77">
        <f t="shared" si="3"/>
        <v>12</v>
      </c>
    </row>
    <row r="500" ht="15.75" customHeight="1">
      <c r="A500" s="99">
        <v>45288.0</v>
      </c>
      <c r="B500" s="74"/>
      <c r="C500" s="87"/>
      <c r="D500" s="84" t="s">
        <v>247</v>
      </c>
      <c r="E500" s="102" t="s">
        <v>341</v>
      </c>
      <c r="F500" s="73" t="s">
        <v>307</v>
      </c>
      <c r="G500" s="74"/>
      <c r="H500" s="95">
        <v>0.0</v>
      </c>
      <c r="I500" s="95">
        <v>2900.0</v>
      </c>
      <c r="J500" s="80">
        <f t="shared" si="2"/>
        <v>69896330</v>
      </c>
      <c r="K500" s="77">
        <f t="shared" si="3"/>
        <v>12</v>
      </c>
    </row>
    <row r="501" ht="15.75" customHeight="1">
      <c r="A501" s="99">
        <v>45288.0</v>
      </c>
      <c r="B501" s="74"/>
      <c r="C501" s="87"/>
      <c r="D501" s="84" t="s">
        <v>247</v>
      </c>
      <c r="E501" s="102" t="s">
        <v>342</v>
      </c>
      <c r="F501" s="73" t="s">
        <v>307</v>
      </c>
      <c r="G501" s="74"/>
      <c r="H501" s="95">
        <v>0.0</v>
      </c>
      <c r="I501" s="95">
        <v>0.0</v>
      </c>
      <c r="J501" s="80">
        <f t="shared" si="2"/>
        <v>69896330</v>
      </c>
      <c r="K501" s="77">
        <f t="shared" si="3"/>
        <v>12</v>
      </c>
    </row>
    <row r="502" ht="15.75" customHeight="1">
      <c r="A502" s="99">
        <v>45288.0</v>
      </c>
      <c r="B502" s="74"/>
      <c r="C502" s="87"/>
      <c r="D502" s="84" t="s">
        <v>247</v>
      </c>
      <c r="E502" s="102" t="s">
        <v>343</v>
      </c>
      <c r="F502" s="73" t="s">
        <v>307</v>
      </c>
      <c r="G502" s="74"/>
      <c r="H502" s="95">
        <v>0.0</v>
      </c>
      <c r="I502" s="95">
        <v>0.0</v>
      </c>
      <c r="J502" s="80">
        <f t="shared" si="2"/>
        <v>69896330</v>
      </c>
      <c r="K502" s="77">
        <f t="shared" si="3"/>
        <v>12</v>
      </c>
    </row>
    <row r="503" ht="15.75" customHeight="1">
      <c r="A503" s="99">
        <v>45289.0</v>
      </c>
      <c r="B503" s="74"/>
      <c r="C503" s="87"/>
      <c r="D503" s="71"/>
      <c r="E503" s="102" t="s">
        <v>655</v>
      </c>
      <c r="F503" s="73" t="s">
        <v>656</v>
      </c>
      <c r="G503" s="74"/>
      <c r="H503" s="95">
        <v>0.0</v>
      </c>
      <c r="I503" s="95">
        <v>1.05E7</v>
      </c>
      <c r="J503" s="80">
        <f t="shared" si="2"/>
        <v>59396330</v>
      </c>
      <c r="K503" s="77">
        <f t="shared" si="3"/>
        <v>12</v>
      </c>
    </row>
    <row r="504" ht="15.75" customHeight="1">
      <c r="A504" s="99">
        <v>45291.0</v>
      </c>
      <c r="B504" s="74"/>
      <c r="C504" s="87"/>
      <c r="D504" s="86"/>
      <c r="E504" s="102" t="s">
        <v>646</v>
      </c>
      <c r="F504" s="73" t="s">
        <v>327</v>
      </c>
      <c r="G504" s="74"/>
      <c r="H504" s="95">
        <v>0.0</v>
      </c>
      <c r="I504" s="95">
        <v>375000.0</v>
      </c>
      <c r="J504" s="80">
        <f t="shared" si="2"/>
        <v>59021330</v>
      </c>
      <c r="K504" s="77">
        <f t="shared" si="3"/>
        <v>12</v>
      </c>
    </row>
    <row r="505" ht="15.75" customHeight="1">
      <c r="A505" s="99">
        <v>45291.0</v>
      </c>
      <c r="B505" s="74"/>
      <c r="C505" s="87"/>
      <c r="D505" s="84" t="s">
        <v>247</v>
      </c>
      <c r="E505" s="102" t="s">
        <v>306</v>
      </c>
      <c r="F505" s="73" t="s">
        <v>307</v>
      </c>
      <c r="G505" s="74"/>
      <c r="H505" s="95">
        <v>0.0</v>
      </c>
      <c r="I505" s="95">
        <v>2500.0</v>
      </c>
      <c r="J505" s="80">
        <f t="shared" si="2"/>
        <v>59018830</v>
      </c>
      <c r="K505" s="77">
        <f t="shared" si="3"/>
        <v>12</v>
      </c>
    </row>
    <row r="506" ht="15.75" customHeight="1">
      <c r="A506" s="99">
        <v>45291.0</v>
      </c>
      <c r="B506" s="74"/>
      <c r="C506" s="87"/>
      <c r="D506" s="84" t="s">
        <v>247</v>
      </c>
      <c r="E506" s="102" t="s">
        <v>360</v>
      </c>
      <c r="F506" s="73" t="s">
        <v>361</v>
      </c>
      <c r="G506" s="74"/>
      <c r="H506" s="95">
        <v>0.0</v>
      </c>
      <c r="I506" s="95">
        <v>30000.0</v>
      </c>
      <c r="J506" s="80">
        <f t="shared" si="2"/>
        <v>58988830</v>
      </c>
      <c r="K506" s="77">
        <f t="shared" si="3"/>
        <v>12</v>
      </c>
    </row>
    <row r="507" ht="15.75" customHeight="1">
      <c r="A507" s="99"/>
      <c r="B507" s="74"/>
      <c r="C507" s="87"/>
      <c r="D507" s="86"/>
      <c r="E507" s="102"/>
      <c r="F507" s="73"/>
      <c r="G507" s="74"/>
      <c r="H507" s="120"/>
      <c r="I507" s="95"/>
      <c r="J507" s="80">
        <f t="shared" si="2"/>
        <v>58988830</v>
      </c>
      <c r="K507" s="77">
        <f t="shared" si="3"/>
        <v>12</v>
      </c>
    </row>
    <row r="508" ht="15.75" customHeight="1">
      <c r="A508" s="121"/>
      <c r="B508" s="122"/>
      <c r="C508" s="123"/>
      <c r="D508" s="124"/>
      <c r="E508" s="125"/>
      <c r="F508" s="123"/>
      <c r="G508" s="9"/>
      <c r="H508" s="126"/>
      <c r="I508" s="127"/>
      <c r="J508" s="126"/>
      <c r="K508" s="128"/>
    </row>
    <row r="509" ht="15.75" customHeight="1">
      <c r="A509" s="129"/>
      <c r="B509" s="130"/>
      <c r="C509" s="130"/>
      <c r="D509" s="131"/>
      <c r="E509" s="132" t="s">
        <v>657</v>
      </c>
      <c r="F509" s="130"/>
      <c r="G509" s="27"/>
      <c r="H509" s="133">
        <f t="shared" ref="H509:I509" si="4">SUBTOTAL(9,H8:H507)</f>
        <v>3037480150</v>
      </c>
      <c r="I509" s="133">
        <f t="shared" si="4"/>
        <v>3028173359</v>
      </c>
      <c r="J509" s="133">
        <f>J5+H509-I509</f>
        <v>58988830</v>
      </c>
      <c r="K509" s="134"/>
    </row>
    <row r="510" ht="15.75" customHeight="1">
      <c r="A510" s="135"/>
      <c r="B510" s="29"/>
      <c r="C510" s="29"/>
      <c r="D510" s="19"/>
      <c r="E510" s="136"/>
      <c r="F510" s="29"/>
      <c r="G510" s="29"/>
      <c r="H510" s="31"/>
      <c r="I510" s="137"/>
      <c r="J510" s="138" t="s">
        <v>658</v>
      </c>
      <c r="K510" s="139"/>
    </row>
    <row r="511" ht="15.75" customHeight="1">
      <c r="A511" s="135"/>
      <c r="B511" s="29"/>
      <c r="C511" s="29"/>
      <c r="D511" s="19"/>
      <c r="E511" s="136"/>
      <c r="F511" s="140"/>
      <c r="G511" s="140" t="s">
        <v>659</v>
      </c>
      <c r="H511" s="141"/>
      <c r="I511" s="142"/>
      <c r="J511" s="143"/>
      <c r="K511" s="143"/>
    </row>
    <row r="512" ht="15.75" customHeight="1">
      <c r="A512" s="135"/>
      <c r="B512" s="29"/>
      <c r="C512" s="29"/>
      <c r="D512" s="19"/>
      <c r="E512" s="136"/>
      <c r="F512" s="140"/>
      <c r="G512" s="140" t="s">
        <v>660</v>
      </c>
      <c r="H512" s="144"/>
      <c r="I512" s="144"/>
      <c r="J512" s="144"/>
      <c r="K512" s="139"/>
    </row>
    <row r="513" ht="15.75" customHeight="1">
      <c r="A513" s="135"/>
      <c r="B513" s="29"/>
      <c r="C513" s="29"/>
      <c r="D513" s="19"/>
      <c r="E513" s="136"/>
      <c r="F513" s="29"/>
      <c r="G513" s="29"/>
      <c r="H513" s="31"/>
      <c r="I513" s="137"/>
      <c r="J513" s="145"/>
      <c r="K513" s="139"/>
    </row>
    <row r="514" ht="15.75" customHeight="1">
      <c r="A514" s="135"/>
      <c r="B514" s="31"/>
      <c r="C514" s="31"/>
      <c r="D514" s="146"/>
      <c r="E514" s="147"/>
      <c r="F514" s="140"/>
      <c r="G514" s="140" t="s">
        <v>661</v>
      </c>
      <c r="H514" s="148">
        <f>J5</f>
        <v>49682039</v>
      </c>
      <c r="I514" s="137"/>
      <c r="J514" s="144"/>
      <c r="K514" s="139"/>
    </row>
    <row r="515" ht="15.75" customHeight="1">
      <c r="A515" s="135"/>
      <c r="B515" s="31"/>
      <c r="C515" s="31"/>
      <c r="D515" s="146"/>
      <c r="E515" s="147"/>
      <c r="F515" s="140"/>
      <c r="G515" s="140" t="s">
        <v>662</v>
      </c>
      <c r="H515" s="148">
        <f>H509-I509</f>
        <v>9306791</v>
      </c>
      <c r="I515" s="137"/>
      <c r="J515" s="144"/>
      <c r="K515" s="139"/>
    </row>
    <row r="516" ht="15.75" customHeight="1">
      <c r="A516" s="135"/>
      <c r="B516" s="31"/>
      <c r="C516" s="31"/>
      <c r="D516" s="146"/>
      <c r="E516" s="147"/>
      <c r="F516" s="140"/>
      <c r="G516" s="140" t="s">
        <v>663</v>
      </c>
      <c r="H516" s="149">
        <f>H514+H515</f>
        <v>58988830</v>
      </c>
      <c r="I516" s="137"/>
      <c r="J516" s="144"/>
      <c r="K516" s="139"/>
    </row>
    <row r="517" ht="15.75" customHeight="1">
      <c r="A517" s="135"/>
      <c r="B517" s="31"/>
      <c r="C517" s="31"/>
      <c r="D517" s="146"/>
      <c r="E517" s="147"/>
      <c r="F517" s="29"/>
      <c r="G517" s="29"/>
      <c r="H517" s="31"/>
      <c r="I517" s="137"/>
      <c r="J517" s="144"/>
      <c r="K517" s="139"/>
    </row>
    <row r="518" ht="15.75" customHeight="1">
      <c r="A518" s="135"/>
      <c r="B518" s="31"/>
      <c r="C518" s="31"/>
      <c r="D518" s="146"/>
      <c r="E518" s="147"/>
      <c r="F518" s="150"/>
      <c r="G518" s="150" t="s">
        <v>664</v>
      </c>
      <c r="H518" s="145"/>
      <c r="I518" s="137"/>
      <c r="J518" s="145"/>
      <c r="K518" s="139"/>
    </row>
    <row r="519" ht="15.75" customHeight="1">
      <c r="A519" s="135"/>
      <c r="B519" s="31"/>
      <c r="C519" s="31"/>
      <c r="D519" s="146"/>
      <c r="E519" s="151"/>
      <c r="F519" s="140"/>
      <c r="G519" s="140" t="s">
        <v>665</v>
      </c>
      <c r="H519" s="31"/>
      <c r="I519" s="137"/>
      <c r="J519" s="145"/>
      <c r="K519" s="139"/>
    </row>
    <row r="520" ht="15.75" customHeight="1">
      <c r="A520" s="135"/>
      <c r="B520" s="31"/>
      <c r="C520" s="31"/>
      <c r="D520" s="146"/>
      <c r="E520" s="151"/>
      <c r="F520" s="140"/>
      <c r="G520" s="140" t="s">
        <v>666</v>
      </c>
      <c r="H520" s="152">
        <f>H516</f>
        <v>58988830</v>
      </c>
      <c r="I520" s="137"/>
      <c r="J520" s="145"/>
      <c r="K520" s="139"/>
    </row>
    <row r="521" ht="15.75" customHeight="1">
      <c r="A521" s="135"/>
      <c r="B521" s="31"/>
      <c r="C521" s="31"/>
      <c r="D521" s="146"/>
      <c r="E521" s="151"/>
      <c r="F521" s="140"/>
      <c r="G521" s="140" t="s">
        <v>667</v>
      </c>
      <c r="H521" s="153">
        <v>5.898883044E7</v>
      </c>
      <c r="I521" s="154" t="s">
        <v>668</v>
      </c>
      <c r="J521" s="145"/>
      <c r="K521" s="139"/>
    </row>
    <row r="522" ht="15.75" customHeight="1">
      <c r="A522" s="135"/>
      <c r="B522" s="31"/>
      <c r="C522" s="31"/>
      <c r="D522" s="146"/>
      <c r="E522" s="151"/>
      <c r="F522" s="140"/>
      <c r="G522" s="140" t="s">
        <v>669</v>
      </c>
      <c r="H522" s="155">
        <f>H520-H521</f>
        <v>-0.4399999976</v>
      </c>
      <c r="I522" s="156" t="s">
        <v>670</v>
      </c>
      <c r="J522" s="145"/>
      <c r="K522" s="139"/>
    </row>
    <row r="523" ht="15.75" customHeight="1">
      <c r="A523" s="135"/>
      <c r="B523" s="31"/>
      <c r="C523" s="31"/>
      <c r="D523" s="146"/>
      <c r="E523" s="151"/>
      <c r="F523" s="29"/>
      <c r="G523" s="29"/>
      <c r="H523" s="31"/>
      <c r="I523" s="137"/>
      <c r="J523" s="145"/>
      <c r="K523" s="139"/>
    </row>
    <row r="524" ht="15.75" customHeight="1">
      <c r="A524" s="135"/>
      <c r="B524" s="31"/>
      <c r="C524" s="31"/>
      <c r="D524" s="146"/>
      <c r="E524" s="151"/>
      <c r="F524" s="29"/>
      <c r="G524" s="29"/>
      <c r="H524" s="31"/>
      <c r="I524" s="137"/>
      <c r="J524" s="145"/>
      <c r="K524" s="139"/>
    </row>
    <row r="525" ht="15.75" customHeight="1">
      <c r="A525" s="135"/>
      <c r="B525" s="31"/>
      <c r="C525" s="31"/>
      <c r="D525" s="146"/>
      <c r="E525" s="151"/>
      <c r="F525" s="29"/>
      <c r="G525" s="29"/>
      <c r="H525" s="31"/>
      <c r="I525" s="137"/>
      <c r="J525" s="145"/>
      <c r="K525" s="139"/>
    </row>
    <row r="526" ht="15.75" customHeight="1">
      <c r="A526" s="135"/>
      <c r="B526" s="31"/>
      <c r="C526" s="31"/>
      <c r="D526" s="146"/>
      <c r="E526" s="151"/>
      <c r="F526" s="29"/>
      <c r="G526" s="29"/>
      <c r="H526" s="31"/>
      <c r="I526" s="137"/>
      <c r="J526" s="145"/>
      <c r="K526" s="139"/>
    </row>
    <row r="527" ht="15.75" customHeight="1">
      <c r="A527" s="135"/>
      <c r="B527" s="31"/>
      <c r="C527" s="31"/>
      <c r="D527" s="146"/>
      <c r="E527" s="151"/>
      <c r="F527" s="29"/>
      <c r="G527" s="29"/>
      <c r="H527" s="31"/>
      <c r="I527" s="137"/>
      <c r="J527" s="145"/>
      <c r="K527" s="139"/>
    </row>
    <row r="528" ht="15.75" customHeight="1">
      <c r="A528" s="135"/>
      <c r="B528" s="31"/>
      <c r="C528" s="31"/>
      <c r="D528" s="146"/>
      <c r="E528" s="151"/>
      <c r="F528" s="29"/>
      <c r="G528" s="29"/>
      <c r="H528" s="31"/>
      <c r="I528" s="137"/>
      <c r="J528" s="145"/>
      <c r="K528" s="139"/>
    </row>
    <row r="529" ht="15.75" customHeight="1">
      <c r="A529" s="135"/>
      <c r="B529" s="31"/>
      <c r="C529" s="31"/>
      <c r="D529" s="146"/>
      <c r="E529" s="151"/>
      <c r="F529" s="29"/>
      <c r="G529" s="29"/>
      <c r="H529" s="31"/>
      <c r="I529" s="137"/>
      <c r="J529" s="145"/>
      <c r="K529" s="139"/>
    </row>
    <row r="530" ht="15.75" customHeight="1">
      <c r="A530" s="98"/>
      <c r="B530" s="74"/>
      <c r="C530" s="98"/>
      <c r="D530" s="101"/>
      <c r="E530" s="157"/>
      <c r="F530" s="74"/>
      <c r="G530" s="74"/>
      <c r="H530" s="120"/>
      <c r="I530" s="120"/>
      <c r="J530" s="80"/>
      <c r="K530" s="74"/>
    </row>
    <row r="531" ht="15.75" customHeight="1">
      <c r="A531" s="98"/>
      <c r="B531" s="74"/>
      <c r="C531" s="98"/>
      <c r="D531" s="101"/>
      <c r="E531" s="157"/>
      <c r="F531" s="74"/>
      <c r="G531" s="74"/>
      <c r="H531" s="120"/>
      <c r="I531" s="120"/>
      <c r="J531" s="80"/>
      <c r="K531" s="74"/>
    </row>
    <row r="532" ht="15.75" customHeight="1">
      <c r="A532" s="98"/>
      <c r="B532" s="74"/>
      <c r="C532" s="98"/>
      <c r="D532" s="101"/>
      <c r="E532" s="157"/>
      <c r="F532" s="74"/>
      <c r="G532" s="74"/>
      <c r="H532" s="120"/>
      <c r="I532" s="120"/>
      <c r="J532" s="80"/>
      <c r="K532" s="74"/>
    </row>
    <row r="533" ht="15.75" customHeight="1">
      <c r="A533" s="98"/>
      <c r="B533" s="74"/>
      <c r="C533" s="98"/>
      <c r="D533" s="101"/>
      <c r="E533" s="157"/>
      <c r="F533" s="74"/>
      <c r="G533" s="74"/>
      <c r="H533" s="120"/>
      <c r="I533" s="120"/>
      <c r="J533" s="80"/>
      <c r="K533" s="74"/>
    </row>
    <row r="534" ht="15.75" customHeight="1">
      <c r="A534" s="98"/>
      <c r="B534" s="74"/>
      <c r="C534" s="98"/>
      <c r="D534" s="101"/>
      <c r="E534" s="157"/>
      <c r="F534" s="74"/>
      <c r="G534" s="74"/>
      <c r="H534" s="120"/>
      <c r="I534" s="120"/>
      <c r="J534" s="80"/>
      <c r="K534" s="74"/>
    </row>
    <row r="535" ht="15.75" customHeight="1">
      <c r="A535" s="98"/>
      <c r="B535" s="74"/>
      <c r="C535" s="98"/>
      <c r="D535" s="101"/>
      <c r="E535" s="157"/>
      <c r="F535" s="74"/>
      <c r="G535" s="74"/>
      <c r="H535" s="120"/>
      <c r="I535" s="120"/>
      <c r="J535" s="80"/>
      <c r="K535" s="74"/>
    </row>
    <row r="536" ht="15.75" customHeight="1">
      <c r="A536" s="98"/>
      <c r="B536" s="74"/>
      <c r="C536" s="98"/>
      <c r="D536" s="101"/>
      <c r="E536" s="157"/>
      <c r="F536" s="74"/>
      <c r="G536" s="74"/>
      <c r="H536" s="120"/>
      <c r="I536" s="120"/>
      <c r="J536" s="80"/>
      <c r="K536" s="74"/>
    </row>
    <row r="537" ht="15.75" customHeight="1">
      <c r="A537" s="98"/>
      <c r="B537" s="74"/>
      <c r="C537" s="98"/>
      <c r="D537" s="101"/>
      <c r="E537" s="157"/>
      <c r="F537" s="74"/>
      <c r="G537" s="74"/>
      <c r="H537" s="120"/>
      <c r="I537" s="120"/>
      <c r="J537" s="120"/>
      <c r="K537" s="74"/>
    </row>
    <row r="538" ht="15.75" customHeight="1">
      <c r="A538" s="98"/>
      <c r="B538" s="74"/>
      <c r="C538" s="98"/>
      <c r="D538" s="101"/>
      <c r="E538" s="157"/>
      <c r="F538" s="74"/>
      <c r="G538" s="74"/>
      <c r="H538" s="120"/>
      <c r="I538" s="120"/>
      <c r="J538" s="120"/>
      <c r="K538" s="74"/>
    </row>
    <row r="539" ht="15.75" customHeight="1">
      <c r="A539" s="98"/>
      <c r="B539" s="74"/>
      <c r="C539" s="98"/>
      <c r="D539" s="101"/>
      <c r="E539" s="157"/>
      <c r="F539" s="74"/>
      <c r="G539" s="74"/>
      <c r="H539" s="120"/>
      <c r="I539" s="120"/>
      <c r="J539" s="120"/>
      <c r="K539" s="74"/>
    </row>
    <row r="540" ht="15.75" customHeight="1">
      <c r="A540" s="98"/>
      <c r="B540" s="74"/>
      <c r="C540" s="98"/>
      <c r="D540" s="101"/>
      <c r="E540" s="157"/>
      <c r="F540" s="74"/>
      <c r="G540" s="74"/>
      <c r="H540" s="120"/>
      <c r="I540" s="120"/>
      <c r="J540" s="120"/>
      <c r="K540" s="74"/>
    </row>
    <row r="541" ht="15.75" customHeight="1">
      <c r="A541" s="98"/>
      <c r="B541" s="74"/>
      <c r="C541" s="98"/>
      <c r="D541" s="101"/>
      <c r="E541" s="157"/>
      <c r="F541" s="74"/>
      <c r="G541" s="74"/>
      <c r="H541" s="120"/>
      <c r="I541" s="120"/>
      <c r="J541" s="120"/>
      <c r="K541" s="74"/>
    </row>
    <row r="542" ht="15.75" customHeight="1">
      <c r="A542" s="98"/>
      <c r="B542" s="74"/>
      <c r="C542" s="98"/>
      <c r="D542" s="101"/>
      <c r="E542" s="157"/>
      <c r="F542" s="74"/>
      <c r="G542" s="74"/>
      <c r="H542" s="120"/>
      <c r="I542" s="120"/>
      <c r="J542" s="120"/>
      <c r="K542" s="74"/>
    </row>
    <row r="543" ht="15.75" customHeight="1">
      <c r="A543" s="98"/>
      <c r="B543" s="74"/>
      <c r="C543" s="98"/>
      <c r="D543" s="101"/>
      <c r="E543" s="157"/>
      <c r="F543" s="74"/>
      <c r="G543" s="74"/>
      <c r="H543" s="120"/>
      <c r="I543" s="120"/>
      <c r="J543" s="120"/>
      <c r="K543" s="74"/>
    </row>
    <row r="544" ht="15.75" customHeight="1">
      <c r="A544" s="98"/>
      <c r="B544" s="74"/>
      <c r="C544" s="98"/>
      <c r="D544" s="101"/>
      <c r="E544" s="157"/>
      <c r="F544" s="74"/>
      <c r="G544" s="74"/>
      <c r="H544" s="120"/>
      <c r="I544" s="120"/>
      <c r="J544" s="120"/>
      <c r="K544" s="74"/>
    </row>
    <row r="545" ht="15.75" customHeight="1">
      <c r="A545" s="98"/>
      <c r="B545" s="74"/>
      <c r="C545" s="98"/>
      <c r="D545" s="101"/>
      <c r="E545" s="157"/>
      <c r="F545" s="74"/>
      <c r="G545" s="74"/>
      <c r="H545" s="120"/>
      <c r="I545" s="120"/>
      <c r="J545" s="120"/>
      <c r="K545" s="74"/>
    </row>
    <row r="546" ht="15.75" customHeight="1">
      <c r="A546" s="98"/>
      <c r="B546" s="74"/>
      <c r="C546" s="98"/>
      <c r="D546" s="101"/>
      <c r="E546" s="157"/>
      <c r="F546" s="74"/>
      <c r="G546" s="74"/>
      <c r="H546" s="120"/>
      <c r="I546" s="120"/>
      <c r="J546" s="120"/>
      <c r="K546" s="74"/>
    </row>
    <row r="547" ht="15.75" customHeight="1">
      <c r="A547" s="98"/>
      <c r="B547" s="74"/>
      <c r="C547" s="98"/>
      <c r="D547" s="101"/>
      <c r="E547" s="157"/>
      <c r="F547" s="74"/>
      <c r="G547" s="74"/>
      <c r="H547" s="120"/>
      <c r="I547" s="120"/>
      <c r="J547" s="120"/>
      <c r="K547" s="74"/>
    </row>
    <row r="548" ht="15.75" customHeight="1">
      <c r="A548" s="98"/>
      <c r="B548" s="74"/>
      <c r="C548" s="98"/>
      <c r="D548" s="101"/>
      <c r="E548" s="157"/>
      <c r="F548" s="74"/>
      <c r="G548" s="74"/>
      <c r="H548" s="120"/>
      <c r="I548" s="120"/>
      <c r="J548" s="120"/>
      <c r="K548" s="74"/>
    </row>
    <row r="549" ht="15.75" customHeight="1">
      <c r="A549" s="98"/>
      <c r="B549" s="74"/>
      <c r="C549" s="98"/>
      <c r="D549" s="101"/>
      <c r="E549" s="157"/>
      <c r="F549" s="74"/>
      <c r="G549" s="74"/>
      <c r="H549" s="120"/>
      <c r="I549" s="120"/>
      <c r="J549" s="120"/>
      <c r="K549" s="74"/>
    </row>
    <row r="550" ht="15.75" customHeight="1">
      <c r="A550" s="98"/>
      <c r="B550" s="74"/>
      <c r="C550" s="98"/>
      <c r="D550" s="101"/>
      <c r="E550" s="157"/>
      <c r="F550" s="74"/>
      <c r="G550" s="74"/>
      <c r="H550" s="120"/>
      <c r="I550" s="120"/>
      <c r="J550" s="120"/>
      <c r="K550" s="74"/>
    </row>
    <row r="551" ht="15.75" customHeight="1">
      <c r="A551" s="98"/>
      <c r="B551" s="74"/>
      <c r="C551" s="98"/>
      <c r="D551" s="101"/>
      <c r="E551" s="157"/>
      <c r="F551" s="74"/>
      <c r="G551" s="74"/>
      <c r="H551" s="120"/>
      <c r="I551" s="120"/>
      <c r="J551" s="120"/>
      <c r="K551" s="74"/>
    </row>
    <row r="552" ht="15.75" customHeight="1">
      <c r="A552" s="98"/>
      <c r="B552" s="74"/>
      <c r="C552" s="98"/>
      <c r="D552" s="101"/>
      <c r="E552" s="157"/>
      <c r="F552" s="74"/>
      <c r="G552" s="74"/>
      <c r="H552" s="120"/>
      <c r="I552" s="120"/>
      <c r="J552" s="120"/>
      <c r="K552" s="74"/>
    </row>
    <row r="553" ht="15.75" customHeight="1">
      <c r="A553" s="98"/>
      <c r="B553" s="74"/>
      <c r="C553" s="98"/>
      <c r="D553" s="101"/>
      <c r="E553" s="157"/>
      <c r="F553" s="74"/>
      <c r="G553" s="74"/>
      <c r="H553" s="120"/>
      <c r="I553" s="120"/>
      <c r="J553" s="120"/>
      <c r="K553" s="74"/>
    </row>
    <row r="554" ht="15.75" customHeight="1">
      <c r="A554" s="98"/>
      <c r="B554" s="74"/>
      <c r="C554" s="98"/>
      <c r="D554" s="101"/>
      <c r="E554" s="157"/>
      <c r="F554" s="74"/>
      <c r="G554" s="74"/>
      <c r="H554" s="120"/>
      <c r="I554" s="120"/>
      <c r="J554" s="120"/>
      <c r="K554" s="74"/>
    </row>
    <row r="555" ht="15.75" customHeight="1">
      <c r="A555" s="98"/>
      <c r="B555" s="74"/>
      <c r="C555" s="98"/>
      <c r="D555" s="101"/>
      <c r="E555" s="157"/>
      <c r="F555" s="74"/>
      <c r="G555" s="74"/>
      <c r="H555" s="120"/>
      <c r="I555" s="120"/>
      <c r="J555" s="120"/>
      <c r="K555" s="74"/>
    </row>
    <row r="556" ht="15.75" customHeight="1">
      <c r="A556" s="98"/>
      <c r="B556" s="74"/>
      <c r="C556" s="98"/>
      <c r="D556" s="101"/>
      <c r="E556" s="157"/>
      <c r="F556" s="74"/>
      <c r="G556" s="74"/>
      <c r="H556" s="120"/>
      <c r="I556" s="120"/>
      <c r="J556" s="120"/>
      <c r="K556" s="74"/>
    </row>
    <row r="557" ht="15.75" customHeight="1">
      <c r="A557" s="98"/>
      <c r="B557" s="74"/>
      <c r="C557" s="98"/>
      <c r="D557" s="101"/>
      <c r="E557" s="157"/>
      <c r="F557" s="74"/>
      <c r="G557" s="74"/>
      <c r="H557" s="120"/>
      <c r="I557" s="120"/>
      <c r="J557" s="120"/>
      <c r="K557" s="74"/>
    </row>
    <row r="558" ht="15.75" customHeight="1">
      <c r="A558" s="98"/>
      <c r="B558" s="74"/>
      <c r="C558" s="98"/>
      <c r="D558" s="101"/>
      <c r="E558" s="157"/>
      <c r="F558" s="74"/>
      <c r="G558" s="74"/>
      <c r="H558" s="120"/>
      <c r="I558" s="120"/>
      <c r="J558" s="120"/>
      <c r="K558" s="74"/>
    </row>
    <row r="559" ht="15.75" customHeight="1">
      <c r="A559" s="98"/>
      <c r="B559" s="74"/>
      <c r="C559" s="98"/>
      <c r="D559" s="101"/>
      <c r="E559" s="157"/>
      <c r="F559" s="74"/>
      <c r="G559" s="74"/>
      <c r="H559" s="120"/>
      <c r="I559" s="120"/>
      <c r="J559" s="120"/>
      <c r="K559" s="74"/>
    </row>
    <row r="560" ht="15.75" customHeight="1">
      <c r="A560" s="98"/>
      <c r="B560" s="74"/>
      <c r="C560" s="98"/>
      <c r="D560" s="101"/>
      <c r="E560" s="157"/>
      <c r="F560" s="74"/>
      <c r="G560" s="74"/>
      <c r="H560" s="120"/>
      <c r="I560" s="120"/>
      <c r="J560" s="120"/>
      <c r="K560" s="74"/>
    </row>
    <row r="561" ht="15.75" customHeight="1">
      <c r="A561" s="98"/>
      <c r="B561" s="74"/>
      <c r="C561" s="98"/>
      <c r="D561" s="101"/>
      <c r="E561" s="157"/>
      <c r="F561" s="74"/>
      <c r="G561" s="74"/>
      <c r="H561" s="120"/>
      <c r="I561" s="120"/>
      <c r="J561" s="120"/>
      <c r="K561" s="74"/>
    </row>
    <row r="562" ht="15.75" customHeight="1">
      <c r="A562" s="98"/>
      <c r="B562" s="74"/>
      <c r="C562" s="98"/>
      <c r="D562" s="101"/>
      <c r="E562" s="157"/>
      <c r="F562" s="74"/>
      <c r="G562" s="74"/>
      <c r="H562" s="120"/>
      <c r="I562" s="120"/>
      <c r="J562" s="120"/>
      <c r="K562" s="74"/>
    </row>
    <row r="563" ht="15.75" customHeight="1">
      <c r="A563" s="98"/>
      <c r="B563" s="74"/>
      <c r="C563" s="98"/>
      <c r="D563" s="101"/>
      <c r="E563" s="157"/>
      <c r="F563" s="74"/>
      <c r="G563" s="74"/>
      <c r="H563" s="120"/>
      <c r="I563" s="120"/>
      <c r="J563" s="120"/>
      <c r="K563" s="74"/>
    </row>
    <row r="564" ht="15.75" customHeight="1">
      <c r="A564" s="98"/>
      <c r="B564" s="74"/>
      <c r="C564" s="98"/>
      <c r="D564" s="101"/>
      <c r="E564" s="157"/>
      <c r="F564" s="74"/>
      <c r="G564" s="74"/>
      <c r="H564" s="120"/>
      <c r="I564" s="120"/>
      <c r="J564" s="120"/>
      <c r="K564" s="74"/>
    </row>
    <row r="565" ht="15.75" customHeight="1">
      <c r="A565" s="98"/>
      <c r="B565" s="74"/>
      <c r="C565" s="98"/>
      <c r="D565" s="101"/>
      <c r="E565" s="157"/>
      <c r="F565" s="74"/>
      <c r="G565" s="74"/>
      <c r="H565" s="120"/>
      <c r="I565" s="120"/>
      <c r="J565" s="120"/>
      <c r="K565" s="74"/>
    </row>
    <row r="566" ht="15.75" customHeight="1">
      <c r="A566" s="98"/>
      <c r="B566" s="74"/>
      <c r="C566" s="98"/>
      <c r="D566" s="101"/>
      <c r="E566" s="157"/>
      <c r="F566" s="74"/>
      <c r="G566" s="74"/>
      <c r="H566" s="120"/>
      <c r="I566" s="120"/>
      <c r="J566" s="120"/>
      <c r="K566" s="74"/>
    </row>
    <row r="567" ht="15.75" customHeight="1">
      <c r="A567" s="98"/>
      <c r="B567" s="74"/>
      <c r="C567" s="98"/>
      <c r="D567" s="101"/>
      <c r="E567" s="157"/>
      <c r="F567" s="74"/>
      <c r="G567" s="74"/>
      <c r="H567" s="120"/>
      <c r="I567" s="120"/>
      <c r="J567" s="120"/>
      <c r="K567" s="74"/>
    </row>
    <row r="568" ht="15.75" customHeight="1">
      <c r="A568" s="98"/>
      <c r="B568" s="74"/>
      <c r="C568" s="98"/>
      <c r="D568" s="101"/>
      <c r="E568" s="157"/>
      <c r="F568" s="74"/>
      <c r="G568" s="74"/>
      <c r="H568" s="120"/>
      <c r="I568" s="120"/>
      <c r="J568" s="120"/>
      <c r="K568" s="74"/>
    </row>
    <row r="569" ht="15.75" customHeight="1">
      <c r="A569" s="98"/>
      <c r="B569" s="74"/>
      <c r="C569" s="98"/>
      <c r="D569" s="101"/>
      <c r="E569" s="157"/>
      <c r="F569" s="74"/>
      <c r="G569" s="74"/>
      <c r="H569" s="120"/>
      <c r="I569" s="120"/>
      <c r="J569" s="120"/>
      <c r="K569" s="74"/>
    </row>
    <row r="570" ht="15.75" customHeight="1">
      <c r="A570" s="98"/>
      <c r="B570" s="74"/>
      <c r="C570" s="98"/>
      <c r="D570" s="101"/>
      <c r="E570" s="157"/>
      <c r="F570" s="74"/>
      <c r="G570" s="74"/>
      <c r="H570" s="120"/>
      <c r="I570" s="120"/>
      <c r="J570" s="120"/>
      <c r="K570" s="74"/>
    </row>
    <row r="571" ht="15.75" customHeight="1">
      <c r="A571" s="98"/>
      <c r="B571" s="74"/>
      <c r="C571" s="98"/>
      <c r="D571" s="101"/>
      <c r="E571" s="157"/>
      <c r="F571" s="74"/>
      <c r="G571" s="74"/>
      <c r="H571" s="120"/>
      <c r="I571" s="120"/>
      <c r="J571" s="120"/>
      <c r="K571" s="74"/>
    </row>
    <row r="572" ht="15.75" customHeight="1">
      <c r="A572" s="98"/>
      <c r="B572" s="74"/>
      <c r="C572" s="98"/>
      <c r="D572" s="101"/>
      <c r="E572" s="157"/>
      <c r="F572" s="74"/>
      <c r="G572" s="74"/>
      <c r="H572" s="120"/>
      <c r="I572" s="120"/>
      <c r="J572" s="120"/>
      <c r="K572" s="74"/>
    </row>
    <row r="573" ht="15.75" customHeight="1">
      <c r="A573" s="98"/>
      <c r="B573" s="74"/>
      <c r="C573" s="98"/>
      <c r="D573" s="101"/>
      <c r="E573" s="157"/>
      <c r="F573" s="74"/>
      <c r="G573" s="74"/>
      <c r="H573" s="120"/>
      <c r="I573" s="120"/>
      <c r="J573" s="120"/>
      <c r="K573" s="74"/>
    </row>
    <row r="574" ht="15.75" customHeight="1">
      <c r="A574" s="98"/>
      <c r="B574" s="74"/>
      <c r="C574" s="98"/>
      <c r="D574" s="101"/>
      <c r="E574" s="157"/>
      <c r="F574" s="74"/>
      <c r="G574" s="74"/>
      <c r="H574" s="120"/>
      <c r="I574" s="120"/>
      <c r="J574" s="120"/>
      <c r="K574" s="74"/>
    </row>
    <row r="575" ht="15.75" customHeight="1">
      <c r="A575" s="98"/>
      <c r="B575" s="74"/>
      <c r="C575" s="98"/>
      <c r="D575" s="101"/>
      <c r="E575" s="157"/>
      <c r="F575" s="74"/>
      <c r="G575" s="74"/>
      <c r="H575" s="120"/>
      <c r="I575" s="120"/>
      <c r="J575" s="120"/>
      <c r="K575" s="74"/>
    </row>
    <row r="576" ht="15.75" customHeight="1">
      <c r="A576" s="98"/>
      <c r="B576" s="74"/>
      <c r="C576" s="98"/>
      <c r="D576" s="101"/>
      <c r="E576" s="157"/>
      <c r="F576" s="74"/>
      <c r="G576" s="74"/>
      <c r="H576" s="120"/>
      <c r="I576" s="120"/>
      <c r="J576" s="120"/>
      <c r="K576" s="74"/>
    </row>
    <row r="577" ht="15.75" customHeight="1">
      <c r="A577" s="98"/>
      <c r="B577" s="74"/>
      <c r="C577" s="98"/>
      <c r="D577" s="101"/>
      <c r="E577" s="157"/>
      <c r="F577" s="74"/>
      <c r="G577" s="74"/>
      <c r="H577" s="120"/>
      <c r="I577" s="120"/>
      <c r="J577" s="120"/>
      <c r="K577" s="74"/>
    </row>
    <row r="578" ht="15.75" customHeight="1">
      <c r="A578" s="98"/>
      <c r="B578" s="74"/>
      <c r="C578" s="98"/>
      <c r="D578" s="101"/>
      <c r="E578" s="157"/>
      <c r="F578" s="74"/>
      <c r="G578" s="74"/>
      <c r="H578" s="120"/>
      <c r="I578" s="120"/>
      <c r="J578" s="120"/>
      <c r="K578" s="74"/>
    </row>
    <row r="579" ht="15.75" customHeight="1">
      <c r="A579" s="98"/>
      <c r="B579" s="74"/>
      <c r="C579" s="98"/>
      <c r="D579" s="101"/>
      <c r="E579" s="157"/>
      <c r="F579" s="74"/>
      <c r="G579" s="74"/>
      <c r="H579" s="120"/>
      <c r="I579" s="120"/>
      <c r="J579" s="120"/>
      <c r="K579" s="74"/>
    </row>
    <row r="580" ht="15.75" customHeight="1">
      <c r="A580" s="98"/>
      <c r="B580" s="74"/>
      <c r="C580" s="98"/>
      <c r="D580" s="101"/>
      <c r="E580" s="157"/>
      <c r="F580" s="74"/>
      <c r="G580" s="74"/>
      <c r="H580" s="120"/>
      <c r="I580" s="120"/>
      <c r="J580" s="120"/>
      <c r="K580" s="74"/>
    </row>
    <row r="581" ht="15.75" customHeight="1">
      <c r="A581" s="98"/>
      <c r="B581" s="74"/>
      <c r="C581" s="98"/>
      <c r="D581" s="101"/>
      <c r="E581" s="157"/>
      <c r="F581" s="74"/>
      <c r="G581" s="74"/>
      <c r="H581" s="120"/>
      <c r="I581" s="120"/>
      <c r="J581" s="120"/>
      <c r="K581" s="74"/>
    </row>
    <row r="582" ht="15.75" customHeight="1">
      <c r="A582" s="98"/>
      <c r="B582" s="74"/>
      <c r="C582" s="98"/>
      <c r="D582" s="101"/>
      <c r="E582" s="157"/>
      <c r="F582" s="74"/>
      <c r="G582" s="74"/>
      <c r="H582" s="120"/>
      <c r="I582" s="120"/>
      <c r="J582" s="120"/>
      <c r="K582" s="74"/>
    </row>
    <row r="583" ht="15.75" customHeight="1">
      <c r="A583" s="98"/>
      <c r="B583" s="74"/>
      <c r="C583" s="98"/>
      <c r="D583" s="101"/>
      <c r="E583" s="157"/>
      <c r="F583" s="74"/>
      <c r="G583" s="74"/>
      <c r="H583" s="120"/>
      <c r="I583" s="120"/>
      <c r="J583" s="120"/>
      <c r="K583" s="74"/>
    </row>
    <row r="584" ht="15.75" customHeight="1">
      <c r="A584" s="98"/>
      <c r="B584" s="74"/>
      <c r="C584" s="98"/>
      <c r="D584" s="101"/>
      <c r="E584" s="157"/>
      <c r="F584" s="74"/>
      <c r="G584" s="74"/>
      <c r="H584" s="120"/>
      <c r="I584" s="120"/>
      <c r="J584" s="120"/>
      <c r="K584" s="74"/>
    </row>
    <row r="585" ht="15.75" customHeight="1">
      <c r="A585" s="98"/>
      <c r="B585" s="74"/>
      <c r="C585" s="98"/>
      <c r="D585" s="101"/>
      <c r="E585" s="157"/>
      <c r="F585" s="74"/>
      <c r="G585" s="74"/>
      <c r="H585" s="120"/>
      <c r="I585" s="120"/>
      <c r="J585" s="120"/>
      <c r="K585" s="74"/>
    </row>
    <row r="586" ht="15.75" customHeight="1">
      <c r="A586" s="98"/>
      <c r="B586" s="74"/>
      <c r="C586" s="98"/>
      <c r="D586" s="101"/>
      <c r="E586" s="157"/>
      <c r="F586" s="74"/>
      <c r="G586" s="74"/>
      <c r="H586" s="120"/>
      <c r="I586" s="120"/>
      <c r="J586" s="120"/>
      <c r="K586" s="74"/>
    </row>
    <row r="587" ht="15.75" customHeight="1">
      <c r="A587" s="98"/>
      <c r="B587" s="74"/>
      <c r="C587" s="98"/>
      <c r="D587" s="101"/>
      <c r="E587" s="157"/>
      <c r="F587" s="74"/>
      <c r="G587" s="74"/>
      <c r="H587" s="120"/>
      <c r="I587" s="120"/>
      <c r="J587" s="120"/>
      <c r="K587" s="74"/>
    </row>
    <row r="588" ht="15.75" customHeight="1">
      <c r="A588" s="98"/>
      <c r="B588" s="74"/>
      <c r="C588" s="98"/>
      <c r="D588" s="101"/>
      <c r="E588" s="157"/>
      <c r="F588" s="74"/>
      <c r="G588" s="74"/>
      <c r="H588" s="120"/>
      <c r="I588" s="120"/>
      <c r="J588" s="120"/>
      <c r="K588" s="74"/>
    </row>
    <row r="589" ht="15.75" customHeight="1">
      <c r="A589" s="98"/>
      <c r="B589" s="74"/>
      <c r="C589" s="98"/>
      <c r="D589" s="101"/>
      <c r="E589" s="157"/>
      <c r="F589" s="74"/>
      <c r="G589" s="74"/>
      <c r="H589" s="120"/>
      <c r="I589" s="120"/>
      <c r="J589" s="120"/>
      <c r="K589" s="74"/>
    </row>
    <row r="590" ht="15.75" customHeight="1">
      <c r="A590" s="98"/>
      <c r="B590" s="74"/>
      <c r="C590" s="98"/>
      <c r="D590" s="101"/>
      <c r="E590" s="157"/>
      <c r="F590" s="74"/>
      <c r="G590" s="74"/>
      <c r="H590" s="120"/>
      <c r="I590" s="120"/>
      <c r="J590" s="120"/>
      <c r="K590" s="74"/>
    </row>
    <row r="591" ht="15.75" customHeight="1">
      <c r="A591" s="98"/>
      <c r="B591" s="74"/>
      <c r="C591" s="98"/>
      <c r="D591" s="101"/>
      <c r="E591" s="157"/>
      <c r="F591" s="74"/>
      <c r="G591" s="74"/>
      <c r="H591" s="120"/>
      <c r="I591" s="120"/>
      <c r="J591" s="120"/>
      <c r="K591" s="74"/>
    </row>
    <row r="592" ht="15.75" customHeight="1">
      <c r="A592" s="98"/>
      <c r="B592" s="74"/>
      <c r="C592" s="98"/>
      <c r="D592" s="101"/>
      <c r="E592" s="157"/>
      <c r="F592" s="74"/>
      <c r="G592" s="74"/>
      <c r="H592" s="120"/>
      <c r="I592" s="120"/>
      <c r="J592" s="120"/>
      <c r="K592" s="74"/>
    </row>
    <row r="593" ht="15.75" customHeight="1">
      <c r="A593" s="98"/>
      <c r="B593" s="74"/>
      <c r="C593" s="98"/>
      <c r="D593" s="101"/>
      <c r="E593" s="157"/>
      <c r="F593" s="74"/>
      <c r="G593" s="74"/>
      <c r="H593" s="120"/>
      <c r="I593" s="120"/>
      <c r="J593" s="120"/>
      <c r="K593" s="74"/>
    </row>
    <row r="594" ht="15.75" customHeight="1">
      <c r="A594" s="98"/>
      <c r="B594" s="74"/>
      <c r="C594" s="98"/>
      <c r="D594" s="101"/>
      <c r="E594" s="157"/>
      <c r="F594" s="74"/>
      <c r="G594" s="74"/>
      <c r="H594" s="120"/>
      <c r="I594" s="120"/>
      <c r="J594" s="120"/>
      <c r="K594" s="74"/>
    </row>
    <row r="595" ht="15.75" customHeight="1">
      <c r="A595" s="98"/>
      <c r="B595" s="74"/>
      <c r="C595" s="98"/>
      <c r="D595" s="101"/>
      <c r="E595" s="157"/>
      <c r="F595" s="74"/>
      <c r="G595" s="74"/>
      <c r="H595" s="120"/>
      <c r="I595" s="120"/>
      <c r="J595" s="120"/>
      <c r="K595" s="74"/>
    </row>
    <row r="596" ht="15.75" customHeight="1">
      <c r="A596" s="98"/>
      <c r="B596" s="74"/>
      <c r="C596" s="98"/>
      <c r="D596" s="101"/>
      <c r="E596" s="157"/>
      <c r="F596" s="74"/>
      <c r="G596" s="74"/>
      <c r="H596" s="120"/>
      <c r="I596" s="120"/>
      <c r="J596" s="120"/>
      <c r="K596" s="74"/>
    </row>
    <row r="597" ht="15.75" customHeight="1">
      <c r="A597" s="98"/>
      <c r="B597" s="74"/>
      <c r="C597" s="98"/>
      <c r="D597" s="101"/>
      <c r="E597" s="157"/>
      <c r="F597" s="74"/>
      <c r="G597" s="74"/>
      <c r="H597" s="120"/>
      <c r="I597" s="120"/>
      <c r="J597" s="120"/>
      <c r="K597" s="74"/>
    </row>
    <row r="598" ht="15.75" customHeight="1">
      <c r="A598" s="98"/>
      <c r="B598" s="74"/>
      <c r="C598" s="98"/>
      <c r="D598" s="101"/>
      <c r="E598" s="157"/>
      <c r="F598" s="74"/>
      <c r="G598" s="74"/>
      <c r="H598" s="120"/>
      <c r="I598" s="120"/>
      <c r="J598" s="120"/>
      <c r="K598" s="74"/>
    </row>
    <row r="599" ht="15.75" customHeight="1">
      <c r="A599" s="98"/>
      <c r="B599" s="74"/>
      <c r="C599" s="98"/>
      <c r="D599" s="101"/>
      <c r="E599" s="157"/>
      <c r="F599" s="74"/>
      <c r="G599" s="74"/>
      <c r="H599" s="120"/>
      <c r="I599" s="120"/>
      <c r="J599" s="120"/>
      <c r="K599" s="74"/>
    </row>
    <row r="600" ht="15.75" customHeight="1">
      <c r="A600" s="98"/>
      <c r="B600" s="74"/>
      <c r="C600" s="98"/>
      <c r="D600" s="101"/>
      <c r="E600" s="157"/>
      <c r="F600" s="74"/>
      <c r="G600" s="74"/>
      <c r="H600" s="120"/>
      <c r="I600" s="120"/>
      <c r="J600" s="120"/>
      <c r="K600" s="74"/>
    </row>
    <row r="601" ht="15.75" customHeight="1">
      <c r="A601" s="98"/>
      <c r="B601" s="74"/>
      <c r="C601" s="98"/>
      <c r="D601" s="101"/>
      <c r="E601" s="157"/>
      <c r="F601" s="74"/>
      <c r="G601" s="74"/>
      <c r="H601" s="120"/>
      <c r="I601" s="120"/>
      <c r="J601" s="120"/>
      <c r="K601" s="74"/>
    </row>
    <row r="602" ht="15.75" customHeight="1">
      <c r="A602" s="98"/>
      <c r="B602" s="74"/>
      <c r="C602" s="98"/>
      <c r="D602" s="101"/>
      <c r="E602" s="157"/>
      <c r="F602" s="74"/>
      <c r="G602" s="74"/>
      <c r="H602" s="120"/>
      <c r="I602" s="120"/>
      <c r="J602" s="120"/>
      <c r="K602" s="74"/>
    </row>
    <row r="603" ht="15.75" customHeight="1">
      <c r="A603" s="98"/>
      <c r="B603" s="74"/>
      <c r="C603" s="98"/>
      <c r="D603" s="101"/>
      <c r="E603" s="157"/>
      <c r="F603" s="74"/>
      <c r="G603" s="74"/>
      <c r="H603" s="120"/>
      <c r="I603" s="120"/>
      <c r="J603" s="120"/>
      <c r="K603" s="74"/>
    </row>
    <row r="604" ht="15.75" customHeight="1">
      <c r="A604" s="98"/>
      <c r="B604" s="74"/>
      <c r="C604" s="98"/>
      <c r="D604" s="101"/>
      <c r="E604" s="157"/>
      <c r="F604" s="74"/>
      <c r="G604" s="74"/>
      <c r="H604" s="120"/>
      <c r="I604" s="120"/>
      <c r="J604" s="120"/>
      <c r="K604" s="74"/>
    </row>
    <row r="605" ht="15.75" customHeight="1">
      <c r="A605" s="98"/>
      <c r="B605" s="74"/>
      <c r="C605" s="98"/>
      <c r="D605" s="101"/>
      <c r="E605" s="157"/>
      <c r="F605" s="74"/>
      <c r="G605" s="74"/>
      <c r="H605" s="120"/>
      <c r="I605" s="120"/>
      <c r="J605" s="120"/>
      <c r="K605" s="74"/>
    </row>
    <row r="606" ht="15.75" customHeight="1">
      <c r="A606" s="98"/>
      <c r="B606" s="74"/>
      <c r="C606" s="98"/>
      <c r="D606" s="101"/>
      <c r="E606" s="157"/>
      <c r="F606" s="74"/>
      <c r="G606" s="74"/>
      <c r="H606" s="120"/>
      <c r="I606" s="120"/>
      <c r="J606" s="120"/>
      <c r="K606" s="74"/>
    </row>
    <row r="607" ht="15.75" customHeight="1">
      <c r="A607" s="98"/>
      <c r="B607" s="74"/>
      <c r="C607" s="98"/>
      <c r="D607" s="101"/>
      <c r="E607" s="157"/>
      <c r="F607" s="74"/>
      <c r="G607" s="74"/>
      <c r="H607" s="120"/>
      <c r="I607" s="120"/>
      <c r="J607" s="120"/>
      <c r="K607" s="74"/>
    </row>
    <row r="608" ht="15.75" customHeight="1">
      <c r="A608" s="98"/>
      <c r="B608" s="74"/>
      <c r="C608" s="98"/>
      <c r="D608" s="101"/>
      <c r="E608" s="157"/>
      <c r="F608" s="74"/>
      <c r="G608" s="74"/>
      <c r="H608" s="120"/>
      <c r="I608" s="120"/>
      <c r="J608" s="120"/>
      <c r="K608" s="74"/>
    </row>
    <row r="609" ht="15.75" customHeight="1">
      <c r="A609" s="98"/>
      <c r="B609" s="74"/>
      <c r="C609" s="98"/>
      <c r="D609" s="101"/>
      <c r="E609" s="157"/>
      <c r="F609" s="74"/>
      <c r="G609" s="74"/>
      <c r="H609" s="120"/>
      <c r="I609" s="120"/>
      <c r="J609" s="120"/>
      <c r="K609" s="74"/>
    </row>
    <row r="610" ht="15.75" customHeight="1">
      <c r="A610" s="98"/>
      <c r="B610" s="74"/>
      <c r="C610" s="98"/>
      <c r="D610" s="101"/>
      <c r="E610" s="157"/>
      <c r="F610" s="74"/>
      <c r="G610" s="74"/>
      <c r="H610" s="120"/>
      <c r="I610" s="120"/>
      <c r="J610" s="120"/>
      <c r="K610" s="74"/>
    </row>
    <row r="611" ht="15.75" customHeight="1">
      <c r="A611" s="98"/>
      <c r="B611" s="74"/>
      <c r="C611" s="98"/>
      <c r="D611" s="101"/>
      <c r="E611" s="157"/>
      <c r="F611" s="74"/>
      <c r="G611" s="74"/>
      <c r="H611" s="120"/>
      <c r="I611" s="120"/>
      <c r="J611" s="120"/>
      <c r="K611" s="74"/>
    </row>
    <row r="612" ht="15.75" customHeight="1">
      <c r="A612" s="98"/>
      <c r="B612" s="74"/>
      <c r="C612" s="98"/>
      <c r="D612" s="101"/>
      <c r="E612" s="157"/>
      <c r="F612" s="74"/>
      <c r="G612" s="74"/>
      <c r="H612" s="120"/>
      <c r="I612" s="120"/>
      <c r="J612" s="120"/>
      <c r="K612" s="74"/>
    </row>
    <row r="613" ht="15.75" customHeight="1">
      <c r="A613" s="98"/>
      <c r="B613" s="74"/>
      <c r="C613" s="98"/>
      <c r="D613" s="101"/>
      <c r="E613" s="157"/>
      <c r="F613" s="74"/>
      <c r="G613" s="74"/>
      <c r="H613" s="120"/>
      <c r="I613" s="120"/>
      <c r="J613" s="120"/>
      <c r="K613" s="74"/>
    </row>
    <row r="614" ht="15.75" customHeight="1">
      <c r="A614" s="98"/>
      <c r="B614" s="74"/>
      <c r="C614" s="98"/>
      <c r="D614" s="101"/>
      <c r="E614" s="157"/>
      <c r="F614" s="74"/>
      <c r="G614" s="74"/>
      <c r="H614" s="120"/>
      <c r="I614" s="120"/>
      <c r="J614" s="120"/>
      <c r="K614" s="74"/>
    </row>
    <row r="615" ht="15.75" customHeight="1">
      <c r="A615" s="98"/>
      <c r="B615" s="74"/>
      <c r="C615" s="98"/>
      <c r="D615" s="101"/>
      <c r="E615" s="157"/>
      <c r="F615" s="74"/>
      <c r="G615" s="74"/>
      <c r="H615" s="120"/>
      <c r="I615" s="120"/>
      <c r="J615" s="120"/>
      <c r="K615" s="74"/>
    </row>
    <row r="616" ht="15.75" customHeight="1">
      <c r="A616" s="98"/>
      <c r="B616" s="74"/>
      <c r="C616" s="98"/>
      <c r="D616" s="101"/>
      <c r="E616" s="157"/>
      <c r="F616" s="74"/>
      <c r="G616" s="74"/>
      <c r="H616" s="120"/>
      <c r="I616" s="120"/>
      <c r="J616" s="120"/>
      <c r="K616" s="74"/>
    </row>
    <row r="617" ht="15.75" customHeight="1">
      <c r="A617" s="98"/>
      <c r="B617" s="74"/>
      <c r="C617" s="98"/>
      <c r="D617" s="101"/>
      <c r="E617" s="157"/>
      <c r="F617" s="74"/>
      <c r="G617" s="74"/>
      <c r="H617" s="120"/>
      <c r="I617" s="120"/>
      <c r="J617" s="120"/>
      <c r="K617" s="74"/>
    </row>
    <row r="618" ht="15.75" customHeight="1">
      <c r="A618" s="98"/>
      <c r="B618" s="74"/>
      <c r="C618" s="98"/>
      <c r="D618" s="101"/>
      <c r="E618" s="157"/>
      <c r="F618" s="74"/>
      <c r="G618" s="74"/>
      <c r="H618" s="120"/>
      <c r="I618" s="120"/>
      <c r="J618" s="120"/>
      <c r="K618" s="74"/>
    </row>
    <row r="619" ht="15.75" customHeight="1">
      <c r="A619" s="98"/>
      <c r="B619" s="74"/>
      <c r="C619" s="98"/>
      <c r="D619" s="101"/>
      <c r="E619" s="157"/>
      <c r="F619" s="74"/>
      <c r="G619" s="74"/>
      <c r="H619" s="120"/>
      <c r="I619" s="120"/>
      <c r="J619" s="120"/>
      <c r="K619" s="74"/>
    </row>
    <row r="620" ht="15.75" customHeight="1">
      <c r="A620" s="98"/>
      <c r="B620" s="74"/>
      <c r="C620" s="98"/>
      <c r="D620" s="101"/>
      <c r="E620" s="157"/>
      <c r="F620" s="74"/>
      <c r="G620" s="74"/>
      <c r="H620" s="120"/>
      <c r="I620" s="120"/>
      <c r="J620" s="120"/>
      <c r="K620" s="74"/>
    </row>
    <row r="621" ht="15.75" customHeight="1">
      <c r="A621" s="98"/>
      <c r="B621" s="74"/>
      <c r="C621" s="98"/>
      <c r="D621" s="101"/>
      <c r="E621" s="157"/>
      <c r="F621" s="74"/>
      <c r="G621" s="74"/>
      <c r="H621" s="120"/>
      <c r="I621" s="120"/>
      <c r="J621" s="120"/>
      <c r="K621" s="74"/>
    </row>
    <row r="622" ht="15.75" customHeight="1">
      <c r="A622" s="98"/>
      <c r="B622" s="74"/>
      <c r="C622" s="98"/>
      <c r="D622" s="101"/>
      <c r="E622" s="157"/>
      <c r="F622" s="74"/>
      <c r="G622" s="74"/>
      <c r="H622" s="120"/>
      <c r="I622" s="120"/>
      <c r="J622" s="120"/>
      <c r="K622" s="74"/>
    </row>
    <row r="623" ht="15.75" customHeight="1">
      <c r="A623" s="98"/>
      <c r="B623" s="74"/>
      <c r="C623" s="98"/>
      <c r="D623" s="101"/>
      <c r="E623" s="157"/>
      <c r="F623" s="74"/>
      <c r="G623" s="74"/>
      <c r="H623" s="120"/>
      <c r="I623" s="120"/>
      <c r="J623" s="120"/>
      <c r="K623" s="74"/>
    </row>
    <row r="624" ht="15.75" customHeight="1">
      <c r="A624" s="98"/>
      <c r="B624" s="74"/>
      <c r="C624" s="98"/>
      <c r="D624" s="101"/>
      <c r="E624" s="157"/>
      <c r="F624" s="74"/>
      <c r="G624" s="74"/>
      <c r="H624" s="120"/>
      <c r="I624" s="120"/>
      <c r="J624" s="120"/>
      <c r="K624" s="74"/>
    </row>
    <row r="625" ht="15.75" customHeight="1">
      <c r="A625" s="98"/>
      <c r="B625" s="74"/>
      <c r="C625" s="98"/>
      <c r="D625" s="101"/>
      <c r="E625" s="157"/>
      <c r="F625" s="74"/>
      <c r="G625" s="74"/>
      <c r="H625" s="120"/>
      <c r="I625" s="120"/>
      <c r="J625" s="120"/>
      <c r="K625" s="74"/>
    </row>
    <row r="626" ht="15.75" customHeight="1">
      <c r="A626" s="98"/>
      <c r="B626" s="74"/>
      <c r="C626" s="98"/>
      <c r="D626" s="101"/>
      <c r="E626" s="157"/>
      <c r="F626" s="74"/>
      <c r="G626" s="74"/>
      <c r="H626" s="120"/>
      <c r="I626" s="120"/>
      <c r="J626" s="120"/>
      <c r="K626" s="74"/>
    </row>
    <row r="627" ht="15.75" customHeight="1">
      <c r="A627" s="98"/>
      <c r="B627" s="74"/>
      <c r="C627" s="98"/>
      <c r="D627" s="101"/>
      <c r="E627" s="157"/>
      <c r="F627" s="74"/>
      <c r="G627" s="74"/>
      <c r="H627" s="120"/>
      <c r="I627" s="120"/>
      <c r="J627" s="120"/>
      <c r="K627" s="74"/>
    </row>
    <row r="628" ht="15.75" customHeight="1">
      <c r="A628" s="98"/>
      <c r="B628" s="74"/>
      <c r="C628" s="98"/>
      <c r="D628" s="101"/>
      <c r="E628" s="157"/>
      <c r="F628" s="74"/>
      <c r="G628" s="74"/>
      <c r="H628" s="120"/>
      <c r="I628" s="120"/>
      <c r="J628" s="120"/>
      <c r="K628" s="74"/>
    </row>
    <row r="629" ht="15.75" customHeight="1">
      <c r="A629" s="98"/>
      <c r="B629" s="74"/>
      <c r="C629" s="98"/>
      <c r="D629" s="101"/>
      <c r="E629" s="157"/>
      <c r="F629" s="74"/>
      <c r="G629" s="74"/>
      <c r="H629" s="120"/>
      <c r="I629" s="120"/>
      <c r="J629" s="120"/>
      <c r="K629" s="74"/>
    </row>
    <row r="630" ht="15.75" customHeight="1">
      <c r="A630" s="98"/>
      <c r="B630" s="74"/>
      <c r="C630" s="98"/>
      <c r="D630" s="101"/>
      <c r="E630" s="157"/>
      <c r="F630" s="74"/>
      <c r="G630" s="74"/>
      <c r="H630" s="120"/>
      <c r="I630" s="120"/>
      <c r="J630" s="120"/>
      <c r="K630" s="74"/>
    </row>
    <row r="631" ht="15.75" customHeight="1">
      <c r="A631" s="98"/>
      <c r="B631" s="74"/>
      <c r="C631" s="98"/>
      <c r="D631" s="101"/>
      <c r="E631" s="157"/>
      <c r="F631" s="74"/>
      <c r="G631" s="74"/>
      <c r="H631" s="120"/>
      <c r="I631" s="120"/>
      <c r="J631" s="120"/>
      <c r="K631" s="74"/>
    </row>
    <row r="632" ht="15.75" customHeight="1">
      <c r="A632" s="98"/>
      <c r="B632" s="74"/>
      <c r="C632" s="98"/>
      <c r="D632" s="101"/>
      <c r="E632" s="157"/>
      <c r="F632" s="74"/>
      <c r="G632" s="74"/>
      <c r="H632" s="120"/>
      <c r="I632" s="120"/>
      <c r="J632" s="120"/>
      <c r="K632" s="74"/>
    </row>
    <row r="633" ht="15.75" customHeight="1">
      <c r="A633" s="98"/>
      <c r="B633" s="74"/>
      <c r="C633" s="98"/>
      <c r="D633" s="101"/>
      <c r="E633" s="157"/>
      <c r="F633" s="74"/>
      <c r="G633" s="74"/>
      <c r="H633" s="120"/>
      <c r="I633" s="120"/>
      <c r="J633" s="120"/>
      <c r="K633" s="74"/>
    </row>
    <row r="634" ht="15.75" customHeight="1">
      <c r="A634" s="98"/>
      <c r="B634" s="74"/>
      <c r="C634" s="98"/>
      <c r="D634" s="101"/>
      <c r="E634" s="157"/>
      <c r="F634" s="74"/>
      <c r="G634" s="74"/>
      <c r="H634" s="120"/>
      <c r="I634" s="120"/>
      <c r="J634" s="120"/>
      <c r="K634" s="74"/>
    </row>
    <row r="635" ht="15.75" customHeight="1">
      <c r="A635" s="98"/>
      <c r="B635" s="74"/>
      <c r="C635" s="98"/>
      <c r="D635" s="101"/>
      <c r="E635" s="157"/>
      <c r="F635" s="74"/>
      <c r="G635" s="74"/>
      <c r="H635" s="120"/>
      <c r="I635" s="120"/>
      <c r="J635" s="120"/>
      <c r="K635" s="74"/>
    </row>
    <row r="636" ht="15.75" customHeight="1">
      <c r="A636" s="98"/>
      <c r="B636" s="74"/>
      <c r="C636" s="98"/>
      <c r="D636" s="101"/>
      <c r="E636" s="157"/>
      <c r="F636" s="74"/>
      <c r="G636" s="74"/>
      <c r="H636" s="120"/>
      <c r="I636" s="120"/>
      <c r="J636" s="120"/>
      <c r="K636" s="74"/>
    </row>
    <row r="637" ht="15.75" customHeight="1">
      <c r="A637" s="98"/>
      <c r="B637" s="74"/>
      <c r="C637" s="98"/>
      <c r="D637" s="101"/>
      <c r="E637" s="157"/>
      <c r="F637" s="74"/>
      <c r="G637" s="74"/>
      <c r="H637" s="120"/>
      <c r="I637" s="120"/>
      <c r="J637" s="120"/>
      <c r="K637" s="74"/>
    </row>
    <row r="638" ht="15.75" customHeight="1">
      <c r="A638" s="98"/>
      <c r="B638" s="74"/>
      <c r="C638" s="98"/>
      <c r="D638" s="101"/>
      <c r="E638" s="157"/>
      <c r="F638" s="74"/>
      <c r="G638" s="74"/>
      <c r="H638" s="120"/>
      <c r="I638" s="120"/>
      <c r="J638" s="120"/>
      <c r="K638" s="74"/>
    </row>
    <row r="639" ht="15.75" customHeight="1">
      <c r="A639" s="98"/>
      <c r="B639" s="74"/>
      <c r="C639" s="98"/>
      <c r="D639" s="101"/>
      <c r="E639" s="157"/>
      <c r="F639" s="74"/>
      <c r="G639" s="74"/>
      <c r="H639" s="120"/>
      <c r="I639" s="120"/>
      <c r="J639" s="120"/>
      <c r="K639" s="74"/>
    </row>
    <row r="640" ht="15.75" customHeight="1">
      <c r="A640" s="98"/>
      <c r="B640" s="74"/>
      <c r="C640" s="98"/>
      <c r="D640" s="101"/>
      <c r="E640" s="157"/>
      <c r="F640" s="74"/>
      <c r="G640" s="74"/>
      <c r="H640" s="120"/>
      <c r="I640" s="120"/>
      <c r="J640" s="120"/>
      <c r="K640" s="74"/>
    </row>
    <row r="641" ht="15.75" customHeight="1">
      <c r="A641" s="98"/>
      <c r="B641" s="74"/>
      <c r="C641" s="98"/>
      <c r="D641" s="101"/>
      <c r="E641" s="157"/>
      <c r="F641" s="74"/>
      <c r="G641" s="74"/>
      <c r="H641" s="120"/>
      <c r="I641" s="120"/>
      <c r="J641" s="120"/>
      <c r="K641" s="74"/>
    </row>
    <row r="642" ht="15.75" customHeight="1">
      <c r="A642" s="98"/>
      <c r="B642" s="74"/>
      <c r="C642" s="98"/>
      <c r="D642" s="101"/>
      <c r="E642" s="157"/>
      <c r="F642" s="74"/>
      <c r="G642" s="74"/>
      <c r="H642" s="120"/>
      <c r="I642" s="120"/>
      <c r="J642" s="120"/>
      <c r="K642" s="74"/>
    </row>
    <row r="643" ht="15.75" customHeight="1">
      <c r="A643" s="98"/>
      <c r="B643" s="74"/>
      <c r="C643" s="98"/>
      <c r="D643" s="101"/>
      <c r="E643" s="157"/>
      <c r="F643" s="74"/>
      <c r="G643" s="74"/>
      <c r="H643" s="120"/>
      <c r="I643" s="120"/>
      <c r="J643" s="120"/>
      <c r="K643" s="74"/>
    </row>
    <row r="644" ht="15.75" customHeight="1">
      <c r="A644" s="98"/>
      <c r="B644" s="74"/>
      <c r="C644" s="98"/>
      <c r="D644" s="101"/>
      <c r="E644" s="157"/>
      <c r="F644" s="74"/>
      <c r="G644" s="74"/>
      <c r="H644" s="120"/>
      <c r="I644" s="120"/>
      <c r="J644" s="120"/>
      <c r="K644" s="74"/>
    </row>
    <row r="645" ht="15.75" customHeight="1">
      <c r="A645" s="98"/>
      <c r="B645" s="74"/>
      <c r="C645" s="98"/>
      <c r="D645" s="101"/>
      <c r="E645" s="157"/>
      <c r="F645" s="74"/>
      <c r="G645" s="74"/>
      <c r="H645" s="120"/>
      <c r="I645" s="120"/>
      <c r="J645" s="120"/>
      <c r="K645" s="74"/>
    </row>
    <row r="646" ht="15.75" customHeight="1">
      <c r="A646" s="98"/>
      <c r="B646" s="74"/>
      <c r="C646" s="98"/>
      <c r="D646" s="101"/>
      <c r="E646" s="157"/>
      <c r="F646" s="74"/>
      <c r="G646" s="74"/>
      <c r="H646" s="120"/>
      <c r="I646" s="120"/>
      <c r="J646" s="120"/>
      <c r="K646" s="74"/>
    </row>
    <row r="647" ht="15.75" customHeight="1">
      <c r="A647" s="98"/>
      <c r="B647" s="74"/>
      <c r="C647" s="98"/>
      <c r="D647" s="101"/>
      <c r="E647" s="157"/>
      <c r="F647" s="74"/>
      <c r="G647" s="74"/>
      <c r="H647" s="120"/>
      <c r="I647" s="120"/>
      <c r="J647" s="120"/>
      <c r="K647" s="74"/>
    </row>
    <row r="648" ht="15.75" customHeight="1">
      <c r="A648" s="98"/>
      <c r="B648" s="74"/>
      <c r="C648" s="98"/>
      <c r="D648" s="101"/>
      <c r="E648" s="157"/>
      <c r="F648" s="74"/>
      <c r="G648" s="74"/>
      <c r="H648" s="120"/>
      <c r="I648" s="120"/>
      <c r="J648" s="120"/>
      <c r="K648" s="74"/>
    </row>
    <row r="649" ht="15.75" customHeight="1">
      <c r="A649" s="98"/>
      <c r="B649" s="74"/>
      <c r="C649" s="98"/>
      <c r="D649" s="101"/>
      <c r="E649" s="157"/>
      <c r="F649" s="74"/>
      <c r="G649" s="74"/>
      <c r="H649" s="120"/>
      <c r="I649" s="120"/>
      <c r="J649" s="120"/>
      <c r="K649" s="74"/>
    </row>
    <row r="650" ht="15.75" customHeight="1">
      <c r="A650" s="98"/>
      <c r="B650" s="74"/>
      <c r="C650" s="98"/>
      <c r="D650" s="101"/>
      <c r="E650" s="157"/>
      <c r="F650" s="74"/>
      <c r="G650" s="74"/>
      <c r="H650" s="120"/>
      <c r="I650" s="120"/>
      <c r="J650" s="120"/>
      <c r="K650" s="74"/>
    </row>
    <row r="651" ht="15.75" customHeight="1">
      <c r="A651" s="98"/>
      <c r="B651" s="74"/>
      <c r="C651" s="98"/>
      <c r="D651" s="101"/>
      <c r="E651" s="157"/>
      <c r="F651" s="74"/>
      <c r="G651" s="74"/>
      <c r="H651" s="120"/>
      <c r="I651" s="120"/>
      <c r="J651" s="120"/>
      <c r="K651" s="74"/>
    </row>
    <row r="652" ht="15.75" customHeight="1">
      <c r="A652" s="98"/>
      <c r="B652" s="74"/>
      <c r="C652" s="98"/>
      <c r="D652" s="101"/>
      <c r="E652" s="157"/>
      <c r="F652" s="74"/>
      <c r="G652" s="74"/>
      <c r="H652" s="120"/>
      <c r="I652" s="120"/>
      <c r="J652" s="120"/>
      <c r="K652" s="74"/>
    </row>
    <row r="653" ht="15.75" customHeight="1">
      <c r="A653" s="98"/>
      <c r="B653" s="74"/>
      <c r="C653" s="98"/>
      <c r="D653" s="101"/>
      <c r="E653" s="157"/>
      <c r="F653" s="74"/>
      <c r="G653" s="74"/>
      <c r="H653" s="120"/>
      <c r="I653" s="120"/>
      <c r="J653" s="120"/>
      <c r="K653" s="74"/>
    </row>
    <row r="654" ht="15.75" customHeight="1">
      <c r="A654" s="98"/>
      <c r="B654" s="74"/>
      <c r="C654" s="98"/>
      <c r="D654" s="101"/>
      <c r="E654" s="157"/>
      <c r="F654" s="74"/>
      <c r="G654" s="74"/>
      <c r="H654" s="120"/>
      <c r="I654" s="120"/>
      <c r="J654" s="120"/>
      <c r="K654" s="74"/>
    </row>
    <row r="655" ht="15.75" customHeight="1">
      <c r="A655" s="98"/>
      <c r="B655" s="74"/>
      <c r="C655" s="98"/>
      <c r="D655" s="101"/>
      <c r="E655" s="157"/>
      <c r="F655" s="74"/>
      <c r="G655" s="74"/>
      <c r="H655" s="120"/>
      <c r="I655" s="120"/>
      <c r="J655" s="120"/>
      <c r="K655" s="74"/>
    </row>
    <row r="656" ht="15.75" customHeight="1">
      <c r="A656" s="98"/>
      <c r="B656" s="74"/>
      <c r="C656" s="98"/>
      <c r="D656" s="101"/>
      <c r="E656" s="157"/>
      <c r="F656" s="74"/>
      <c r="G656" s="74"/>
      <c r="H656" s="120"/>
      <c r="I656" s="120"/>
      <c r="J656" s="120"/>
      <c r="K656" s="74"/>
    </row>
    <row r="657" ht="15.75" customHeight="1">
      <c r="A657" s="98"/>
      <c r="B657" s="74"/>
      <c r="C657" s="98"/>
      <c r="D657" s="101"/>
      <c r="E657" s="157"/>
      <c r="F657" s="74"/>
      <c r="G657" s="74"/>
      <c r="H657" s="120"/>
      <c r="I657" s="120"/>
      <c r="J657" s="120"/>
      <c r="K657" s="74"/>
    </row>
    <row r="658" ht="15.75" customHeight="1">
      <c r="A658" s="98"/>
      <c r="B658" s="74"/>
      <c r="C658" s="98"/>
      <c r="D658" s="101"/>
      <c r="E658" s="157"/>
      <c r="F658" s="74"/>
      <c r="G658" s="74"/>
      <c r="H658" s="120"/>
      <c r="I658" s="120"/>
      <c r="J658" s="120"/>
      <c r="K658" s="74"/>
    </row>
    <row r="659" ht="15.75" customHeight="1">
      <c r="A659" s="98"/>
      <c r="B659" s="74"/>
      <c r="C659" s="98"/>
      <c r="D659" s="101"/>
      <c r="E659" s="157"/>
      <c r="F659" s="74"/>
      <c r="G659" s="74"/>
      <c r="H659" s="120"/>
      <c r="I659" s="120"/>
      <c r="J659" s="120"/>
      <c r="K659" s="74"/>
    </row>
    <row r="660" ht="15.75" customHeight="1">
      <c r="A660" s="98"/>
      <c r="B660" s="74"/>
      <c r="C660" s="98"/>
      <c r="D660" s="101"/>
      <c r="E660" s="157"/>
      <c r="F660" s="74"/>
      <c r="G660" s="74"/>
      <c r="H660" s="120"/>
      <c r="I660" s="120"/>
      <c r="J660" s="120"/>
      <c r="K660" s="74"/>
    </row>
    <row r="661" ht="15.75" customHeight="1">
      <c r="A661" s="98"/>
      <c r="B661" s="74"/>
      <c r="C661" s="98"/>
      <c r="D661" s="101"/>
      <c r="E661" s="157"/>
      <c r="F661" s="74"/>
      <c r="G661" s="74"/>
      <c r="H661" s="120"/>
      <c r="I661" s="120"/>
      <c r="J661" s="120"/>
      <c r="K661" s="74"/>
    </row>
    <row r="662" ht="15.75" customHeight="1">
      <c r="A662" s="98"/>
      <c r="B662" s="74"/>
      <c r="C662" s="98"/>
      <c r="D662" s="101"/>
      <c r="E662" s="157"/>
      <c r="F662" s="74"/>
      <c r="G662" s="74"/>
      <c r="H662" s="120"/>
      <c r="I662" s="120"/>
      <c r="J662" s="120"/>
      <c r="K662" s="74"/>
    </row>
    <row r="663" ht="15.75" customHeight="1">
      <c r="A663" s="98"/>
      <c r="B663" s="74"/>
      <c r="C663" s="98"/>
      <c r="D663" s="101"/>
      <c r="E663" s="157"/>
      <c r="F663" s="74"/>
      <c r="G663" s="74"/>
      <c r="H663" s="120"/>
      <c r="I663" s="120"/>
      <c r="J663" s="120"/>
      <c r="K663" s="74"/>
    </row>
    <row r="664" ht="15.75" customHeight="1">
      <c r="A664" s="98"/>
      <c r="B664" s="74"/>
      <c r="C664" s="98"/>
      <c r="D664" s="101"/>
      <c r="E664" s="157"/>
      <c r="F664" s="74"/>
      <c r="G664" s="74"/>
      <c r="H664" s="120"/>
      <c r="I664" s="120"/>
      <c r="J664" s="120"/>
      <c r="K664" s="74"/>
    </row>
    <row r="665" ht="15.75" customHeight="1">
      <c r="A665" s="98"/>
      <c r="B665" s="74"/>
      <c r="C665" s="98"/>
      <c r="D665" s="101"/>
      <c r="E665" s="157"/>
      <c r="F665" s="74"/>
      <c r="G665" s="74"/>
      <c r="H665" s="120"/>
      <c r="I665" s="120"/>
      <c r="J665" s="120"/>
      <c r="K665" s="74"/>
    </row>
    <row r="666" ht="15.75" customHeight="1">
      <c r="A666" s="98"/>
      <c r="B666" s="74"/>
      <c r="C666" s="98"/>
      <c r="D666" s="101"/>
      <c r="E666" s="157"/>
      <c r="F666" s="74"/>
      <c r="G666" s="74"/>
      <c r="H666" s="120"/>
      <c r="I666" s="120"/>
      <c r="J666" s="120"/>
      <c r="K666" s="74"/>
    </row>
    <row r="667" ht="15.75" customHeight="1">
      <c r="A667" s="98"/>
      <c r="B667" s="74"/>
      <c r="C667" s="98"/>
      <c r="D667" s="101"/>
      <c r="E667" s="157"/>
      <c r="F667" s="74"/>
      <c r="G667" s="74"/>
      <c r="H667" s="120"/>
      <c r="I667" s="120"/>
      <c r="J667" s="120"/>
      <c r="K667" s="74"/>
    </row>
    <row r="668" ht="15.75" customHeight="1">
      <c r="A668" s="98"/>
      <c r="B668" s="74"/>
      <c r="C668" s="98"/>
      <c r="D668" s="101"/>
      <c r="E668" s="157"/>
      <c r="F668" s="74"/>
      <c r="G668" s="74"/>
      <c r="H668" s="120"/>
      <c r="I668" s="120"/>
      <c r="J668" s="120"/>
      <c r="K668" s="74"/>
    </row>
    <row r="669" ht="15.75" customHeight="1">
      <c r="A669" s="98"/>
      <c r="B669" s="74"/>
      <c r="C669" s="98"/>
      <c r="D669" s="101"/>
      <c r="E669" s="157"/>
      <c r="F669" s="74"/>
      <c r="G669" s="74"/>
      <c r="H669" s="120"/>
      <c r="I669" s="120"/>
      <c r="J669" s="120"/>
      <c r="K669" s="74"/>
    </row>
    <row r="670" ht="15.75" customHeight="1">
      <c r="A670" s="98"/>
      <c r="B670" s="74"/>
      <c r="C670" s="98"/>
      <c r="D670" s="101"/>
      <c r="E670" s="157"/>
      <c r="F670" s="74"/>
      <c r="G670" s="74"/>
      <c r="H670" s="120"/>
      <c r="I670" s="120"/>
      <c r="J670" s="120"/>
      <c r="K670" s="74"/>
    </row>
    <row r="671" ht="15.75" customHeight="1">
      <c r="A671" s="98"/>
      <c r="B671" s="74"/>
      <c r="C671" s="98"/>
      <c r="D671" s="101"/>
      <c r="E671" s="157"/>
      <c r="F671" s="74"/>
      <c r="G671" s="74"/>
      <c r="H671" s="120"/>
      <c r="I671" s="120"/>
      <c r="J671" s="120"/>
      <c r="K671" s="74"/>
    </row>
    <row r="672" ht="15.75" customHeight="1">
      <c r="A672" s="98"/>
      <c r="B672" s="74"/>
      <c r="C672" s="98"/>
      <c r="D672" s="101"/>
      <c r="E672" s="157"/>
      <c r="F672" s="74"/>
      <c r="G672" s="74"/>
      <c r="H672" s="120"/>
      <c r="I672" s="120"/>
      <c r="J672" s="120"/>
      <c r="K672" s="74"/>
    </row>
    <row r="673" ht="15.75" customHeight="1">
      <c r="A673" s="98"/>
      <c r="B673" s="74"/>
      <c r="C673" s="98"/>
      <c r="D673" s="101"/>
      <c r="E673" s="157"/>
      <c r="F673" s="74"/>
      <c r="G673" s="74"/>
      <c r="H673" s="120"/>
      <c r="I673" s="120"/>
      <c r="J673" s="120"/>
      <c r="K673" s="74"/>
    </row>
    <row r="674" ht="15.75" customHeight="1">
      <c r="A674" s="98"/>
      <c r="B674" s="74"/>
      <c r="C674" s="98"/>
      <c r="D674" s="101"/>
      <c r="E674" s="157"/>
      <c r="F674" s="74"/>
      <c r="G674" s="74"/>
      <c r="H674" s="120"/>
      <c r="I674" s="120"/>
      <c r="J674" s="120"/>
      <c r="K674" s="74"/>
    </row>
    <row r="675" ht="15.75" customHeight="1">
      <c r="A675" s="98"/>
      <c r="B675" s="74"/>
      <c r="C675" s="98"/>
      <c r="D675" s="101"/>
      <c r="E675" s="157"/>
      <c r="F675" s="74"/>
      <c r="G675" s="74"/>
      <c r="H675" s="120"/>
      <c r="I675" s="120"/>
      <c r="J675" s="120"/>
      <c r="K675" s="74"/>
    </row>
    <row r="676" ht="15.75" customHeight="1">
      <c r="A676" s="98"/>
      <c r="B676" s="74"/>
      <c r="C676" s="98"/>
      <c r="D676" s="101"/>
      <c r="E676" s="157"/>
      <c r="F676" s="74"/>
      <c r="G676" s="74"/>
      <c r="H676" s="120"/>
      <c r="I676" s="120"/>
      <c r="J676" s="120"/>
      <c r="K676" s="74"/>
    </row>
    <row r="677" ht="15.75" customHeight="1">
      <c r="A677" s="98"/>
      <c r="B677" s="74"/>
      <c r="C677" s="98"/>
      <c r="D677" s="101"/>
      <c r="E677" s="157"/>
      <c r="F677" s="74"/>
      <c r="G677" s="74"/>
      <c r="H677" s="120"/>
      <c r="I677" s="120"/>
      <c r="J677" s="120"/>
      <c r="K677" s="74"/>
    </row>
    <row r="678" ht="15.75" customHeight="1">
      <c r="A678" s="98"/>
      <c r="B678" s="74"/>
      <c r="C678" s="98"/>
      <c r="D678" s="101"/>
      <c r="E678" s="157"/>
      <c r="F678" s="74"/>
      <c r="G678" s="74"/>
      <c r="H678" s="120"/>
      <c r="I678" s="120"/>
      <c r="J678" s="120"/>
      <c r="K678" s="74"/>
    </row>
    <row r="679" ht="15.75" customHeight="1">
      <c r="A679" s="98"/>
      <c r="B679" s="74"/>
      <c r="C679" s="98"/>
      <c r="D679" s="101"/>
      <c r="E679" s="157"/>
      <c r="F679" s="74"/>
      <c r="G679" s="74"/>
      <c r="H679" s="120"/>
      <c r="I679" s="120"/>
      <c r="J679" s="120"/>
      <c r="K679" s="74"/>
    </row>
    <row r="680" ht="15.75" customHeight="1">
      <c r="A680" s="98"/>
      <c r="B680" s="74"/>
      <c r="C680" s="98"/>
      <c r="D680" s="101"/>
      <c r="E680" s="157"/>
      <c r="F680" s="74"/>
      <c r="G680" s="74"/>
      <c r="H680" s="120"/>
      <c r="I680" s="120"/>
      <c r="J680" s="120"/>
      <c r="K680" s="74"/>
    </row>
    <row r="681" ht="15.75" customHeight="1">
      <c r="A681" s="98"/>
      <c r="B681" s="74"/>
      <c r="C681" s="98"/>
      <c r="D681" s="101"/>
      <c r="E681" s="157"/>
      <c r="F681" s="74"/>
      <c r="G681" s="74"/>
      <c r="H681" s="120"/>
      <c r="I681" s="120"/>
      <c r="J681" s="120"/>
      <c r="K681" s="74"/>
    </row>
    <row r="682" ht="15.75" customHeight="1">
      <c r="A682" s="98"/>
      <c r="B682" s="74"/>
      <c r="C682" s="98"/>
      <c r="D682" s="101"/>
      <c r="E682" s="157"/>
      <c r="F682" s="74"/>
      <c r="G682" s="74"/>
      <c r="H682" s="120"/>
      <c r="I682" s="120"/>
      <c r="J682" s="120"/>
      <c r="K682" s="74"/>
    </row>
    <row r="683" ht="15.75" customHeight="1">
      <c r="A683" s="98"/>
      <c r="B683" s="74"/>
      <c r="C683" s="98"/>
      <c r="D683" s="101"/>
      <c r="E683" s="157"/>
      <c r="F683" s="74"/>
      <c r="G683" s="74"/>
      <c r="H683" s="120"/>
      <c r="I683" s="120"/>
      <c r="J683" s="120"/>
      <c r="K683" s="74"/>
    </row>
    <row r="684" ht="15.75" customHeight="1">
      <c r="A684" s="98"/>
      <c r="B684" s="74"/>
      <c r="C684" s="98"/>
      <c r="D684" s="101"/>
      <c r="E684" s="157"/>
      <c r="F684" s="74"/>
      <c r="G684" s="74"/>
      <c r="H684" s="120"/>
      <c r="I684" s="120"/>
      <c r="J684" s="120"/>
      <c r="K684" s="74"/>
    </row>
    <row r="685" ht="15.75" customHeight="1">
      <c r="A685" s="98"/>
      <c r="B685" s="74"/>
      <c r="C685" s="98"/>
      <c r="D685" s="101"/>
      <c r="E685" s="157"/>
      <c r="F685" s="74"/>
      <c r="G685" s="74"/>
      <c r="H685" s="120"/>
      <c r="I685" s="120"/>
      <c r="J685" s="120"/>
      <c r="K685" s="74"/>
    </row>
    <row r="686" ht="15.75" customHeight="1">
      <c r="A686" s="98"/>
      <c r="B686" s="74"/>
      <c r="C686" s="98"/>
      <c r="D686" s="101"/>
      <c r="E686" s="157"/>
      <c r="F686" s="74"/>
      <c r="G686" s="74"/>
      <c r="H686" s="120"/>
      <c r="I686" s="120"/>
      <c r="J686" s="120"/>
      <c r="K686" s="74"/>
    </row>
    <row r="687" ht="15.75" customHeight="1">
      <c r="A687" s="98"/>
      <c r="B687" s="74"/>
      <c r="C687" s="98"/>
      <c r="D687" s="101"/>
      <c r="E687" s="157"/>
      <c r="F687" s="74"/>
      <c r="G687" s="74"/>
      <c r="H687" s="120"/>
      <c r="I687" s="120"/>
      <c r="J687" s="120"/>
      <c r="K687" s="74"/>
    </row>
    <row r="688" ht="15.75" customHeight="1">
      <c r="A688" s="98"/>
      <c r="B688" s="74"/>
      <c r="C688" s="98"/>
      <c r="D688" s="101"/>
      <c r="E688" s="157"/>
      <c r="F688" s="74"/>
      <c r="G688" s="74"/>
      <c r="H688" s="120"/>
      <c r="I688" s="120"/>
      <c r="J688" s="120"/>
      <c r="K688" s="74"/>
    </row>
    <row r="689" ht="15.75" customHeight="1">
      <c r="A689" s="98"/>
      <c r="B689" s="74"/>
      <c r="C689" s="98"/>
      <c r="D689" s="101"/>
      <c r="E689" s="157"/>
      <c r="F689" s="74"/>
      <c r="G689" s="74"/>
      <c r="H689" s="120"/>
      <c r="I689" s="120"/>
      <c r="J689" s="120"/>
      <c r="K689" s="74"/>
    </row>
    <row r="690" ht="15.75" customHeight="1">
      <c r="A690" s="98"/>
      <c r="B690" s="74"/>
      <c r="C690" s="98"/>
      <c r="D690" s="101"/>
      <c r="E690" s="157"/>
      <c r="F690" s="74"/>
      <c r="G690" s="74"/>
      <c r="H690" s="120"/>
      <c r="I690" s="120"/>
      <c r="J690" s="120"/>
      <c r="K690" s="74"/>
    </row>
    <row r="691" ht="15.75" customHeight="1">
      <c r="A691" s="98"/>
      <c r="B691" s="74"/>
      <c r="C691" s="98"/>
      <c r="D691" s="101"/>
      <c r="E691" s="157"/>
      <c r="F691" s="74"/>
      <c r="G691" s="74"/>
      <c r="H691" s="120"/>
      <c r="I691" s="120"/>
      <c r="J691" s="120"/>
      <c r="K691" s="74"/>
    </row>
    <row r="692" ht="15.75" customHeight="1">
      <c r="A692" s="98"/>
      <c r="B692" s="74"/>
      <c r="C692" s="98"/>
      <c r="D692" s="101"/>
      <c r="E692" s="157"/>
      <c r="F692" s="74"/>
      <c r="G692" s="74"/>
      <c r="H692" s="120"/>
      <c r="I692" s="120"/>
      <c r="J692" s="120"/>
      <c r="K692" s="74"/>
    </row>
    <row r="693" ht="15.75" customHeight="1">
      <c r="A693" s="98"/>
      <c r="B693" s="74"/>
      <c r="C693" s="98"/>
      <c r="D693" s="101"/>
      <c r="E693" s="157"/>
      <c r="F693" s="74"/>
      <c r="G693" s="74"/>
      <c r="H693" s="120"/>
      <c r="I693" s="120"/>
      <c r="J693" s="120"/>
      <c r="K693" s="74"/>
    </row>
    <row r="694" ht="15.75" customHeight="1">
      <c r="A694" s="98"/>
      <c r="B694" s="74"/>
      <c r="C694" s="98"/>
      <c r="D694" s="101"/>
      <c r="E694" s="157"/>
      <c r="F694" s="74"/>
      <c r="G694" s="74"/>
      <c r="H694" s="120"/>
      <c r="I694" s="120"/>
      <c r="J694" s="120"/>
      <c r="K694" s="74"/>
    </row>
    <row r="695" ht="15.75" customHeight="1">
      <c r="A695" s="98"/>
      <c r="B695" s="74"/>
      <c r="C695" s="98"/>
      <c r="D695" s="101"/>
      <c r="E695" s="157"/>
      <c r="F695" s="74"/>
      <c r="G695" s="74"/>
      <c r="H695" s="120"/>
      <c r="I695" s="120"/>
      <c r="J695" s="120"/>
      <c r="K695" s="74"/>
    </row>
    <row r="696" ht="15.75" customHeight="1">
      <c r="A696" s="98"/>
      <c r="B696" s="74"/>
      <c r="C696" s="98"/>
      <c r="D696" s="101"/>
      <c r="E696" s="157"/>
      <c r="F696" s="74"/>
      <c r="G696" s="74"/>
      <c r="H696" s="120"/>
      <c r="I696" s="120"/>
      <c r="J696" s="120"/>
      <c r="K696" s="74"/>
    </row>
    <row r="697" ht="15.75" customHeight="1">
      <c r="A697" s="98"/>
      <c r="B697" s="74"/>
      <c r="C697" s="98"/>
      <c r="D697" s="101"/>
      <c r="E697" s="157"/>
      <c r="F697" s="74"/>
      <c r="G697" s="74"/>
      <c r="H697" s="120"/>
      <c r="I697" s="120"/>
      <c r="J697" s="120"/>
      <c r="K697" s="74"/>
    </row>
    <row r="698" ht="15.75" customHeight="1">
      <c r="A698" s="98"/>
      <c r="B698" s="74"/>
      <c r="C698" s="98"/>
      <c r="D698" s="101"/>
      <c r="E698" s="157"/>
      <c r="F698" s="74"/>
      <c r="G698" s="74"/>
      <c r="H698" s="120"/>
      <c r="I698" s="120"/>
      <c r="J698" s="120"/>
      <c r="K698" s="74"/>
    </row>
    <row r="699" ht="15.75" customHeight="1">
      <c r="A699" s="98"/>
      <c r="B699" s="74"/>
      <c r="C699" s="98"/>
      <c r="D699" s="101"/>
      <c r="E699" s="157"/>
      <c r="F699" s="74"/>
      <c r="G699" s="74"/>
      <c r="H699" s="120"/>
      <c r="I699" s="120"/>
      <c r="J699" s="120"/>
      <c r="K699" s="74"/>
    </row>
    <row r="700" ht="15.75" customHeight="1">
      <c r="A700" s="98"/>
      <c r="B700" s="74"/>
      <c r="C700" s="98"/>
      <c r="D700" s="101"/>
      <c r="E700" s="157"/>
      <c r="F700" s="74"/>
      <c r="G700" s="74"/>
      <c r="H700" s="120"/>
      <c r="I700" s="120"/>
      <c r="J700" s="120"/>
      <c r="K700" s="74"/>
    </row>
    <row r="701" ht="15.75" customHeight="1">
      <c r="A701" s="98"/>
      <c r="B701" s="74"/>
      <c r="C701" s="98"/>
      <c r="D701" s="101"/>
      <c r="E701" s="157"/>
      <c r="F701" s="74"/>
      <c r="G701" s="74"/>
      <c r="H701" s="120"/>
      <c r="I701" s="120"/>
      <c r="J701" s="120"/>
      <c r="K701" s="74"/>
    </row>
    <row r="702" ht="15.75" customHeight="1">
      <c r="A702" s="98"/>
      <c r="B702" s="74"/>
      <c r="C702" s="98"/>
      <c r="D702" s="101"/>
      <c r="E702" s="157"/>
      <c r="F702" s="74"/>
      <c r="G702" s="74"/>
      <c r="H702" s="120"/>
      <c r="I702" s="120"/>
      <c r="J702" s="120"/>
      <c r="K702" s="74"/>
    </row>
    <row r="703" ht="15.75" customHeight="1">
      <c r="A703" s="98"/>
      <c r="B703" s="74"/>
      <c r="C703" s="98"/>
      <c r="D703" s="101"/>
      <c r="E703" s="157"/>
      <c r="F703" s="74"/>
      <c r="G703" s="74"/>
      <c r="H703" s="120"/>
      <c r="I703" s="120"/>
      <c r="J703" s="120"/>
      <c r="K703" s="74"/>
    </row>
    <row r="704" ht="15.75" customHeight="1">
      <c r="A704" s="98"/>
      <c r="B704" s="74"/>
      <c r="C704" s="98"/>
      <c r="D704" s="101"/>
      <c r="E704" s="157"/>
      <c r="F704" s="74"/>
      <c r="G704" s="74"/>
      <c r="H704" s="120"/>
      <c r="I704" s="120"/>
      <c r="J704" s="120"/>
      <c r="K704" s="74"/>
    </row>
    <row r="705" ht="15.75" customHeight="1">
      <c r="A705" s="98"/>
      <c r="B705" s="74"/>
      <c r="C705" s="98"/>
      <c r="D705" s="101"/>
      <c r="E705" s="157"/>
      <c r="F705" s="74"/>
      <c r="G705" s="74"/>
      <c r="H705" s="120"/>
      <c r="I705" s="120"/>
      <c r="J705" s="120"/>
      <c r="K705" s="74"/>
    </row>
    <row r="706" ht="15.75" customHeight="1">
      <c r="A706" s="98"/>
      <c r="B706" s="74"/>
      <c r="C706" s="98"/>
      <c r="D706" s="101"/>
      <c r="E706" s="157"/>
      <c r="F706" s="74"/>
      <c r="G706" s="74"/>
      <c r="H706" s="120"/>
      <c r="I706" s="120"/>
      <c r="J706" s="120"/>
      <c r="K706" s="74"/>
    </row>
    <row r="707" ht="15.75" customHeight="1">
      <c r="A707" s="98"/>
      <c r="B707" s="74"/>
      <c r="C707" s="98"/>
      <c r="D707" s="101"/>
      <c r="E707" s="157"/>
      <c r="F707" s="74"/>
      <c r="G707" s="74"/>
      <c r="H707" s="120"/>
      <c r="I707" s="120"/>
      <c r="J707" s="120"/>
      <c r="K707" s="74"/>
    </row>
    <row r="708" ht="15.75" customHeight="1">
      <c r="A708" s="98"/>
      <c r="B708" s="74"/>
      <c r="C708" s="98"/>
      <c r="D708" s="101"/>
      <c r="E708" s="157"/>
      <c r="F708" s="74"/>
      <c r="G708" s="74"/>
      <c r="H708" s="120"/>
      <c r="I708" s="120"/>
      <c r="J708" s="120"/>
      <c r="K708" s="74"/>
    </row>
    <row r="709" ht="15.75" customHeight="1">
      <c r="A709" s="98"/>
      <c r="B709" s="74"/>
      <c r="C709" s="98"/>
      <c r="D709" s="101"/>
      <c r="E709" s="157"/>
      <c r="F709" s="74"/>
      <c r="G709" s="74"/>
      <c r="H709" s="120"/>
      <c r="I709" s="120"/>
      <c r="J709" s="120"/>
      <c r="K709" s="74"/>
    </row>
    <row r="710" ht="15.75" customHeight="1">
      <c r="A710" s="98"/>
      <c r="B710" s="74"/>
      <c r="C710" s="98"/>
      <c r="D710" s="101"/>
      <c r="E710" s="157"/>
      <c r="F710" s="74"/>
      <c r="G710" s="74"/>
      <c r="H710" s="120"/>
      <c r="I710" s="120"/>
      <c r="J710" s="120"/>
      <c r="K710" s="74"/>
    </row>
    <row r="711" ht="15.75" customHeight="1">
      <c r="A711" s="98"/>
      <c r="B711" s="74"/>
      <c r="C711" s="98"/>
      <c r="D711" s="101"/>
      <c r="E711" s="157"/>
      <c r="F711" s="74"/>
      <c r="G711" s="74"/>
      <c r="H711" s="120"/>
      <c r="I711" s="120"/>
      <c r="J711" s="120"/>
      <c r="K711" s="74"/>
    </row>
    <row r="712" ht="15.75" customHeight="1">
      <c r="A712" s="98"/>
      <c r="B712" s="74"/>
      <c r="C712" s="98"/>
      <c r="D712" s="101"/>
      <c r="E712" s="157"/>
      <c r="F712" s="74"/>
      <c r="G712" s="74"/>
      <c r="H712" s="120"/>
      <c r="I712" s="120"/>
      <c r="J712" s="120"/>
      <c r="K712" s="74"/>
    </row>
    <row r="713" ht="15.75" customHeight="1">
      <c r="A713" s="98"/>
      <c r="B713" s="74"/>
      <c r="C713" s="98"/>
      <c r="D713" s="101"/>
      <c r="E713" s="157"/>
      <c r="F713" s="74"/>
      <c r="G713" s="74"/>
      <c r="H713" s="120"/>
      <c r="I713" s="120"/>
      <c r="J713" s="120"/>
      <c r="K713" s="74"/>
    </row>
    <row r="714" ht="15.75" customHeight="1">
      <c r="A714" s="98"/>
      <c r="B714" s="74"/>
      <c r="C714" s="98"/>
      <c r="D714" s="101"/>
      <c r="E714" s="157"/>
      <c r="F714" s="74"/>
      <c r="G714" s="74"/>
      <c r="H714" s="120"/>
      <c r="I714" s="120"/>
      <c r="J714" s="120"/>
      <c r="K714" s="74"/>
    </row>
    <row r="715" ht="15.75" customHeight="1">
      <c r="A715" s="98"/>
      <c r="B715" s="74"/>
      <c r="C715" s="98"/>
      <c r="D715" s="101"/>
      <c r="E715" s="157"/>
      <c r="F715" s="74"/>
      <c r="G715" s="74"/>
      <c r="H715" s="120"/>
      <c r="I715" s="120"/>
      <c r="J715" s="120"/>
      <c r="K715" s="74"/>
    </row>
    <row r="716" ht="15.75" customHeight="1">
      <c r="A716" s="98"/>
      <c r="B716" s="74"/>
      <c r="C716" s="98"/>
      <c r="D716" s="101"/>
      <c r="E716" s="157"/>
      <c r="F716" s="74"/>
      <c r="G716" s="74"/>
      <c r="H716" s="120"/>
      <c r="I716" s="120"/>
      <c r="J716" s="120"/>
      <c r="K716" s="74"/>
    </row>
    <row r="717" ht="15.75" customHeight="1">
      <c r="A717" s="98"/>
      <c r="B717" s="74"/>
      <c r="C717" s="98"/>
      <c r="D717" s="101"/>
      <c r="E717" s="157"/>
      <c r="F717" s="74"/>
      <c r="G717" s="74"/>
      <c r="H717" s="120"/>
      <c r="I717" s="120"/>
      <c r="J717" s="120"/>
      <c r="K717" s="74"/>
    </row>
    <row r="718" ht="15.75" customHeight="1">
      <c r="A718" s="98"/>
      <c r="B718" s="74"/>
      <c r="C718" s="98"/>
      <c r="D718" s="101"/>
      <c r="E718" s="157"/>
      <c r="F718" s="74"/>
      <c r="G718" s="74"/>
      <c r="H718" s="120"/>
      <c r="I718" s="120"/>
      <c r="J718" s="120"/>
      <c r="K718" s="74"/>
    </row>
    <row r="719" ht="15.75" customHeight="1">
      <c r="A719" s="98"/>
      <c r="B719" s="74"/>
      <c r="C719" s="98"/>
      <c r="D719" s="101"/>
      <c r="E719" s="157"/>
      <c r="F719" s="74"/>
      <c r="G719" s="74"/>
      <c r="H719" s="120"/>
      <c r="I719" s="120"/>
      <c r="J719" s="120"/>
      <c r="K719" s="74"/>
    </row>
    <row r="720" ht="15.75" customHeight="1">
      <c r="A720" s="98"/>
      <c r="B720" s="74"/>
      <c r="C720" s="98"/>
      <c r="D720" s="101"/>
      <c r="E720" s="157"/>
      <c r="F720" s="74"/>
      <c r="G720" s="74"/>
      <c r="H720" s="120"/>
      <c r="I720" s="120"/>
      <c r="J720" s="120"/>
      <c r="K720" s="74"/>
    </row>
    <row r="721" ht="15.75" customHeight="1">
      <c r="A721" s="98"/>
      <c r="B721" s="74"/>
      <c r="C721" s="98"/>
      <c r="D721" s="101"/>
      <c r="E721" s="157"/>
      <c r="F721" s="74"/>
      <c r="G721" s="74"/>
      <c r="H721" s="120"/>
      <c r="I721" s="120"/>
      <c r="J721" s="120"/>
      <c r="K721" s="74"/>
    </row>
    <row r="722" ht="15.75" customHeight="1">
      <c r="A722" s="98"/>
      <c r="B722" s="74"/>
      <c r="C722" s="98"/>
      <c r="D722" s="101"/>
      <c r="E722" s="157"/>
      <c r="F722" s="74"/>
      <c r="G722" s="74"/>
      <c r="H722" s="120"/>
      <c r="I722" s="120"/>
      <c r="J722" s="120"/>
      <c r="K722" s="74"/>
    </row>
    <row r="723" ht="15.75" customHeight="1">
      <c r="A723" s="98"/>
      <c r="B723" s="74"/>
      <c r="C723" s="98"/>
      <c r="D723" s="101"/>
      <c r="E723" s="157"/>
      <c r="F723" s="74"/>
      <c r="G723" s="74"/>
      <c r="H723" s="120"/>
      <c r="I723" s="120"/>
      <c r="J723" s="120"/>
      <c r="K723" s="74"/>
    </row>
    <row r="724" ht="15.75" customHeight="1">
      <c r="A724" s="98"/>
      <c r="B724" s="74"/>
      <c r="C724" s="98"/>
      <c r="D724" s="101"/>
      <c r="E724" s="157"/>
      <c r="F724" s="74"/>
      <c r="G724" s="74"/>
      <c r="H724" s="120"/>
      <c r="I724" s="120"/>
      <c r="J724" s="120"/>
      <c r="K724" s="74"/>
    </row>
    <row r="725" ht="15.75" customHeight="1">
      <c r="A725" s="98"/>
      <c r="B725" s="74"/>
      <c r="C725" s="98"/>
      <c r="D725" s="101"/>
      <c r="E725" s="157"/>
      <c r="F725" s="74"/>
      <c r="G725" s="74"/>
      <c r="H725" s="120"/>
      <c r="I725" s="120"/>
      <c r="J725" s="120"/>
      <c r="K725" s="74"/>
    </row>
    <row r="726" ht="15.75" customHeight="1">
      <c r="A726" s="98"/>
      <c r="B726" s="74"/>
      <c r="C726" s="98"/>
      <c r="D726" s="101"/>
      <c r="E726" s="157"/>
      <c r="F726" s="74"/>
      <c r="G726" s="74"/>
      <c r="H726" s="120"/>
      <c r="I726" s="120"/>
      <c r="J726" s="120"/>
      <c r="K726" s="74"/>
    </row>
    <row r="727" ht="15.75" customHeight="1">
      <c r="A727" s="98"/>
      <c r="B727" s="74"/>
      <c r="C727" s="98"/>
      <c r="D727" s="101"/>
      <c r="E727" s="157"/>
      <c r="F727" s="74"/>
      <c r="G727" s="74"/>
      <c r="H727" s="120"/>
      <c r="I727" s="120"/>
      <c r="J727" s="120"/>
      <c r="K727" s="74"/>
    </row>
    <row r="728" ht="15.75" customHeight="1">
      <c r="A728" s="98"/>
      <c r="B728" s="74"/>
      <c r="C728" s="98"/>
      <c r="D728" s="101"/>
      <c r="E728" s="157"/>
      <c r="F728" s="74"/>
      <c r="G728" s="74"/>
      <c r="H728" s="120"/>
      <c r="I728" s="120"/>
      <c r="J728" s="120"/>
      <c r="K728" s="74"/>
    </row>
    <row r="729" ht="15.75" customHeight="1">
      <c r="A729" s="98"/>
      <c r="B729" s="74"/>
      <c r="C729" s="98"/>
      <c r="D729" s="101"/>
      <c r="E729" s="157"/>
      <c r="F729" s="74"/>
      <c r="G729" s="74"/>
      <c r="H729" s="120"/>
      <c r="I729" s="120"/>
      <c r="J729" s="120"/>
      <c r="K729" s="74"/>
    </row>
    <row r="730" ht="15.75" customHeight="1">
      <c r="A730" s="98"/>
      <c r="B730" s="74"/>
      <c r="C730" s="98"/>
      <c r="D730" s="101"/>
      <c r="E730" s="157"/>
      <c r="F730" s="74"/>
      <c r="G730" s="74"/>
      <c r="H730" s="120"/>
      <c r="I730" s="120"/>
      <c r="J730" s="120"/>
      <c r="K730" s="74"/>
    </row>
    <row r="731" ht="15.75" customHeight="1">
      <c r="A731" s="98"/>
      <c r="B731" s="74"/>
      <c r="C731" s="98"/>
      <c r="D731" s="101"/>
      <c r="E731" s="157"/>
      <c r="F731" s="74"/>
      <c r="G731" s="74"/>
      <c r="H731" s="120"/>
      <c r="I731" s="120"/>
      <c r="J731" s="120"/>
      <c r="K731" s="74"/>
    </row>
    <row r="732" ht="15.75" customHeight="1">
      <c r="A732" s="98"/>
      <c r="B732" s="74"/>
      <c r="C732" s="98"/>
      <c r="D732" s="101"/>
      <c r="E732" s="157"/>
      <c r="F732" s="74"/>
      <c r="G732" s="74"/>
      <c r="H732" s="120"/>
      <c r="I732" s="120"/>
      <c r="J732" s="120"/>
      <c r="K732" s="74"/>
    </row>
    <row r="733" ht="15.75" customHeight="1">
      <c r="A733" s="98"/>
      <c r="B733" s="74"/>
      <c r="C733" s="98"/>
      <c r="D733" s="101"/>
      <c r="E733" s="157"/>
      <c r="F733" s="74"/>
      <c r="G733" s="74"/>
      <c r="H733" s="120"/>
      <c r="I733" s="120"/>
      <c r="J733" s="120"/>
      <c r="K733" s="74"/>
    </row>
    <row r="734" ht="15.75" customHeight="1">
      <c r="A734" s="98"/>
      <c r="B734" s="74"/>
      <c r="C734" s="98"/>
      <c r="D734" s="101"/>
      <c r="E734" s="157"/>
      <c r="F734" s="74"/>
      <c r="G734" s="74"/>
      <c r="H734" s="120"/>
      <c r="I734" s="120"/>
      <c r="J734" s="120"/>
      <c r="K734" s="74"/>
    </row>
    <row r="735" ht="15.75" customHeight="1">
      <c r="A735" s="98"/>
      <c r="B735" s="74"/>
      <c r="C735" s="98"/>
      <c r="D735" s="101"/>
      <c r="E735" s="157"/>
      <c r="F735" s="74"/>
      <c r="G735" s="74"/>
      <c r="H735" s="120"/>
      <c r="I735" s="120"/>
      <c r="J735" s="120"/>
      <c r="K735" s="74"/>
    </row>
    <row r="736" ht="15.75" customHeight="1">
      <c r="A736" s="98"/>
      <c r="B736" s="74"/>
      <c r="C736" s="98"/>
      <c r="D736" s="101"/>
      <c r="E736" s="157"/>
      <c r="F736" s="74"/>
      <c r="G736" s="74"/>
      <c r="H736" s="120"/>
      <c r="I736" s="120"/>
      <c r="J736" s="120"/>
      <c r="K736" s="74"/>
    </row>
    <row r="737" ht="15.75" customHeight="1">
      <c r="A737" s="98"/>
      <c r="B737" s="74"/>
      <c r="C737" s="98"/>
      <c r="D737" s="101"/>
      <c r="E737" s="157"/>
      <c r="F737" s="74"/>
      <c r="G737" s="74"/>
      <c r="H737" s="120"/>
      <c r="I737" s="120"/>
      <c r="J737" s="120"/>
      <c r="K737" s="74"/>
    </row>
    <row r="738" ht="15.75" customHeight="1">
      <c r="A738" s="98"/>
      <c r="B738" s="74"/>
      <c r="C738" s="98"/>
      <c r="D738" s="101"/>
      <c r="E738" s="157"/>
      <c r="F738" s="74"/>
      <c r="G738" s="74"/>
      <c r="H738" s="120"/>
      <c r="I738" s="120"/>
      <c r="J738" s="120"/>
      <c r="K738" s="74"/>
    </row>
    <row r="739" ht="15.75" customHeight="1">
      <c r="A739" s="98"/>
      <c r="B739" s="74"/>
      <c r="C739" s="98"/>
      <c r="D739" s="101"/>
      <c r="E739" s="157"/>
      <c r="F739" s="74"/>
      <c r="G739" s="74"/>
      <c r="H739" s="120"/>
      <c r="I739" s="120"/>
      <c r="J739" s="120"/>
      <c r="K739" s="74"/>
    </row>
    <row r="740" ht="15.75" customHeight="1">
      <c r="A740" s="98"/>
      <c r="B740" s="74"/>
      <c r="C740" s="98"/>
      <c r="D740" s="101"/>
      <c r="E740" s="157"/>
      <c r="F740" s="74"/>
      <c r="G740" s="74"/>
      <c r="H740" s="120"/>
      <c r="I740" s="120"/>
      <c r="J740" s="120"/>
      <c r="K740" s="74"/>
    </row>
    <row r="741" ht="15.75" customHeight="1">
      <c r="A741" s="98"/>
      <c r="B741" s="74"/>
      <c r="C741" s="98"/>
      <c r="D741" s="101"/>
      <c r="E741" s="157"/>
      <c r="F741" s="74"/>
      <c r="G741" s="74"/>
      <c r="H741" s="120"/>
      <c r="I741" s="120"/>
      <c r="J741" s="120"/>
      <c r="K741" s="74"/>
    </row>
    <row r="742" ht="15.75" customHeight="1">
      <c r="A742" s="98"/>
      <c r="B742" s="74"/>
      <c r="C742" s="98"/>
      <c r="D742" s="101"/>
      <c r="E742" s="157"/>
      <c r="F742" s="74"/>
      <c r="G742" s="74"/>
      <c r="H742" s="120"/>
      <c r="I742" s="120"/>
      <c r="J742" s="120"/>
      <c r="K742" s="74"/>
    </row>
    <row r="743" ht="15.75" customHeight="1">
      <c r="A743" s="98"/>
      <c r="B743" s="74"/>
      <c r="C743" s="98"/>
      <c r="D743" s="101"/>
      <c r="E743" s="157"/>
      <c r="F743" s="74"/>
      <c r="G743" s="74"/>
      <c r="H743" s="120"/>
      <c r="I743" s="120"/>
      <c r="J743" s="120"/>
      <c r="K743" s="74"/>
    </row>
    <row r="744" ht="15.75" customHeight="1">
      <c r="A744" s="98"/>
      <c r="B744" s="74"/>
      <c r="C744" s="98"/>
      <c r="D744" s="101"/>
      <c r="E744" s="157"/>
      <c r="F744" s="74"/>
      <c r="G744" s="74"/>
      <c r="H744" s="120"/>
      <c r="I744" s="120"/>
      <c r="J744" s="120"/>
      <c r="K744" s="74"/>
    </row>
    <row r="745" ht="15.75" customHeight="1">
      <c r="A745" s="98"/>
      <c r="B745" s="74"/>
      <c r="C745" s="98"/>
      <c r="D745" s="101"/>
      <c r="E745" s="157"/>
      <c r="F745" s="74"/>
      <c r="G745" s="74"/>
      <c r="H745" s="120"/>
      <c r="I745" s="120"/>
      <c r="J745" s="120"/>
      <c r="K745" s="74"/>
    </row>
    <row r="746" ht="15.75" customHeight="1">
      <c r="A746" s="98"/>
      <c r="B746" s="74"/>
      <c r="C746" s="98"/>
      <c r="D746" s="101"/>
      <c r="E746" s="157"/>
      <c r="F746" s="74"/>
      <c r="G746" s="74"/>
      <c r="H746" s="120"/>
      <c r="I746" s="120"/>
      <c r="J746" s="120"/>
      <c r="K746" s="74"/>
    </row>
    <row r="747" ht="15.75" customHeight="1">
      <c r="A747" s="98"/>
      <c r="B747" s="74"/>
      <c r="C747" s="98"/>
      <c r="D747" s="101"/>
      <c r="E747" s="157"/>
      <c r="F747" s="74"/>
      <c r="G747" s="74"/>
      <c r="H747" s="120"/>
      <c r="I747" s="120"/>
      <c r="J747" s="120"/>
      <c r="K747" s="74"/>
    </row>
    <row r="748" ht="15.75" customHeight="1">
      <c r="A748" s="98"/>
      <c r="B748" s="74"/>
      <c r="C748" s="98"/>
      <c r="D748" s="101"/>
      <c r="E748" s="157"/>
      <c r="F748" s="74"/>
      <c r="G748" s="74"/>
      <c r="H748" s="120"/>
      <c r="I748" s="120"/>
      <c r="J748" s="120"/>
      <c r="K748" s="74"/>
    </row>
    <row r="749" ht="15.75" customHeight="1">
      <c r="A749" s="98"/>
      <c r="B749" s="74"/>
      <c r="C749" s="98"/>
      <c r="D749" s="101"/>
      <c r="E749" s="157"/>
      <c r="F749" s="74"/>
      <c r="G749" s="74"/>
      <c r="H749" s="120"/>
      <c r="I749" s="120"/>
      <c r="J749" s="120"/>
      <c r="K749" s="74"/>
    </row>
    <row r="750" ht="15.75" customHeight="1">
      <c r="A750" s="98"/>
      <c r="B750" s="74"/>
      <c r="C750" s="98"/>
      <c r="D750" s="101"/>
      <c r="E750" s="157"/>
      <c r="F750" s="74"/>
      <c r="G750" s="74"/>
      <c r="H750" s="120"/>
      <c r="I750" s="120"/>
      <c r="J750" s="120"/>
      <c r="K750" s="74"/>
    </row>
    <row r="751" ht="15.75" customHeight="1">
      <c r="A751" s="98"/>
      <c r="B751" s="74"/>
      <c r="C751" s="98"/>
      <c r="D751" s="101"/>
      <c r="E751" s="157"/>
      <c r="F751" s="74"/>
      <c r="G751" s="74"/>
      <c r="H751" s="120"/>
      <c r="I751" s="120"/>
      <c r="J751" s="120"/>
      <c r="K751" s="74"/>
    </row>
    <row r="752" ht="15.75" customHeight="1">
      <c r="A752" s="98"/>
      <c r="B752" s="74"/>
      <c r="C752" s="98"/>
      <c r="D752" s="101"/>
      <c r="E752" s="157"/>
      <c r="F752" s="74"/>
      <c r="G752" s="74"/>
      <c r="H752" s="120"/>
      <c r="I752" s="120"/>
      <c r="J752" s="120"/>
      <c r="K752" s="74"/>
    </row>
    <row r="753" ht="15.75" customHeight="1">
      <c r="A753" s="98"/>
      <c r="B753" s="74"/>
      <c r="C753" s="98"/>
      <c r="D753" s="101"/>
      <c r="E753" s="157"/>
      <c r="F753" s="74"/>
      <c r="G753" s="74"/>
      <c r="H753" s="120"/>
      <c r="I753" s="120"/>
      <c r="J753" s="120"/>
      <c r="K753" s="74"/>
    </row>
    <row r="754" ht="15.75" customHeight="1">
      <c r="A754" s="98"/>
      <c r="B754" s="74"/>
      <c r="C754" s="98"/>
      <c r="D754" s="101"/>
      <c r="E754" s="157"/>
      <c r="F754" s="74"/>
      <c r="G754" s="74"/>
      <c r="H754" s="120"/>
      <c r="I754" s="120"/>
      <c r="J754" s="120"/>
      <c r="K754" s="74"/>
    </row>
    <row r="755" ht="15.75" customHeight="1">
      <c r="A755" s="98"/>
      <c r="B755" s="74"/>
      <c r="C755" s="98"/>
      <c r="D755" s="101"/>
      <c r="E755" s="157"/>
      <c r="F755" s="74"/>
      <c r="G755" s="74"/>
      <c r="H755" s="120"/>
      <c r="I755" s="120"/>
      <c r="J755" s="120"/>
      <c r="K755" s="74"/>
    </row>
    <row r="756" ht="15.75" customHeight="1">
      <c r="A756" s="98"/>
      <c r="B756" s="74"/>
      <c r="C756" s="98"/>
      <c r="D756" s="101"/>
      <c r="E756" s="157"/>
      <c r="F756" s="74"/>
      <c r="G756" s="74"/>
      <c r="H756" s="120"/>
      <c r="I756" s="120"/>
      <c r="J756" s="120"/>
      <c r="K756" s="74"/>
    </row>
    <row r="757" ht="15.75" customHeight="1">
      <c r="A757" s="98"/>
      <c r="B757" s="74"/>
      <c r="C757" s="98"/>
      <c r="D757" s="101"/>
      <c r="E757" s="157"/>
      <c r="F757" s="74"/>
      <c r="G757" s="74"/>
      <c r="H757" s="120"/>
      <c r="I757" s="120"/>
      <c r="J757" s="120"/>
      <c r="K757" s="74"/>
    </row>
    <row r="758" ht="15.75" customHeight="1">
      <c r="A758" s="98"/>
      <c r="B758" s="74"/>
      <c r="C758" s="98"/>
      <c r="D758" s="101"/>
      <c r="E758" s="157"/>
      <c r="F758" s="74"/>
      <c r="G758" s="74"/>
      <c r="H758" s="120"/>
      <c r="I758" s="120"/>
      <c r="J758" s="120"/>
      <c r="K758" s="74"/>
    </row>
    <row r="759" ht="15.75" customHeight="1">
      <c r="A759" s="98"/>
      <c r="B759" s="74"/>
      <c r="C759" s="98"/>
      <c r="D759" s="101"/>
      <c r="E759" s="157"/>
      <c r="F759" s="74"/>
      <c r="G759" s="74"/>
      <c r="H759" s="120"/>
      <c r="I759" s="120"/>
      <c r="J759" s="120"/>
      <c r="K759" s="74"/>
    </row>
    <row r="760" ht="15.75" customHeight="1">
      <c r="A760" s="98"/>
      <c r="B760" s="74"/>
      <c r="C760" s="98"/>
      <c r="D760" s="101"/>
      <c r="E760" s="157"/>
      <c r="F760" s="74"/>
      <c r="G760" s="74"/>
      <c r="H760" s="120"/>
      <c r="I760" s="120"/>
      <c r="J760" s="120"/>
      <c r="K760" s="74"/>
    </row>
    <row r="761" ht="15.75" customHeight="1">
      <c r="A761" s="98"/>
      <c r="B761" s="74"/>
      <c r="C761" s="98"/>
      <c r="D761" s="101"/>
      <c r="E761" s="157"/>
      <c r="F761" s="74"/>
      <c r="G761" s="74"/>
      <c r="H761" s="120"/>
      <c r="I761" s="120"/>
      <c r="J761" s="120"/>
      <c r="K761" s="74"/>
    </row>
    <row r="762" ht="15.75" customHeight="1">
      <c r="A762" s="98"/>
      <c r="B762" s="74"/>
      <c r="C762" s="98"/>
      <c r="D762" s="101"/>
      <c r="E762" s="157"/>
      <c r="F762" s="74"/>
      <c r="G762" s="74"/>
      <c r="H762" s="120"/>
      <c r="I762" s="120"/>
      <c r="J762" s="120"/>
      <c r="K762" s="74"/>
    </row>
    <row r="763" ht="15.75" customHeight="1">
      <c r="A763" s="98"/>
      <c r="B763" s="74"/>
      <c r="C763" s="98"/>
      <c r="D763" s="101"/>
      <c r="E763" s="157"/>
      <c r="F763" s="74"/>
      <c r="G763" s="74"/>
      <c r="H763" s="120"/>
      <c r="I763" s="120"/>
      <c r="J763" s="120"/>
      <c r="K763" s="74"/>
    </row>
    <row r="764" ht="15.75" customHeight="1">
      <c r="A764" s="98"/>
      <c r="B764" s="74"/>
      <c r="C764" s="98"/>
      <c r="D764" s="101"/>
      <c r="E764" s="157"/>
      <c r="F764" s="74"/>
      <c r="G764" s="74"/>
      <c r="H764" s="120"/>
      <c r="I764" s="120"/>
      <c r="J764" s="120"/>
      <c r="K764" s="74"/>
    </row>
    <row r="765" ht="15.75" customHeight="1">
      <c r="A765" s="98"/>
      <c r="B765" s="74"/>
      <c r="C765" s="98"/>
      <c r="D765" s="101"/>
      <c r="E765" s="157"/>
      <c r="F765" s="74"/>
      <c r="G765" s="74"/>
      <c r="H765" s="120"/>
      <c r="I765" s="120"/>
      <c r="J765" s="120"/>
      <c r="K765" s="74"/>
    </row>
    <row r="766" ht="15.75" customHeight="1">
      <c r="A766" s="98"/>
      <c r="B766" s="74"/>
      <c r="C766" s="98"/>
      <c r="D766" s="101"/>
      <c r="E766" s="157"/>
      <c r="F766" s="74"/>
      <c r="G766" s="74"/>
      <c r="H766" s="120"/>
      <c r="I766" s="120"/>
      <c r="J766" s="120"/>
      <c r="K766" s="74"/>
    </row>
    <row r="767" ht="15.75" customHeight="1">
      <c r="A767" s="98"/>
      <c r="B767" s="74"/>
      <c r="C767" s="98"/>
      <c r="D767" s="101"/>
      <c r="E767" s="157"/>
      <c r="F767" s="74"/>
      <c r="G767" s="74"/>
      <c r="H767" s="120"/>
      <c r="I767" s="120"/>
      <c r="J767" s="120"/>
      <c r="K767" s="74"/>
    </row>
    <row r="768" ht="15.75" customHeight="1">
      <c r="A768" s="98"/>
      <c r="B768" s="74"/>
      <c r="C768" s="98"/>
      <c r="D768" s="101"/>
      <c r="E768" s="157"/>
      <c r="F768" s="74"/>
      <c r="G768" s="74"/>
      <c r="H768" s="120"/>
      <c r="I768" s="120"/>
      <c r="J768" s="120"/>
      <c r="K768" s="74"/>
    </row>
    <row r="769" ht="15.75" customHeight="1">
      <c r="A769" s="98"/>
      <c r="B769" s="74"/>
      <c r="C769" s="98"/>
      <c r="D769" s="101"/>
      <c r="E769" s="157"/>
      <c r="F769" s="74"/>
      <c r="G769" s="74"/>
      <c r="H769" s="120"/>
      <c r="I769" s="120"/>
      <c r="J769" s="120"/>
      <c r="K769" s="74"/>
    </row>
    <row r="770" ht="15.75" customHeight="1">
      <c r="A770" s="98"/>
      <c r="B770" s="74"/>
      <c r="C770" s="98"/>
      <c r="D770" s="101"/>
      <c r="E770" s="157"/>
      <c r="F770" s="74"/>
      <c r="G770" s="74"/>
      <c r="H770" s="120"/>
      <c r="I770" s="120"/>
      <c r="J770" s="120"/>
      <c r="K770" s="74"/>
    </row>
    <row r="771" ht="15.75" customHeight="1">
      <c r="A771" s="98"/>
      <c r="B771" s="74"/>
      <c r="C771" s="98"/>
      <c r="D771" s="101"/>
      <c r="E771" s="157"/>
      <c r="F771" s="74"/>
      <c r="G771" s="74"/>
      <c r="H771" s="120"/>
      <c r="I771" s="120"/>
      <c r="J771" s="120"/>
      <c r="K771" s="74"/>
    </row>
    <row r="772" ht="15.75" customHeight="1">
      <c r="A772" s="98"/>
      <c r="B772" s="74"/>
      <c r="C772" s="98"/>
      <c r="D772" s="101"/>
      <c r="E772" s="157"/>
      <c r="F772" s="74"/>
      <c r="G772" s="74"/>
      <c r="H772" s="120"/>
      <c r="I772" s="120"/>
      <c r="J772" s="120"/>
      <c r="K772" s="74"/>
    </row>
    <row r="773" ht="15.75" customHeight="1">
      <c r="A773" s="98"/>
      <c r="B773" s="74"/>
      <c r="C773" s="98"/>
      <c r="D773" s="101"/>
      <c r="E773" s="157"/>
      <c r="F773" s="74"/>
      <c r="G773" s="74"/>
      <c r="H773" s="120"/>
      <c r="I773" s="120"/>
      <c r="J773" s="120"/>
      <c r="K773" s="74"/>
    </row>
    <row r="774" ht="15.75" customHeight="1">
      <c r="A774" s="98"/>
      <c r="B774" s="74"/>
      <c r="C774" s="98"/>
      <c r="D774" s="101"/>
      <c r="E774" s="157"/>
      <c r="F774" s="74"/>
      <c r="G774" s="74"/>
      <c r="H774" s="120"/>
      <c r="I774" s="120"/>
      <c r="J774" s="120"/>
      <c r="K774" s="74"/>
    </row>
    <row r="775" ht="15.75" customHeight="1">
      <c r="A775" s="98"/>
      <c r="B775" s="74"/>
      <c r="C775" s="98"/>
      <c r="D775" s="101"/>
      <c r="E775" s="157"/>
      <c r="F775" s="74"/>
      <c r="G775" s="74"/>
      <c r="H775" s="120"/>
      <c r="I775" s="120"/>
      <c r="J775" s="120"/>
      <c r="K775" s="74"/>
    </row>
    <row r="776" ht="15.75" customHeight="1">
      <c r="A776" s="98"/>
      <c r="B776" s="74"/>
      <c r="C776" s="98"/>
      <c r="D776" s="101"/>
      <c r="E776" s="157"/>
      <c r="F776" s="74"/>
      <c r="G776" s="74"/>
      <c r="H776" s="120"/>
      <c r="I776" s="120"/>
      <c r="J776" s="120"/>
      <c r="K776" s="74"/>
    </row>
    <row r="777" ht="15.75" customHeight="1">
      <c r="A777" s="98"/>
      <c r="B777" s="74"/>
      <c r="C777" s="98"/>
      <c r="D777" s="101"/>
      <c r="E777" s="157"/>
      <c r="F777" s="74"/>
      <c r="G777" s="74"/>
      <c r="H777" s="120"/>
      <c r="I777" s="120"/>
      <c r="J777" s="120"/>
      <c r="K777" s="74"/>
    </row>
    <row r="778" ht="15.75" customHeight="1">
      <c r="A778" s="98"/>
      <c r="B778" s="74"/>
      <c r="C778" s="98"/>
      <c r="D778" s="101"/>
      <c r="E778" s="157"/>
      <c r="F778" s="74"/>
      <c r="G778" s="74"/>
      <c r="H778" s="120"/>
      <c r="I778" s="120"/>
      <c r="J778" s="120"/>
      <c r="K778" s="74"/>
    </row>
    <row r="779" ht="15.75" customHeight="1">
      <c r="A779" s="98"/>
      <c r="B779" s="74"/>
      <c r="C779" s="98"/>
      <c r="D779" s="101"/>
      <c r="E779" s="157"/>
      <c r="F779" s="74"/>
      <c r="G779" s="74"/>
      <c r="H779" s="120"/>
      <c r="I779" s="120"/>
      <c r="J779" s="120"/>
      <c r="K779" s="74"/>
    </row>
    <row r="780" ht="15.75" customHeight="1">
      <c r="A780" s="98"/>
      <c r="B780" s="74"/>
      <c r="C780" s="98"/>
      <c r="D780" s="101"/>
      <c r="E780" s="157"/>
      <c r="F780" s="74"/>
      <c r="G780" s="74"/>
      <c r="H780" s="120"/>
      <c r="I780" s="120"/>
      <c r="J780" s="120"/>
      <c r="K780" s="74"/>
    </row>
    <row r="781" ht="15.75" customHeight="1">
      <c r="A781" s="98"/>
      <c r="B781" s="74"/>
      <c r="C781" s="98"/>
      <c r="D781" s="101"/>
      <c r="E781" s="157"/>
      <c r="F781" s="74"/>
      <c r="G781" s="74"/>
      <c r="H781" s="120"/>
      <c r="I781" s="120"/>
      <c r="J781" s="120"/>
      <c r="K781" s="74"/>
    </row>
    <row r="782" ht="15.75" customHeight="1">
      <c r="A782" s="98"/>
      <c r="B782" s="74"/>
      <c r="C782" s="98"/>
      <c r="D782" s="101"/>
      <c r="E782" s="157"/>
      <c r="F782" s="74"/>
      <c r="G782" s="74"/>
      <c r="H782" s="120"/>
      <c r="I782" s="120"/>
      <c r="J782" s="120"/>
      <c r="K782" s="74"/>
    </row>
    <row r="783" ht="15.75" customHeight="1">
      <c r="A783" s="98"/>
      <c r="B783" s="74"/>
      <c r="C783" s="98"/>
      <c r="D783" s="101"/>
      <c r="E783" s="157"/>
      <c r="F783" s="74"/>
      <c r="G783" s="74"/>
      <c r="H783" s="120"/>
      <c r="I783" s="120"/>
      <c r="J783" s="120"/>
      <c r="K783" s="74"/>
    </row>
    <row r="784" ht="15.75" customHeight="1">
      <c r="A784" s="98"/>
      <c r="B784" s="74"/>
      <c r="C784" s="98"/>
      <c r="D784" s="101"/>
      <c r="E784" s="157"/>
      <c r="F784" s="74"/>
      <c r="G784" s="74"/>
      <c r="H784" s="120"/>
      <c r="I784" s="120"/>
      <c r="J784" s="120"/>
      <c r="K784" s="74"/>
    </row>
    <row r="785" ht="15.75" customHeight="1">
      <c r="A785" s="98"/>
      <c r="B785" s="74"/>
      <c r="C785" s="98"/>
      <c r="D785" s="101"/>
      <c r="E785" s="157"/>
      <c r="F785" s="74"/>
      <c r="G785" s="74"/>
      <c r="H785" s="120"/>
      <c r="I785" s="120"/>
      <c r="J785" s="120"/>
      <c r="K785" s="74"/>
    </row>
    <row r="786" ht="15.75" customHeight="1">
      <c r="A786" s="98"/>
      <c r="B786" s="74"/>
      <c r="C786" s="98"/>
      <c r="D786" s="101"/>
      <c r="E786" s="157"/>
      <c r="F786" s="74"/>
      <c r="G786" s="74"/>
      <c r="H786" s="120"/>
      <c r="I786" s="120"/>
      <c r="J786" s="120"/>
      <c r="K786" s="74"/>
    </row>
    <row r="787" ht="15.75" customHeight="1">
      <c r="A787" s="98"/>
      <c r="B787" s="74"/>
      <c r="C787" s="98"/>
      <c r="D787" s="101"/>
      <c r="E787" s="157"/>
      <c r="F787" s="74"/>
      <c r="G787" s="74"/>
      <c r="H787" s="120"/>
      <c r="I787" s="120"/>
      <c r="J787" s="120"/>
      <c r="K787" s="74"/>
    </row>
    <row r="788" ht="15.75" customHeight="1">
      <c r="A788" s="98"/>
      <c r="B788" s="74"/>
      <c r="C788" s="98"/>
      <c r="D788" s="101"/>
      <c r="E788" s="157"/>
      <c r="F788" s="74"/>
      <c r="G788" s="74"/>
      <c r="H788" s="120"/>
      <c r="I788" s="120"/>
      <c r="J788" s="120"/>
      <c r="K788" s="74"/>
    </row>
    <row r="789" ht="15.75" customHeight="1">
      <c r="A789" s="98"/>
      <c r="B789" s="74"/>
      <c r="C789" s="98"/>
      <c r="D789" s="101"/>
      <c r="E789" s="157"/>
      <c r="F789" s="74"/>
      <c r="G789" s="74"/>
      <c r="H789" s="120"/>
      <c r="I789" s="120"/>
      <c r="J789" s="120"/>
      <c r="K789" s="74"/>
    </row>
    <row r="790" ht="15.75" customHeight="1">
      <c r="A790" s="98"/>
      <c r="B790" s="74"/>
      <c r="C790" s="98"/>
      <c r="D790" s="101"/>
      <c r="E790" s="157"/>
      <c r="F790" s="74"/>
      <c r="G790" s="74"/>
      <c r="H790" s="120"/>
      <c r="I790" s="120"/>
      <c r="J790" s="120"/>
      <c r="K790" s="74"/>
    </row>
    <row r="791" ht="15.75" customHeight="1">
      <c r="A791" s="98"/>
      <c r="B791" s="74"/>
      <c r="C791" s="98"/>
      <c r="D791" s="101"/>
      <c r="E791" s="157"/>
      <c r="F791" s="74"/>
      <c r="G791" s="74"/>
      <c r="H791" s="120"/>
      <c r="I791" s="120"/>
      <c r="J791" s="120"/>
      <c r="K791" s="74"/>
    </row>
    <row r="792" ht="15.75" customHeight="1">
      <c r="A792" s="98"/>
      <c r="B792" s="74"/>
      <c r="C792" s="98"/>
      <c r="D792" s="101"/>
      <c r="E792" s="157"/>
      <c r="F792" s="74"/>
      <c r="G792" s="74"/>
      <c r="H792" s="120"/>
      <c r="I792" s="120"/>
      <c r="J792" s="120"/>
      <c r="K792" s="74"/>
    </row>
    <row r="793" ht="15.75" customHeight="1">
      <c r="A793" s="98"/>
      <c r="B793" s="74"/>
      <c r="C793" s="98"/>
      <c r="D793" s="101"/>
      <c r="E793" s="157"/>
      <c r="F793" s="74"/>
      <c r="G793" s="74"/>
      <c r="H793" s="120"/>
      <c r="I793" s="120"/>
      <c r="J793" s="120"/>
      <c r="K793" s="74"/>
    </row>
    <row r="794" ht="15.75" customHeight="1">
      <c r="A794" s="98"/>
      <c r="B794" s="74"/>
      <c r="C794" s="98"/>
      <c r="D794" s="101"/>
      <c r="E794" s="157"/>
      <c r="F794" s="74"/>
      <c r="G794" s="74"/>
      <c r="H794" s="120"/>
      <c r="I794" s="120"/>
      <c r="J794" s="120"/>
      <c r="K794" s="74"/>
    </row>
    <row r="795" ht="15.75" customHeight="1">
      <c r="A795" s="98"/>
      <c r="B795" s="74"/>
      <c r="C795" s="98"/>
      <c r="D795" s="101"/>
      <c r="E795" s="157"/>
      <c r="F795" s="74"/>
      <c r="G795" s="74"/>
      <c r="H795" s="120"/>
      <c r="I795" s="120"/>
      <c r="J795" s="120"/>
      <c r="K795" s="74"/>
    </row>
    <row r="796" ht="15.75" customHeight="1">
      <c r="A796" s="98"/>
      <c r="B796" s="74"/>
      <c r="C796" s="98"/>
      <c r="D796" s="101"/>
      <c r="E796" s="157"/>
      <c r="F796" s="74"/>
      <c r="G796" s="74"/>
      <c r="H796" s="120"/>
      <c r="I796" s="120"/>
      <c r="J796" s="120"/>
      <c r="K796" s="74"/>
    </row>
    <row r="797" ht="15.75" customHeight="1">
      <c r="A797" s="98"/>
      <c r="B797" s="74"/>
      <c r="C797" s="98"/>
      <c r="D797" s="101"/>
      <c r="E797" s="157"/>
      <c r="F797" s="74"/>
      <c r="G797" s="74"/>
      <c r="H797" s="120"/>
      <c r="I797" s="120"/>
      <c r="J797" s="120"/>
      <c r="K797" s="74"/>
    </row>
    <row r="798" ht="15.75" customHeight="1">
      <c r="A798" s="98"/>
      <c r="B798" s="74"/>
      <c r="C798" s="98"/>
      <c r="D798" s="101"/>
      <c r="E798" s="157"/>
      <c r="F798" s="74"/>
      <c r="G798" s="74"/>
      <c r="H798" s="120"/>
      <c r="I798" s="120"/>
      <c r="J798" s="120"/>
      <c r="K798" s="74"/>
    </row>
    <row r="799" ht="15.75" customHeight="1">
      <c r="A799" s="98"/>
      <c r="B799" s="74"/>
      <c r="C799" s="98"/>
      <c r="D799" s="101"/>
      <c r="E799" s="157"/>
      <c r="F799" s="74"/>
      <c r="G799" s="74"/>
      <c r="H799" s="120"/>
      <c r="I799" s="120"/>
      <c r="J799" s="120"/>
      <c r="K799" s="74"/>
    </row>
    <row r="800" ht="15.75" customHeight="1">
      <c r="A800" s="98"/>
      <c r="B800" s="74"/>
      <c r="C800" s="98"/>
      <c r="D800" s="101"/>
      <c r="E800" s="157"/>
      <c r="F800" s="74"/>
      <c r="G800" s="74"/>
      <c r="H800" s="120"/>
      <c r="I800" s="120"/>
      <c r="J800" s="120"/>
      <c r="K800" s="74"/>
    </row>
    <row r="801" ht="15.75" customHeight="1">
      <c r="A801" s="98"/>
      <c r="B801" s="74"/>
      <c r="C801" s="98"/>
      <c r="D801" s="101"/>
      <c r="E801" s="157"/>
      <c r="F801" s="74"/>
      <c r="G801" s="74"/>
      <c r="H801" s="120"/>
      <c r="I801" s="120"/>
      <c r="J801" s="120"/>
      <c r="K801" s="74"/>
    </row>
    <row r="802" ht="15.75" customHeight="1">
      <c r="A802" s="98"/>
      <c r="B802" s="74"/>
      <c r="C802" s="98"/>
      <c r="D802" s="101"/>
      <c r="E802" s="157"/>
      <c r="F802" s="74"/>
      <c r="G802" s="74"/>
      <c r="H802" s="120"/>
      <c r="I802" s="120"/>
      <c r="J802" s="120"/>
      <c r="K802" s="74"/>
    </row>
    <row r="803" ht="15.75" customHeight="1">
      <c r="A803" s="98"/>
      <c r="B803" s="74"/>
      <c r="C803" s="98"/>
      <c r="D803" s="101"/>
      <c r="E803" s="157"/>
      <c r="F803" s="74"/>
      <c r="G803" s="74"/>
      <c r="H803" s="120"/>
      <c r="I803" s="120"/>
      <c r="J803" s="120"/>
      <c r="K803" s="74"/>
    </row>
    <row r="804" ht="15.75" customHeight="1">
      <c r="A804" s="98"/>
      <c r="B804" s="74"/>
      <c r="C804" s="98"/>
      <c r="D804" s="101"/>
      <c r="E804" s="157"/>
      <c r="F804" s="74"/>
      <c r="G804" s="74"/>
      <c r="H804" s="120"/>
      <c r="I804" s="120"/>
      <c r="J804" s="120"/>
      <c r="K804" s="74"/>
    </row>
    <row r="805" ht="15.75" customHeight="1">
      <c r="A805" s="98"/>
      <c r="B805" s="74"/>
      <c r="C805" s="98"/>
      <c r="D805" s="101"/>
      <c r="E805" s="157"/>
      <c r="F805" s="74"/>
      <c r="G805" s="74"/>
      <c r="H805" s="120"/>
      <c r="I805" s="120"/>
      <c r="J805" s="120"/>
      <c r="K805" s="74"/>
    </row>
    <row r="806" ht="15.75" customHeight="1">
      <c r="A806" s="98"/>
      <c r="B806" s="74"/>
      <c r="C806" s="98"/>
      <c r="D806" s="101"/>
      <c r="E806" s="157"/>
      <c r="F806" s="74"/>
      <c r="G806" s="74"/>
      <c r="H806" s="120"/>
      <c r="I806" s="120"/>
      <c r="J806" s="120"/>
      <c r="K806" s="74"/>
    </row>
    <row r="807" ht="15.75" customHeight="1">
      <c r="A807" s="98"/>
      <c r="B807" s="74"/>
      <c r="C807" s="98"/>
      <c r="D807" s="101"/>
      <c r="E807" s="157"/>
      <c r="F807" s="74"/>
      <c r="G807" s="74"/>
      <c r="H807" s="120"/>
      <c r="I807" s="120"/>
      <c r="J807" s="120"/>
      <c r="K807" s="74"/>
    </row>
    <row r="808" ht="15.75" customHeight="1">
      <c r="A808" s="98"/>
      <c r="B808" s="74"/>
      <c r="C808" s="98"/>
      <c r="D808" s="101"/>
      <c r="E808" s="157"/>
      <c r="F808" s="74"/>
      <c r="G808" s="74"/>
      <c r="H808" s="120"/>
      <c r="I808" s="120"/>
      <c r="J808" s="120"/>
      <c r="K808" s="74"/>
    </row>
    <row r="809" ht="15.75" customHeight="1">
      <c r="A809" s="98"/>
      <c r="B809" s="74"/>
      <c r="C809" s="98"/>
      <c r="D809" s="101"/>
      <c r="E809" s="157"/>
      <c r="F809" s="74"/>
      <c r="G809" s="74"/>
      <c r="H809" s="120"/>
      <c r="I809" s="120"/>
      <c r="J809" s="120"/>
      <c r="K809" s="74"/>
    </row>
    <row r="810" ht="15.75" customHeight="1">
      <c r="A810" s="98"/>
      <c r="B810" s="74"/>
      <c r="C810" s="98"/>
      <c r="D810" s="101"/>
      <c r="E810" s="157"/>
      <c r="F810" s="74"/>
      <c r="G810" s="74"/>
      <c r="H810" s="120"/>
      <c r="I810" s="120"/>
      <c r="J810" s="120"/>
      <c r="K810" s="74"/>
    </row>
    <row r="811" ht="15.75" customHeight="1">
      <c r="A811" s="98"/>
      <c r="B811" s="74"/>
      <c r="C811" s="98"/>
      <c r="D811" s="101"/>
      <c r="E811" s="157"/>
      <c r="F811" s="74"/>
      <c r="G811" s="74"/>
      <c r="H811" s="120"/>
      <c r="I811" s="120"/>
      <c r="J811" s="120"/>
      <c r="K811" s="74"/>
    </row>
    <row r="812" ht="15.75" customHeight="1">
      <c r="A812" s="98"/>
      <c r="B812" s="74"/>
      <c r="C812" s="98"/>
      <c r="D812" s="101"/>
      <c r="E812" s="157"/>
      <c r="F812" s="74"/>
      <c r="G812" s="74"/>
      <c r="H812" s="120"/>
      <c r="I812" s="120"/>
      <c r="J812" s="120"/>
      <c r="K812" s="74"/>
    </row>
    <row r="813" ht="15.75" customHeight="1">
      <c r="A813" s="98"/>
      <c r="B813" s="74"/>
      <c r="C813" s="98"/>
      <c r="D813" s="101"/>
      <c r="E813" s="157"/>
      <c r="F813" s="74"/>
      <c r="G813" s="74"/>
      <c r="H813" s="120"/>
      <c r="I813" s="120"/>
      <c r="J813" s="120"/>
      <c r="K813" s="74"/>
    </row>
    <row r="814" ht="15.75" customHeight="1">
      <c r="A814" s="98"/>
      <c r="B814" s="74"/>
      <c r="C814" s="98"/>
      <c r="D814" s="101"/>
      <c r="E814" s="157"/>
      <c r="F814" s="74"/>
      <c r="G814" s="74"/>
      <c r="H814" s="120"/>
      <c r="I814" s="120"/>
      <c r="J814" s="120"/>
      <c r="K814" s="74"/>
    </row>
    <row r="815" ht="15.75" customHeight="1">
      <c r="A815" s="98"/>
      <c r="B815" s="74"/>
      <c r="C815" s="98"/>
      <c r="D815" s="101"/>
      <c r="E815" s="157"/>
      <c r="F815" s="74"/>
      <c r="G815" s="74"/>
      <c r="H815" s="120"/>
      <c r="I815" s="120"/>
      <c r="J815" s="120"/>
      <c r="K815" s="74"/>
    </row>
    <row r="816" ht="15.75" customHeight="1">
      <c r="A816" s="98"/>
      <c r="B816" s="74"/>
      <c r="C816" s="98"/>
      <c r="D816" s="101"/>
      <c r="E816" s="157"/>
      <c r="F816" s="74"/>
      <c r="G816" s="74"/>
      <c r="H816" s="120"/>
      <c r="I816" s="120"/>
      <c r="J816" s="120"/>
      <c r="K816" s="74"/>
    </row>
    <row r="817" ht="15.75" customHeight="1">
      <c r="A817" s="98"/>
      <c r="B817" s="74"/>
      <c r="C817" s="98"/>
      <c r="D817" s="101"/>
      <c r="E817" s="157"/>
      <c r="F817" s="74"/>
      <c r="G817" s="74"/>
      <c r="H817" s="120"/>
      <c r="I817" s="120"/>
      <c r="J817" s="120"/>
      <c r="K817" s="74"/>
    </row>
    <row r="818" ht="15.75" customHeight="1">
      <c r="A818" s="98"/>
      <c r="B818" s="74"/>
      <c r="C818" s="98"/>
      <c r="D818" s="101"/>
      <c r="E818" s="157"/>
      <c r="F818" s="74"/>
      <c r="G818" s="74"/>
      <c r="H818" s="120"/>
      <c r="I818" s="120"/>
      <c r="J818" s="120"/>
      <c r="K818" s="74"/>
    </row>
    <row r="819" ht="15.75" customHeight="1">
      <c r="A819" s="98"/>
      <c r="B819" s="74"/>
      <c r="C819" s="98"/>
      <c r="D819" s="101"/>
      <c r="E819" s="157"/>
      <c r="F819" s="74"/>
      <c r="G819" s="74"/>
      <c r="H819" s="120"/>
      <c r="I819" s="120"/>
      <c r="J819" s="120"/>
      <c r="K819" s="74"/>
    </row>
    <row r="820" ht="15.75" customHeight="1">
      <c r="A820" s="98"/>
      <c r="B820" s="74"/>
      <c r="C820" s="98"/>
      <c r="D820" s="101"/>
      <c r="E820" s="157"/>
      <c r="F820" s="74"/>
      <c r="G820" s="74"/>
      <c r="H820" s="120"/>
      <c r="I820" s="120"/>
      <c r="J820" s="120"/>
      <c r="K820" s="74"/>
    </row>
    <row r="821" ht="15.75" customHeight="1">
      <c r="A821" s="98"/>
      <c r="B821" s="74"/>
      <c r="C821" s="98"/>
      <c r="D821" s="101"/>
      <c r="E821" s="157"/>
      <c r="F821" s="74"/>
      <c r="G821" s="74"/>
      <c r="H821" s="120"/>
      <c r="I821" s="120"/>
      <c r="J821" s="120"/>
      <c r="K821" s="74"/>
    </row>
    <row r="822" ht="15.75" customHeight="1">
      <c r="A822" s="98"/>
      <c r="B822" s="74"/>
      <c r="C822" s="98"/>
      <c r="D822" s="101"/>
      <c r="E822" s="157"/>
      <c r="F822" s="74"/>
      <c r="G822" s="74"/>
      <c r="H822" s="120"/>
      <c r="I822" s="120"/>
      <c r="J822" s="120"/>
      <c r="K822" s="74"/>
    </row>
    <row r="823" ht="15.75" customHeight="1">
      <c r="A823" s="98"/>
      <c r="B823" s="74"/>
      <c r="C823" s="98"/>
      <c r="D823" s="101"/>
      <c r="E823" s="157"/>
      <c r="F823" s="74"/>
      <c r="G823" s="74"/>
      <c r="H823" s="120"/>
      <c r="I823" s="120"/>
      <c r="J823" s="120"/>
      <c r="K823" s="74"/>
    </row>
    <row r="824" ht="15.75" customHeight="1">
      <c r="A824" s="98"/>
      <c r="B824" s="74"/>
      <c r="C824" s="98"/>
      <c r="D824" s="101"/>
      <c r="E824" s="157"/>
      <c r="F824" s="74"/>
      <c r="G824" s="74"/>
      <c r="H824" s="120"/>
      <c r="I824" s="120"/>
      <c r="J824" s="120"/>
      <c r="K824" s="74"/>
    </row>
    <row r="825" ht="15.75" customHeight="1">
      <c r="A825" s="98"/>
      <c r="B825" s="74"/>
      <c r="C825" s="98"/>
      <c r="D825" s="101"/>
      <c r="E825" s="157"/>
      <c r="F825" s="74"/>
      <c r="G825" s="74"/>
      <c r="H825" s="120"/>
      <c r="I825" s="120"/>
      <c r="J825" s="120"/>
      <c r="K825" s="74"/>
    </row>
    <row r="826" ht="15.75" customHeight="1">
      <c r="A826" s="98"/>
      <c r="B826" s="74"/>
      <c r="C826" s="98"/>
      <c r="D826" s="101"/>
      <c r="E826" s="157"/>
      <c r="F826" s="74"/>
      <c r="G826" s="74"/>
      <c r="H826" s="120"/>
      <c r="I826" s="120"/>
      <c r="J826" s="120"/>
      <c r="K826" s="74"/>
    </row>
    <row r="827" ht="15.75" customHeight="1">
      <c r="A827" s="98"/>
      <c r="B827" s="74"/>
      <c r="C827" s="98"/>
      <c r="D827" s="101"/>
      <c r="E827" s="157"/>
      <c r="F827" s="74"/>
      <c r="G827" s="74"/>
      <c r="H827" s="120"/>
      <c r="I827" s="120"/>
      <c r="J827" s="120"/>
      <c r="K827" s="74"/>
    </row>
    <row r="828" ht="15.75" customHeight="1">
      <c r="A828" s="98"/>
      <c r="B828" s="74"/>
      <c r="C828" s="98"/>
      <c r="D828" s="101"/>
      <c r="E828" s="157"/>
      <c r="F828" s="74"/>
      <c r="G828" s="74"/>
      <c r="H828" s="120"/>
      <c r="I828" s="120"/>
      <c r="J828" s="120"/>
      <c r="K828" s="74"/>
    </row>
    <row r="829" ht="15.75" customHeight="1">
      <c r="A829" s="98"/>
      <c r="B829" s="74"/>
      <c r="C829" s="98"/>
      <c r="D829" s="101"/>
      <c r="E829" s="157"/>
      <c r="F829" s="74"/>
      <c r="G829" s="74"/>
      <c r="H829" s="120"/>
      <c r="I829" s="120"/>
      <c r="J829" s="120"/>
      <c r="K829" s="74"/>
    </row>
    <row r="830" ht="15.75" customHeight="1">
      <c r="A830" s="98"/>
      <c r="B830" s="74"/>
      <c r="C830" s="98"/>
      <c r="D830" s="101"/>
      <c r="E830" s="157"/>
      <c r="F830" s="74"/>
      <c r="G830" s="74"/>
      <c r="H830" s="120"/>
      <c r="I830" s="120"/>
      <c r="J830" s="120"/>
      <c r="K830" s="74"/>
    </row>
    <row r="831" ht="15.75" customHeight="1">
      <c r="A831" s="98"/>
      <c r="B831" s="74"/>
      <c r="C831" s="98"/>
      <c r="D831" s="101"/>
      <c r="E831" s="157"/>
      <c r="F831" s="74"/>
      <c r="G831" s="74"/>
      <c r="H831" s="120"/>
      <c r="I831" s="120"/>
      <c r="J831" s="120"/>
      <c r="K831" s="74"/>
    </row>
    <row r="832" ht="15.75" customHeight="1">
      <c r="A832" s="98"/>
      <c r="B832" s="74"/>
      <c r="C832" s="98"/>
      <c r="D832" s="101"/>
      <c r="E832" s="157"/>
      <c r="F832" s="74"/>
      <c r="G832" s="74"/>
      <c r="H832" s="120"/>
      <c r="I832" s="120"/>
      <c r="J832" s="120"/>
      <c r="K832" s="74"/>
    </row>
    <row r="833" ht="15.75" customHeight="1">
      <c r="A833" s="98"/>
      <c r="B833" s="74"/>
      <c r="C833" s="98"/>
      <c r="D833" s="101"/>
      <c r="E833" s="157"/>
      <c r="F833" s="74"/>
      <c r="G833" s="74"/>
      <c r="H833" s="120"/>
      <c r="I833" s="120"/>
      <c r="J833" s="120"/>
      <c r="K833" s="74"/>
    </row>
    <row r="834" ht="15.75" customHeight="1">
      <c r="A834" s="98"/>
      <c r="B834" s="74"/>
      <c r="C834" s="98"/>
      <c r="D834" s="101"/>
      <c r="E834" s="157"/>
      <c r="F834" s="74"/>
      <c r="G834" s="74"/>
      <c r="H834" s="120"/>
      <c r="I834" s="120"/>
      <c r="J834" s="120"/>
      <c r="K834" s="74"/>
    </row>
    <row r="835" ht="15.75" customHeight="1">
      <c r="A835" s="98"/>
      <c r="B835" s="74"/>
      <c r="C835" s="98"/>
      <c r="D835" s="101"/>
      <c r="E835" s="157"/>
      <c r="F835" s="74"/>
      <c r="G835" s="74"/>
      <c r="H835" s="120"/>
      <c r="I835" s="120"/>
      <c r="J835" s="120"/>
      <c r="K835" s="74"/>
    </row>
    <row r="836" ht="15.75" customHeight="1">
      <c r="A836" s="98"/>
      <c r="B836" s="74"/>
      <c r="C836" s="98"/>
      <c r="D836" s="101"/>
      <c r="E836" s="157"/>
      <c r="F836" s="74"/>
      <c r="G836" s="74"/>
      <c r="H836" s="120"/>
      <c r="I836" s="120"/>
      <c r="J836" s="120"/>
      <c r="K836" s="74"/>
    </row>
    <row r="837" ht="15.75" customHeight="1">
      <c r="A837" s="98"/>
      <c r="B837" s="74"/>
      <c r="C837" s="98"/>
      <c r="D837" s="101"/>
      <c r="E837" s="157"/>
      <c r="F837" s="74"/>
      <c r="G837" s="74"/>
      <c r="H837" s="120"/>
      <c r="I837" s="120"/>
      <c r="J837" s="120"/>
      <c r="K837" s="74"/>
    </row>
    <row r="838" ht="15.75" customHeight="1">
      <c r="A838" s="98"/>
      <c r="B838" s="74"/>
      <c r="C838" s="98"/>
      <c r="D838" s="101"/>
      <c r="E838" s="157"/>
      <c r="F838" s="74"/>
      <c r="G838" s="74"/>
      <c r="H838" s="120"/>
      <c r="I838" s="120"/>
      <c r="J838" s="120"/>
      <c r="K838" s="74"/>
    </row>
    <row r="839" ht="15.75" customHeight="1">
      <c r="A839" s="98"/>
      <c r="B839" s="74"/>
      <c r="C839" s="98"/>
      <c r="D839" s="101"/>
      <c r="E839" s="157"/>
      <c r="F839" s="74"/>
      <c r="G839" s="74"/>
      <c r="H839" s="120"/>
      <c r="I839" s="120"/>
      <c r="J839" s="120"/>
      <c r="K839" s="74"/>
    </row>
    <row r="840" ht="15.75" customHeight="1">
      <c r="A840" s="98"/>
      <c r="B840" s="74"/>
      <c r="C840" s="98"/>
      <c r="D840" s="101"/>
      <c r="E840" s="157"/>
      <c r="F840" s="74"/>
      <c r="G840" s="74"/>
      <c r="H840" s="120"/>
      <c r="I840" s="120"/>
      <c r="J840" s="120"/>
      <c r="K840" s="74"/>
    </row>
    <row r="841" ht="15.75" customHeight="1">
      <c r="A841" s="98"/>
      <c r="B841" s="74"/>
      <c r="C841" s="98"/>
      <c r="D841" s="101"/>
      <c r="E841" s="157"/>
      <c r="F841" s="74"/>
      <c r="G841" s="74"/>
      <c r="H841" s="120"/>
      <c r="I841" s="120"/>
      <c r="J841" s="120"/>
      <c r="K841" s="74"/>
    </row>
    <row r="842" ht="15.75" customHeight="1">
      <c r="A842" s="98"/>
      <c r="B842" s="74"/>
      <c r="C842" s="98"/>
      <c r="D842" s="101"/>
      <c r="E842" s="157"/>
      <c r="F842" s="74"/>
      <c r="G842" s="74"/>
      <c r="H842" s="120"/>
      <c r="I842" s="120"/>
      <c r="J842" s="120"/>
      <c r="K842" s="74"/>
    </row>
    <row r="843" ht="15.75" customHeight="1">
      <c r="A843" s="98"/>
      <c r="B843" s="74"/>
      <c r="C843" s="98"/>
      <c r="D843" s="101"/>
      <c r="E843" s="157"/>
      <c r="F843" s="74"/>
      <c r="G843" s="74"/>
      <c r="H843" s="120"/>
      <c r="I843" s="120"/>
      <c r="J843" s="120"/>
      <c r="K843" s="74"/>
    </row>
    <row r="844" ht="15.75" customHeight="1">
      <c r="A844" s="98"/>
      <c r="B844" s="74"/>
      <c r="C844" s="98"/>
      <c r="D844" s="101"/>
      <c r="E844" s="157"/>
      <c r="F844" s="74"/>
      <c r="G844" s="74"/>
      <c r="H844" s="120"/>
      <c r="I844" s="120"/>
      <c r="J844" s="120"/>
      <c r="K844" s="74"/>
    </row>
    <row r="845" ht="15.75" customHeight="1">
      <c r="A845" s="98"/>
      <c r="B845" s="74"/>
      <c r="C845" s="98"/>
      <c r="D845" s="101"/>
      <c r="E845" s="157"/>
      <c r="F845" s="74"/>
      <c r="G845" s="74"/>
      <c r="H845" s="120"/>
      <c r="I845" s="120"/>
      <c r="J845" s="120"/>
      <c r="K845" s="74"/>
    </row>
    <row r="846" ht="15.75" customHeight="1">
      <c r="A846" s="98"/>
      <c r="B846" s="74"/>
      <c r="C846" s="98"/>
      <c r="D846" s="101"/>
      <c r="E846" s="157"/>
      <c r="F846" s="74"/>
      <c r="G846" s="74"/>
      <c r="H846" s="120"/>
      <c r="I846" s="120"/>
      <c r="J846" s="120"/>
      <c r="K846" s="74"/>
    </row>
    <row r="847" ht="15.75" customHeight="1">
      <c r="A847" s="98"/>
      <c r="B847" s="74"/>
      <c r="C847" s="98"/>
      <c r="D847" s="101"/>
      <c r="E847" s="157"/>
      <c r="F847" s="74"/>
      <c r="G847" s="74"/>
      <c r="H847" s="120"/>
      <c r="I847" s="120"/>
      <c r="J847" s="120"/>
      <c r="K847" s="74"/>
    </row>
    <row r="848" ht="15.75" customHeight="1">
      <c r="A848" s="98"/>
      <c r="B848" s="74"/>
      <c r="C848" s="98"/>
      <c r="D848" s="101"/>
      <c r="E848" s="157"/>
      <c r="F848" s="74"/>
      <c r="G848" s="74"/>
      <c r="H848" s="120"/>
      <c r="I848" s="120"/>
      <c r="J848" s="120"/>
      <c r="K848" s="74"/>
    </row>
    <row r="849" ht="15.75" customHeight="1">
      <c r="A849" s="98"/>
      <c r="B849" s="74"/>
      <c r="C849" s="98"/>
      <c r="D849" s="101"/>
      <c r="E849" s="157"/>
      <c r="F849" s="74"/>
      <c r="G849" s="74"/>
      <c r="H849" s="120"/>
      <c r="I849" s="120"/>
      <c r="J849" s="120"/>
      <c r="K849" s="74"/>
    </row>
    <row r="850" ht="15.75" customHeight="1">
      <c r="A850" s="98"/>
      <c r="B850" s="74"/>
      <c r="C850" s="98"/>
      <c r="D850" s="101"/>
      <c r="E850" s="157"/>
      <c r="F850" s="74"/>
      <c r="G850" s="74"/>
      <c r="H850" s="120"/>
      <c r="I850" s="120"/>
      <c r="J850" s="120"/>
      <c r="K850" s="74"/>
    </row>
    <row r="851" ht="15.75" customHeight="1">
      <c r="A851" s="98"/>
      <c r="B851" s="74"/>
      <c r="C851" s="98"/>
      <c r="D851" s="101"/>
      <c r="E851" s="157"/>
      <c r="F851" s="74"/>
      <c r="G851" s="74"/>
      <c r="H851" s="120"/>
      <c r="I851" s="120"/>
      <c r="J851" s="120"/>
      <c r="K851" s="74"/>
    </row>
    <row r="852" ht="15.75" customHeight="1">
      <c r="A852" s="98"/>
      <c r="B852" s="74"/>
      <c r="C852" s="98"/>
      <c r="D852" s="101"/>
      <c r="E852" s="157"/>
      <c r="F852" s="74"/>
      <c r="G852" s="74"/>
      <c r="H852" s="120"/>
      <c r="I852" s="120"/>
      <c r="J852" s="120"/>
      <c r="K852" s="74"/>
    </row>
    <row r="853" ht="15.75" customHeight="1">
      <c r="A853" s="98"/>
      <c r="B853" s="74"/>
      <c r="C853" s="98"/>
      <c r="D853" s="101"/>
      <c r="E853" s="157"/>
      <c r="F853" s="74"/>
      <c r="G853" s="74"/>
      <c r="H853" s="120"/>
      <c r="I853" s="120"/>
      <c r="J853" s="120"/>
      <c r="K853" s="74"/>
    </row>
    <row r="854" ht="15.75" customHeight="1">
      <c r="A854" s="98"/>
      <c r="B854" s="74"/>
      <c r="C854" s="98"/>
      <c r="D854" s="101"/>
      <c r="E854" s="157"/>
      <c r="F854" s="74"/>
      <c r="G854" s="74"/>
      <c r="H854" s="120"/>
      <c r="I854" s="120"/>
      <c r="J854" s="120"/>
      <c r="K854" s="74"/>
    </row>
    <row r="855" ht="15.75" customHeight="1">
      <c r="A855" s="98"/>
      <c r="B855" s="74"/>
      <c r="C855" s="98"/>
      <c r="D855" s="101"/>
      <c r="E855" s="157"/>
      <c r="F855" s="74"/>
      <c r="G855" s="74"/>
      <c r="H855" s="120"/>
      <c r="I855" s="120"/>
      <c r="J855" s="120"/>
      <c r="K855" s="74"/>
    </row>
    <row r="856" ht="15.75" customHeight="1">
      <c r="A856" s="98"/>
      <c r="B856" s="74"/>
      <c r="C856" s="98"/>
      <c r="D856" s="101"/>
      <c r="E856" s="157"/>
      <c r="F856" s="74"/>
      <c r="G856" s="74"/>
      <c r="H856" s="120"/>
      <c r="I856" s="120"/>
      <c r="J856" s="120"/>
      <c r="K856" s="74"/>
    </row>
    <row r="857" ht="15.75" customHeight="1">
      <c r="A857" s="98"/>
      <c r="B857" s="74"/>
      <c r="C857" s="98"/>
      <c r="D857" s="101"/>
      <c r="E857" s="157"/>
      <c r="F857" s="74"/>
      <c r="G857" s="74"/>
      <c r="H857" s="120"/>
      <c r="I857" s="120"/>
      <c r="J857" s="120"/>
      <c r="K857" s="74"/>
    </row>
    <row r="858" ht="15.75" customHeight="1">
      <c r="A858" s="98"/>
      <c r="B858" s="74"/>
      <c r="C858" s="98"/>
      <c r="D858" s="101"/>
      <c r="E858" s="157"/>
      <c r="F858" s="74"/>
      <c r="G858" s="74"/>
      <c r="H858" s="120"/>
      <c r="I858" s="120"/>
      <c r="J858" s="120"/>
      <c r="K858" s="74"/>
    </row>
    <row r="859" ht="15.75" customHeight="1">
      <c r="A859" s="98"/>
      <c r="B859" s="74"/>
      <c r="C859" s="98"/>
      <c r="D859" s="101"/>
      <c r="E859" s="157"/>
      <c r="F859" s="74"/>
      <c r="G859" s="74"/>
      <c r="H859" s="120"/>
      <c r="I859" s="120"/>
      <c r="J859" s="120"/>
      <c r="K859" s="74"/>
    </row>
    <row r="860" ht="15.75" customHeight="1">
      <c r="A860" s="98"/>
      <c r="B860" s="74"/>
      <c r="C860" s="98"/>
      <c r="D860" s="101"/>
      <c r="E860" s="157"/>
      <c r="F860" s="74"/>
      <c r="G860" s="74"/>
      <c r="H860" s="120"/>
      <c r="I860" s="120"/>
      <c r="J860" s="120"/>
      <c r="K860" s="74"/>
    </row>
    <row r="861" ht="15.75" customHeight="1">
      <c r="A861" s="98"/>
      <c r="B861" s="74"/>
      <c r="C861" s="98"/>
      <c r="D861" s="101"/>
      <c r="E861" s="157"/>
      <c r="F861" s="74"/>
      <c r="G861" s="74"/>
      <c r="H861" s="120"/>
      <c r="I861" s="120"/>
      <c r="J861" s="120"/>
      <c r="K861" s="74"/>
    </row>
    <row r="862" ht="15.75" customHeight="1">
      <c r="A862" s="98"/>
      <c r="B862" s="74"/>
      <c r="C862" s="98"/>
      <c r="D862" s="101"/>
      <c r="E862" s="157"/>
      <c r="F862" s="74"/>
      <c r="G862" s="74"/>
      <c r="H862" s="120"/>
      <c r="I862" s="120"/>
      <c r="J862" s="120"/>
      <c r="K862" s="74"/>
    </row>
    <row r="863" ht="15.75" customHeight="1">
      <c r="A863" s="98"/>
      <c r="B863" s="74"/>
      <c r="C863" s="98"/>
      <c r="D863" s="101"/>
      <c r="E863" s="157"/>
      <c r="F863" s="74"/>
      <c r="G863" s="74"/>
      <c r="H863" s="120"/>
      <c r="I863" s="120"/>
      <c r="J863" s="120"/>
      <c r="K863" s="74"/>
    </row>
    <row r="864" ht="15.75" customHeight="1">
      <c r="A864" s="98"/>
      <c r="B864" s="74"/>
      <c r="C864" s="98"/>
      <c r="D864" s="101"/>
      <c r="E864" s="157"/>
      <c r="F864" s="74"/>
      <c r="G864" s="74"/>
      <c r="H864" s="120"/>
      <c r="I864" s="120"/>
      <c r="J864" s="120"/>
      <c r="K864" s="74"/>
    </row>
    <row r="865" ht="15.75" customHeight="1">
      <c r="A865" s="98"/>
      <c r="B865" s="74"/>
      <c r="C865" s="98"/>
      <c r="D865" s="101"/>
      <c r="E865" s="157"/>
      <c r="F865" s="74"/>
      <c r="G865" s="74"/>
      <c r="H865" s="120"/>
      <c r="I865" s="120"/>
      <c r="J865" s="120"/>
      <c r="K865" s="74"/>
    </row>
    <row r="866" ht="15.75" customHeight="1">
      <c r="A866" s="98"/>
      <c r="B866" s="74"/>
      <c r="C866" s="98"/>
      <c r="D866" s="101"/>
      <c r="E866" s="157"/>
      <c r="F866" s="74"/>
      <c r="G866" s="74"/>
      <c r="H866" s="120"/>
      <c r="I866" s="120"/>
      <c r="J866" s="120"/>
      <c r="K866" s="74"/>
    </row>
    <row r="867" ht="15.75" customHeight="1">
      <c r="A867" s="98"/>
      <c r="B867" s="74"/>
      <c r="C867" s="98"/>
      <c r="D867" s="101"/>
      <c r="E867" s="157"/>
      <c r="F867" s="74"/>
      <c r="G867" s="74"/>
      <c r="H867" s="120"/>
      <c r="I867" s="120"/>
      <c r="J867" s="120"/>
      <c r="K867" s="74"/>
    </row>
    <row r="868" ht="15.75" customHeight="1">
      <c r="A868" s="98"/>
      <c r="B868" s="74"/>
      <c r="C868" s="98"/>
      <c r="D868" s="101"/>
      <c r="E868" s="157"/>
      <c r="F868" s="74"/>
      <c r="G868" s="74"/>
      <c r="H868" s="120"/>
      <c r="I868" s="120"/>
      <c r="J868" s="120"/>
      <c r="K868" s="74"/>
    </row>
    <row r="869" ht="15.75" customHeight="1">
      <c r="A869" s="98"/>
      <c r="B869" s="74"/>
      <c r="C869" s="98"/>
      <c r="D869" s="101"/>
      <c r="E869" s="157"/>
      <c r="F869" s="74"/>
      <c r="G869" s="74"/>
      <c r="H869" s="120"/>
      <c r="I869" s="120"/>
      <c r="J869" s="120"/>
      <c r="K869" s="74"/>
    </row>
    <row r="870" ht="15.75" customHeight="1">
      <c r="A870" s="98"/>
      <c r="B870" s="74"/>
      <c r="C870" s="98"/>
      <c r="D870" s="101"/>
      <c r="E870" s="157"/>
      <c r="F870" s="74"/>
      <c r="G870" s="74"/>
      <c r="H870" s="120"/>
      <c r="I870" s="120"/>
      <c r="J870" s="120"/>
      <c r="K870" s="74"/>
    </row>
    <row r="871" ht="15.75" customHeight="1">
      <c r="A871" s="98"/>
      <c r="B871" s="74"/>
      <c r="C871" s="98"/>
      <c r="D871" s="101"/>
      <c r="E871" s="157"/>
      <c r="F871" s="74"/>
      <c r="G871" s="74"/>
      <c r="H871" s="120"/>
      <c r="I871" s="120"/>
      <c r="J871" s="120"/>
      <c r="K871" s="74"/>
    </row>
    <row r="872" ht="15.75" customHeight="1">
      <c r="A872" s="98"/>
      <c r="B872" s="74"/>
      <c r="C872" s="98"/>
      <c r="D872" s="101"/>
      <c r="E872" s="157"/>
      <c r="F872" s="74"/>
      <c r="G872" s="74"/>
      <c r="H872" s="120"/>
      <c r="I872" s="120"/>
      <c r="J872" s="120"/>
      <c r="K872" s="74"/>
    </row>
    <row r="873" ht="15.75" customHeight="1">
      <c r="A873" s="98"/>
      <c r="B873" s="74"/>
      <c r="C873" s="98"/>
      <c r="D873" s="101"/>
      <c r="E873" s="157"/>
      <c r="F873" s="74"/>
      <c r="G873" s="74"/>
      <c r="H873" s="120"/>
      <c r="I873" s="120"/>
      <c r="J873" s="120"/>
      <c r="K873" s="74"/>
    </row>
    <row r="874" ht="15.75" customHeight="1">
      <c r="A874" s="98"/>
      <c r="B874" s="74"/>
      <c r="C874" s="98"/>
      <c r="D874" s="101"/>
      <c r="E874" s="157"/>
      <c r="F874" s="74"/>
      <c r="G874" s="74"/>
      <c r="H874" s="120"/>
      <c r="I874" s="120"/>
      <c r="J874" s="120"/>
      <c r="K874" s="74"/>
    </row>
    <row r="875" ht="15.75" customHeight="1">
      <c r="A875" s="98"/>
      <c r="B875" s="74"/>
      <c r="C875" s="98"/>
      <c r="D875" s="101"/>
      <c r="E875" s="157"/>
      <c r="F875" s="74"/>
      <c r="G875" s="74"/>
      <c r="H875" s="120"/>
      <c r="I875" s="120"/>
      <c r="J875" s="120"/>
      <c r="K875" s="74"/>
    </row>
    <row r="876" ht="15.75" customHeight="1">
      <c r="A876" s="98"/>
      <c r="B876" s="74"/>
      <c r="C876" s="98"/>
      <c r="D876" s="101"/>
      <c r="E876" s="157"/>
      <c r="F876" s="74"/>
      <c r="G876" s="74"/>
      <c r="H876" s="120"/>
      <c r="I876" s="120"/>
      <c r="J876" s="120"/>
      <c r="K876" s="74"/>
    </row>
    <row r="877" ht="15.75" customHeight="1">
      <c r="A877" s="98"/>
      <c r="B877" s="74"/>
      <c r="C877" s="98"/>
      <c r="D877" s="101"/>
      <c r="E877" s="157"/>
      <c r="F877" s="74"/>
      <c r="G877" s="74"/>
      <c r="H877" s="120"/>
      <c r="I877" s="120"/>
      <c r="J877" s="120"/>
      <c r="K877" s="74"/>
    </row>
    <row r="878" ht="15.75" customHeight="1">
      <c r="A878" s="98"/>
      <c r="B878" s="74"/>
      <c r="C878" s="98"/>
      <c r="D878" s="101"/>
      <c r="E878" s="157"/>
      <c r="F878" s="74"/>
      <c r="G878" s="74"/>
      <c r="H878" s="120"/>
      <c r="I878" s="120"/>
      <c r="J878" s="120"/>
      <c r="K878" s="74"/>
    </row>
    <row r="879" ht="15.75" customHeight="1">
      <c r="A879" s="98"/>
      <c r="B879" s="74"/>
      <c r="C879" s="98"/>
      <c r="D879" s="101"/>
      <c r="E879" s="157"/>
      <c r="F879" s="74"/>
      <c r="G879" s="74"/>
      <c r="H879" s="120"/>
      <c r="I879" s="120"/>
      <c r="J879" s="120"/>
      <c r="K879" s="74"/>
    </row>
    <row r="880" ht="15.75" customHeight="1">
      <c r="A880" s="98"/>
      <c r="B880" s="74"/>
      <c r="C880" s="98"/>
      <c r="D880" s="101"/>
      <c r="E880" s="157"/>
      <c r="F880" s="74"/>
      <c r="G880" s="74"/>
      <c r="H880" s="120"/>
      <c r="I880" s="120"/>
      <c r="J880" s="120"/>
      <c r="K880" s="74"/>
    </row>
    <row r="881" ht="15.75" customHeight="1">
      <c r="A881" s="98"/>
      <c r="B881" s="74"/>
      <c r="C881" s="98"/>
      <c r="D881" s="101"/>
      <c r="E881" s="157"/>
      <c r="F881" s="74"/>
      <c r="G881" s="74"/>
      <c r="H881" s="120"/>
      <c r="I881" s="120"/>
      <c r="J881" s="120"/>
      <c r="K881" s="74"/>
    </row>
    <row r="882" ht="15.75" customHeight="1">
      <c r="A882" s="98"/>
      <c r="B882" s="74"/>
      <c r="C882" s="98"/>
      <c r="D882" s="101"/>
      <c r="E882" s="157"/>
      <c r="F882" s="74"/>
      <c r="G882" s="74"/>
      <c r="H882" s="120"/>
      <c r="I882" s="120"/>
      <c r="J882" s="120"/>
      <c r="K882" s="74"/>
    </row>
    <row r="883" ht="15.75" customHeight="1">
      <c r="A883" s="98"/>
      <c r="B883" s="74"/>
      <c r="C883" s="98"/>
      <c r="D883" s="101"/>
      <c r="E883" s="157"/>
      <c r="F883" s="74"/>
      <c r="G883" s="74"/>
      <c r="H883" s="120"/>
      <c r="I883" s="120"/>
      <c r="J883" s="120"/>
      <c r="K883" s="74"/>
    </row>
    <row r="884" ht="15.75" customHeight="1">
      <c r="A884" s="98"/>
      <c r="B884" s="74"/>
      <c r="C884" s="98"/>
      <c r="D884" s="101"/>
      <c r="E884" s="157"/>
      <c r="F884" s="74"/>
      <c r="G884" s="74"/>
      <c r="H884" s="120"/>
      <c r="I884" s="120"/>
      <c r="J884" s="120"/>
      <c r="K884" s="74"/>
    </row>
    <row r="885" ht="15.75" customHeight="1">
      <c r="A885" s="98"/>
      <c r="B885" s="74"/>
      <c r="C885" s="98"/>
      <c r="D885" s="101"/>
      <c r="E885" s="157"/>
      <c r="F885" s="74"/>
      <c r="G885" s="74"/>
      <c r="H885" s="120"/>
      <c r="I885" s="120"/>
      <c r="J885" s="120"/>
      <c r="K885" s="74"/>
    </row>
    <row r="886" ht="15.75" customHeight="1">
      <c r="A886" s="98"/>
      <c r="B886" s="74"/>
      <c r="C886" s="98"/>
      <c r="D886" s="101"/>
      <c r="E886" s="157"/>
      <c r="F886" s="74"/>
      <c r="G886" s="74"/>
      <c r="H886" s="120"/>
      <c r="I886" s="120"/>
      <c r="J886" s="120"/>
      <c r="K886" s="74"/>
    </row>
    <row r="887" ht="15.75" customHeight="1">
      <c r="A887" s="98"/>
      <c r="B887" s="74"/>
      <c r="C887" s="98"/>
      <c r="D887" s="101"/>
      <c r="E887" s="157"/>
      <c r="F887" s="74"/>
      <c r="G887" s="74"/>
      <c r="H887" s="120"/>
      <c r="I887" s="120"/>
      <c r="J887" s="120"/>
      <c r="K887" s="74"/>
    </row>
    <row r="888" ht="15.75" customHeight="1">
      <c r="A888" s="98"/>
      <c r="B888" s="74"/>
      <c r="C888" s="98"/>
      <c r="D888" s="101"/>
      <c r="E888" s="157"/>
      <c r="F888" s="74"/>
      <c r="G888" s="74"/>
      <c r="H888" s="120"/>
      <c r="I888" s="120"/>
      <c r="J888" s="120"/>
      <c r="K888" s="74"/>
    </row>
    <row r="889" ht="15.75" customHeight="1">
      <c r="A889" s="98"/>
      <c r="B889" s="74"/>
      <c r="C889" s="98"/>
      <c r="D889" s="101"/>
      <c r="E889" s="157"/>
      <c r="F889" s="74"/>
      <c r="G889" s="74"/>
      <c r="H889" s="120"/>
      <c r="I889" s="120"/>
      <c r="J889" s="120"/>
      <c r="K889" s="74"/>
    </row>
    <row r="890" ht="15.75" customHeight="1">
      <c r="A890" s="98"/>
      <c r="B890" s="74"/>
      <c r="C890" s="98"/>
      <c r="D890" s="101"/>
      <c r="E890" s="157"/>
      <c r="F890" s="74"/>
      <c r="G890" s="74"/>
      <c r="H890" s="120"/>
      <c r="I890" s="120"/>
      <c r="J890" s="120"/>
      <c r="K890" s="74"/>
    </row>
    <row r="891" ht="15.75" customHeight="1">
      <c r="A891" s="98"/>
      <c r="B891" s="74"/>
      <c r="C891" s="98"/>
      <c r="D891" s="101"/>
      <c r="E891" s="157"/>
      <c r="F891" s="74"/>
      <c r="G891" s="74"/>
      <c r="H891" s="120"/>
      <c r="I891" s="120"/>
      <c r="J891" s="120"/>
      <c r="K891" s="74"/>
    </row>
    <row r="892" ht="15.75" customHeight="1">
      <c r="A892" s="98"/>
      <c r="B892" s="74"/>
      <c r="C892" s="98"/>
      <c r="D892" s="101"/>
      <c r="E892" s="157"/>
      <c r="F892" s="74"/>
      <c r="G892" s="74"/>
      <c r="H892" s="120"/>
      <c r="I892" s="120"/>
      <c r="J892" s="120"/>
      <c r="K892" s="74"/>
    </row>
    <row r="893" ht="15.75" customHeight="1">
      <c r="A893" s="98"/>
      <c r="B893" s="74"/>
      <c r="C893" s="98"/>
      <c r="D893" s="101"/>
      <c r="E893" s="157"/>
      <c r="F893" s="74"/>
      <c r="G893" s="74"/>
      <c r="H893" s="120"/>
      <c r="I893" s="120"/>
      <c r="J893" s="120"/>
      <c r="K893" s="74"/>
    </row>
    <row r="894" ht="15.75" customHeight="1">
      <c r="A894" s="98"/>
      <c r="B894" s="74"/>
      <c r="C894" s="98"/>
      <c r="D894" s="101"/>
      <c r="E894" s="157"/>
      <c r="F894" s="74"/>
      <c r="G894" s="74"/>
      <c r="H894" s="120"/>
      <c r="I894" s="120"/>
      <c r="J894" s="120"/>
      <c r="K894" s="74"/>
    </row>
    <row r="895" ht="15.75" customHeight="1">
      <c r="A895" s="98"/>
      <c r="B895" s="74"/>
      <c r="C895" s="98"/>
      <c r="D895" s="101"/>
      <c r="E895" s="157"/>
      <c r="F895" s="74"/>
      <c r="G895" s="74"/>
      <c r="H895" s="120"/>
      <c r="I895" s="120"/>
      <c r="J895" s="120"/>
      <c r="K895" s="74"/>
    </row>
    <row r="896" ht="15.75" customHeight="1">
      <c r="A896" s="98"/>
      <c r="B896" s="74"/>
      <c r="C896" s="98"/>
      <c r="D896" s="101"/>
      <c r="E896" s="157"/>
      <c r="F896" s="74"/>
      <c r="G896" s="74"/>
      <c r="H896" s="120"/>
      <c r="I896" s="120"/>
      <c r="J896" s="120"/>
      <c r="K896" s="74"/>
    </row>
    <row r="897" ht="15.75" customHeight="1">
      <c r="A897" s="98"/>
      <c r="B897" s="74"/>
      <c r="C897" s="98"/>
      <c r="D897" s="101"/>
      <c r="E897" s="157"/>
      <c r="F897" s="74"/>
      <c r="G897" s="74"/>
      <c r="H897" s="120"/>
      <c r="I897" s="120"/>
      <c r="J897" s="120"/>
      <c r="K897" s="74"/>
    </row>
    <row r="898" ht="15.75" customHeight="1">
      <c r="A898" s="98"/>
      <c r="B898" s="74"/>
      <c r="C898" s="98"/>
      <c r="D898" s="101"/>
      <c r="E898" s="157"/>
      <c r="F898" s="74"/>
      <c r="G898" s="74"/>
      <c r="H898" s="120"/>
      <c r="I898" s="120"/>
      <c r="J898" s="120"/>
      <c r="K898" s="74"/>
    </row>
    <row r="899" ht="15.75" customHeight="1">
      <c r="A899" s="98"/>
      <c r="B899" s="74"/>
      <c r="C899" s="98"/>
      <c r="D899" s="101"/>
      <c r="E899" s="157"/>
      <c r="F899" s="74"/>
      <c r="G899" s="74"/>
      <c r="H899" s="120"/>
      <c r="I899" s="120"/>
      <c r="J899" s="120"/>
      <c r="K899" s="74"/>
    </row>
    <row r="900" ht="15.75" customHeight="1">
      <c r="A900" s="98"/>
      <c r="B900" s="74"/>
      <c r="C900" s="98"/>
      <c r="D900" s="101"/>
      <c r="E900" s="157"/>
      <c r="F900" s="74"/>
      <c r="G900" s="74"/>
      <c r="H900" s="120"/>
      <c r="I900" s="120"/>
      <c r="J900" s="120"/>
      <c r="K900" s="74"/>
    </row>
    <row r="901" ht="15.75" customHeight="1">
      <c r="A901" s="98"/>
      <c r="B901" s="74"/>
      <c r="C901" s="98"/>
      <c r="D901" s="101"/>
      <c r="E901" s="157"/>
      <c r="F901" s="74"/>
      <c r="G901" s="74"/>
      <c r="H901" s="120"/>
      <c r="I901" s="120"/>
      <c r="J901" s="120"/>
      <c r="K901" s="74"/>
    </row>
    <row r="902" ht="15.75" customHeight="1">
      <c r="A902" s="98"/>
      <c r="B902" s="74"/>
      <c r="C902" s="98"/>
      <c r="D902" s="101"/>
      <c r="E902" s="157"/>
      <c r="F902" s="74"/>
      <c r="G902" s="74"/>
      <c r="H902" s="120"/>
      <c r="I902" s="120"/>
      <c r="J902" s="120"/>
      <c r="K902" s="74"/>
    </row>
    <row r="903" ht="15.75" customHeight="1">
      <c r="A903" s="98"/>
      <c r="B903" s="74"/>
      <c r="C903" s="98"/>
      <c r="D903" s="101"/>
      <c r="E903" s="157"/>
      <c r="F903" s="74"/>
      <c r="G903" s="74"/>
      <c r="H903" s="120"/>
      <c r="I903" s="120"/>
      <c r="J903" s="120"/>
      <c r="K903" s="74"/>
    </row>
    <row r="904" ht="15.75" customHeight="1">
      <c r="A904" s="98"/>
      <c r="B904" s="74"/>
      <c r="C904" s="98"/>
      <c r="D904" s="101"/>
      <c r="E904" s="157"/>
      <c r="F904" s="74"/>
      <c r="G904" s="74"/>
      <c r="H904" s="120"/>
      <c r="I904" s="120"/>
      <c r="J904" s="120"/>
      <c r="K904" s="74"/>
    </row>
    <row r="905" ht="15.75" customHeight="1">
      <c r="A905" s="98"/>
      <c r="B905" s="74"/>
      <c r="C905" s="98"/>
      <c r="D905" s="101"/>
      <c r="E905" s="157"/>
      <c r="F905" s="74"/>
      <c r="G905" s="74"/>
      <c r="H905" s="120"/>
      <c r="I905" s="120"/>
      <c r="J905" s="120"/>
      <c r="K905" s="74"/>
    </row>
    <row r="906" ht="15.75" customHeight="1">
      <c r="A906" s="98"/>
      <c r="B906" s="74"/>
      <c r="C906" s="98"/>
      <c r="D906" s="101"/>
      <c r="E906" s="157"/>
      <c r="F906" s="74"/>
      <c r="G906" s="74"/>
      <c r="H906" s="120"/>
      <c r="I906" s="120"/>
      <c r="J906" s="120"/>
      <c r="K906" s="74"/>
    </row>
    <row r="907" ht="15.75" customHeight="1">
      <c r="A907" s="98"/>
      <c r="B907" s="74"/>
      <c r="C907" s="98"/>
      <c r="D907" s="101"/>
      <c r="E907" s="157"/>
      <c r="F907" s="74"/>
      <c r="G907" s="74"/>
      <c r="H907" s="120"/>
      <c r="I907" s="120"/>
      <c r="J907" s="120"/>
      <c r="K907" s="74"/>
    </row>
    <row r="908" ht="15.75" customHeight="1">
      <c r="A908" s="98"/>
      <c r="B908" s="74"/>
      <c r="C908" s="98"/>
      <c r="D908" s="101"/>
      <c r="E908" s="157"/>
      <c r="F908" s="74"/>
      <c r="G908" s="74"/>
      <c r="H908" s="120"/>
      <c r="I908" s="120"/>
      <c r="J908" s="120"/>
      <c r="K908" s="74"/>
    </row>
    <row r="909" ht="15.75" customHeight="1">
      <c r="A909" s="98"/>
      <c r="B909" s="74"/>
      <c r="C909" s="98"/>
      <c r="D909" s="101"/>
      <c r="E909" s="157"/>
      <c r="F909" s="74"/>
      <c r="G909" s="74"/>
      <c r="H909" s="120"/>
      <c r="I909" s="120"/>
      <c r="J909" s="120"/>
      <c r="K909" s="74"/>
    </row>
    <row r="910" ht="15.75" customHeight="1">
      <c r="A910" s="98"/>
      <c r="B910" s="74"/>
      <c r="C910" s="98"/>
      <c r="D910" s="101"/>
      <c r="E910" s="157"/>
      <c r="F910" s="74"/>
      <c r="G910" s="74"/>
      <c r="H910" s="120"/>
      <c r="I910" s="120"/>
      <c r="J910" s="120"/>
      <c r="K910" s="74"/>
    </row>
    <row r="911" ht="15.75" customHeight="1">
      <c r="A911" s="98"/>
      <c r="B911" s="74"/>
      <c r="C911" s="98"/>
      <c r="D911" s="101"/>
      <c r="E911" s="157"/>
      <c r="F911" s="74"/>
      <c r="G911" s="74"/>
      <c r="H911" s="120"/>
      <c r="I911" s="120"/>
      <c r="J911" s="120"/>
      <c r="K911" s="74"/>
    </row>
    <row r="912" ht="15.75" customHeight="1">
      <c r="A912" s="98"/>
      <c r="B912" s="74"/>
      <c r="C912" s="98"/>
      <c r="D912" s="101"/>
      <c r="E912" s="157"/>
      <c r="F912" s="74"/>
      <c r="G912" s="74"/>
      <c r="H912" s="120"/>
      <c r="I912" s="120"/>
      <c r="J912" s="120"/>
      <c r="K912" s="74"/>
    </row>
    <row r="913" ht="15.75" customHeight="1">
      <c r="A913" s="98"/>
      <c r="B913" s="74"/>
      <c r="C913" s="98"/>
      <c r="D913" s="101"/>
      <c r="E913" s="157"/>
      <c r="F913" s="74"/>
      <c r="G913" s="74"/>
      <c r="H913" s="120"/>
      <c r="I913" s="120"/>
      <c r="J913" s="120"/>
      <c r="K913" s="74"/>
    </row>
    <row r="914" ht="15.75" customHeight="1">
      <c r="A914" s="98"/>
      <c r="B914" s="74"/>
      <c r="C914" s="98"/>
      <c r="D914" s="101"/>
      <c r="E914" s="157"/>
      <c r="F914" s="74"/>
      <c r="G914" s="74"/>
      <c r="H914" s="120"/>
      <c r="I914" s="120"/>
      <c r="J914" s="120"/>
      <c r="K914" s="74"/>
    </row>
    <row r="915" ht="15.75" customHeight="1">
      <c r="A915" s="98"/>
      <c r="B915" s="74"/>
      <c r="C915" s="98"/>
      <c r="D915" s="101"/>
      <c r="E915" s="157"/>
      <c r="F915" s="74"/>
      <c r="G915" s="74"/>
      <c r="H915" s="120"/>
      <c r="I915" s="120"/>
      <c r="J915" s="120"/>
      <c r="K915" s="74"/>
    </row>
    <row r="916" ht="15.75" customHeight="1">
      <c r="A916" s="98"/>
      <c r="B916" s="74"/>
      <c r="C916" s="98"/>
      <c r="D916" s="101"/>
      <c r="E916" s="157"/>
      <c r="F916" s="74"/>
      <c r="G916" s="74"/>
      <c r="H916" s="120"/>
      <c r="I916" s="120"/>
      <c r="J916" s="120"/>
      <c r="K916" s="74"/>
    </row>
    <row r="917" ht="15.75" customHeight="1">
      <c r="A917" s="98"/>
      <c r="B917" s="74"/>
      <c r="C917" s="98"/>
      <c r="D917" s="101"/>
      <c r="E917" s="157"/>
      <c r="F917" s="74"/>
      <c r="G917" s="74"/>
      <c r="H917" s="120"/>
      <c r="I917" s="120"/>
      <c r="J917" s="120"/>
      <c r="K917" s="74"/>
    </row>
    <row r="918" ht="15.75" customHeight="1">
      <c r="A918" s="98"/>
      <c r="B918" s="74"/>
      <c r="C918" s="98"/>
      <c r="D918" s="101"/>
      <c r="E918" s="157"/>
      <c r="F918" s="74"/>
      <c r="G918" s="74"/>
      <c r="H918" s="120"/>
      <c r="I918" s="120"/>
      <c r="J918" s="120"/>
      <c r="K918" s="74"/>
    </row>
    <row r="919" ht="15.75" customHeight="1">
      <c r="A919" s="98"/>
      <c r="B919" s="74"/>
      <c r="C919" s="98"/>
      <c r="D919" s="101"/>
      <c r="E919" s="157"/>
      <c r="F919" s="74"/>
      <c r="G919" s="74"/>
      <c r="H919" s="120"/>
      <c r="I919" s="120"/>
      <c r="J919" s="120"/>
      <c r="K919" s="74"/>
    </row>
    <row r="920" ht="15.75" customHeight="1">
      <c r="A920" s="98"/>
      <c r="B920" s="74"/>
      <c r="C920" s="98"/>
      <c r="D920" s="101"/>
      <c r="E920" s="157"/>
      <c r="F920" s="74"/>
      <c r="G920" s="74"/>
      <c r="H920" s="120"/>
      <c r="I920" s="120"/>
      <c r="J920" s="120"/>
      <c r="K920" s="74"/>
    </row>
    <row r="921" ht="15.75" customHeight="1">
      <c r="A921" s="98"/>
      <c r="B921" s="74"/>
      <c r="C921" s="98"/>
      <c r="D921" s="101"/>
      <c r="E921" s="157"/>
      <c r="F921" s="74"/>
      <c r="G921" s="74"/>
      <c r="H921" s="120"/>
      <c r="I921" s="120"/>
      <c r="J921" s="120"/>
      <c r="K921" s="74"/>
    </row>
    <row r="922" ht="15.75" customHeight="1">
      <c r="A922" s="98"/>
      <c r="B922" s="74"/>
      <c r="C922" s="98"/>
      <c r="D922" s="101"/>
      <c r="E922" s="157"/>
      <c r="F922" s="74"/>
      <c r="G922" s="74"/>
      <c r="H922" s="120"/>
      <c r="I922" s="120"/>
      <c r="J922" s="120"/>
      <c r="K922" s="74"/>
    </row>
    <row r="923" ht="15.75" customHeight="1">
      <c r="A923" s="98"/>
      <c r="B923" s="74"/>
      <c r="C923" s="98"/>
      <c r="D923" s="101"/>
      <c r="E923" s="157"/>
      <c r="F923" s="74"/>
      <c r="G923" s="74"/>
      <c r="H923" s="120"/>
      <c r="I923" s="120"/>
      <c r="J923" s="120"/>
      <c r="K923" s="74"/>
    </row>
    <row r="924" ht="15.75" customHeight="1">
      <c r="A924" s="98"/>
      <c r="B924" s="74"/>
      <c r="C924" s="98"/>
      <c r="D924" s="101"/>
      <c r="E924" s="157"/>
      <c r="F924" s="74"/>
      <c r="G924" s="74"/>
      <c r="H924" s="120"/>
      <c r="I924" s="120"/>
      <c r="J924" s="120"/>
      <c r="K924" s="74"/>
    </row>
    <row r="925" ht="15.75" customHeight="1">
      <c r="A925" s="98"/>
      <c r="B925" s="74"/>
      <c r="C925" s="98"/>
      <c r="D925" s="101"/>
      <c r="E925" s="157"/>
      <c r="F925" s="74"/>
      <c r="G925" s="74"/>
      <c r="H925" s="120"/>
      <c r="I925" s="120"/>
      <c r="J925" s="120"/>
      <c r="K925" s="74"/>
    </row>
    <row r="926" ht="15.75" customHeight="1">
      <c r="A926" s="98"/>
      <c r="B926" s="74"/>
      <c r="C926" s="98"/>
      <c r="D926" s="101"/>
      <c r="E926" s="157"/>
      <c r="F926" s="74"/>
      <c r="G926" s="74"/>
      <c r="H926" s="120"/>
      <c r="I926" s="120"/>
      <c r="J926" s="120"/>
      <c r="K926" s="74"/>
    </row>
    <row r="927" ht="15.75" customHeight="1">
      <c r="A927" s="98"/>
      <c r="B927" s="74"/>
      <c r="C927" s="98"/>
      <c r="D927" s="101"/>
      <c r="E927" s="157"/>
      <c r="F927" s="74"/>
      <c r="G927" s="74"/>
      <c r="H927" s="120"/>
      <c r="I927" s="120"/>
      <c r="J927" s="120"/>
      <c r="K927" s="74"/>
    </row>
    <row r="928" ht="15.75" customHeight="1">
      <c r="A928" s="98"/>
      <c r="B928" s="74"/>
      <c r="C928" s="98"/>
      <c r="D928" s="101"/>
      <c r="E928" s="157"/>
      <c r="F928" s="74"/>
      <c r="G928" s="74"/>
      <c r="H928" s="120"/>
      <c r="I928" s="120"/>
      <c r="J928" s="120"/>
      <c r="K928" s="74"/>
    </row>
    <row r="929" ht="15.75" customHeight="1">
      <c r="A929" s="98"/>
      <c r="B929" s="74"/>
      <c r="C929" s="98"/>
      <c r="D929" s="101"/>
      <c r="E929" s="157"/>
      <c r="F929" s="74"/>
      <c r="G929" s="74"/>
      <c r="H929" s="120"/>
      <c r="I929" s="120"/>
      <c r="J929" s="120"/>
      <c r="K929" s="74"/>
    </row>
    <row r="930" ht="15.75" customHeight="1">
      <c r="A930" s="98"/>
      <c r="B930" s="74"/>
      <c r="C930" s="98"/>
      <c r="D930" s="101"/>
      <c r="E930" s="157"/>
      <c r="F930" s="74"/>
      <c r="G930" s="74"/>
      <c r="H930" s="120"/>
      <c r="I930" s="120"/>
      <c r="J930" s="120"/>
      <c r="K930" s="74"/>
    </row>
    <row r="931" ht="15.75" customHeight="1">
      <c r="A931" s="98"/>
      <c r="B931" s="74"/>
      <c r="C931" s="98"/>
      <c r="D931" s="101"/>
      <c r="E931" s="157"/>
      <c r="F931" s="74"/>
      <c r="G931" s="74"/>
      <c r="H931" s="120"/>
      <c r="I931" s="120"/>
      <c r="J931" s="120"/>
      <c r="K931" s="74"/>
    </row>
    <row r="932" ht="15.75" customHeight="1">
      <c r="A932" s="98"/>
      <c r="B932" s="74"/>
      <c r="C932" s="98"/>
      <c r="D932" s="101"/>
      <c r="E932" s="157"/>
      <c r="F932" s="74"/>
      <c r="G932" s="74"/>
      <c r="H932" s="120"/>
      <c r="I932" s="120"/>
      <c r="J932" s="120"/>
      <c r="K932" s="74"/>
    </row>
    <row r="933" ht="15.75" customHeight="1">
      <c r="A933" s="98"/>
      <c r="B933" s="74"/>
      <c r="C933" s="98"/>
      <c r="D933" s="101"/>
      <c r="E933" s="157"/>
      <c r="F933" s="74"/>
      <c r="G933" s="74"/>
      <c r="H933" s="120"/>
      <c r="I933" s="120"/>
      <c r="J933" s="120"/>
      <c r="K933" s="74"/>
    </row>
    <row r="934" ht="15.75" customHeight="1">
      <c r="A934" s="98"/>
      <c r="B934" s="74"/>
      <c r="C934" s="98"/>
      <c r="D934" s="101"/>
      <c r="E934" s="157"/>
      <c r="F934" s="74"/>
      <c r="G934" s="74"/>
      <c r="H934" s="120"/>
      <c r="I934" s="120"/>
      <c r="J934" s="120"/>
      <c r="K934" s="74"/>
    </row>
    <row r="935" ht="15.75" customHeight="1">
      <c r="A935" s="98"/>
      <c r="B935" s="74"/>
      <c r="C935" s="98"/>
      <c r="D935" s="101"/>
      <c r="E935" s="157"/>
      <c r="F935" s="74"/>
      <c r="G935" s="74"/>
      <c r="H935" s="120"/>
      <c r="I935" s="120"/>
      <c r="J935" s="120"/>
      <c r="K935" s="74"/>
    </row>
    <row r="936" ht="15.75" customHeight="1">
      <c r="A936" s="98"/>
      <c r="B936" s="74"/>
      <c r="C936" s="98"/>
      <c r="D936" s="101"/>
      <c r="E936" s="157"/>
      <c r="F936" s="74"/>
      <c r="G936" s="74"/>
      <c r="H936" s="120"/>
      <c r="I936" s="120"/>
      <c r="J936" s="120"/>
      <c r="K936" s="74"/>
    </row>
    <row r="937" ht="15.75" customHeight="1">
      <c r="A937" s="98"/>
      <c r="B937" s="74"/>
      <c r="C937" s="98"/>
      <c r="D937" s="101"/>
      <c r="E937" s="157"/>
      <c r="F937" s="74"/>
      <c r="G937" s="74"/>
      <c r="H937" s="120"/>
      <c r="I937" s="120"/>
      <c r="J937" s="120"/>
      <c r="K937" s="74"/>
    </row>
    <row r="938" ht="15.75" customHeight="1">
      <c r="A938" s="98"/>
      <c r="B938" s="74"/>
      <c r="C938" s="98"/>
      <c r="D938" s="101"/>
      <c r="E938" s="157"/>
      <c r="F938" s="74"/>
      <c r="G938" s="74"/>
      <c r="H938" s="120"/>
      <c r="I938" s="120"/>
      <c r="J938" s="120"/>
      <c r="K938" s="74"/>
    </row>
    <row r="939" ht="15.75" customHeight="1">
      <c r="A939" s="98"/>
      <c r="B939" s="74"/>
      <c r="C939" s="98"/>
      <c r="D939" s="101"/>
      <c r="E939" s="157"/>
      <c r="F939" s="74"/>
      <c r="G939" s="74"/>
      <c r="H939" s="120"/>
      <c r="I939" s="120"/>
      <c r="J939" s="120"/>
      <c r="K939" s="74"/>
    </row>
    <row r="940" ht="15.75" customHeight="1">
      <c r="A940" s="98"/>
      <c r="B940" s="74"/>
      <c r="C940" s="98"/>
      <c r="D940" s="101"/>
      <c r="E940" s="157"/>
      <c r="F940" s="74"/>
      <c r="G940" s="74"/>
      <c r="H940" s="120"/>
      <c r="I940" s="120"/>
      <c r="J940" s="120"/>
      <c r="K940" s="74"/>
    </row>
    <row r="941" ht="15.75" customHeight="1">
      <c r="A941" s="98"/>
      <c r="B941" s="74"/>
      <c r="C941" s="98"/>
      <c r="D941" s="101"/>
      <c r="E941" s="157"/>
      <c r="F941" s="74"/>
      <c r="G941" s="74"/>
      <c r="H941" s="120"/>
      <c r="I941" s="120"/>
      <c r="J941" s="120"/>
      <c r="K941" s="74"/>
    </row>
    <row r="942" ht="15.75" customHeight="1">
      <c r="A942" s="98"/>
      <c r="B942" s="74"/>
      <c r="C942" s="98"/>
      <c r="D942" s="101"/>
      <c r="E942" s="157"/>
      <c r="F942" s="74"/>
      <c r="G942" s="74"/>
      <c r="H942" s="120"/>
      <c r="I942" s="120"/>
      <c r="J942" s="120"/>
      <c r="K942" s="74"/>
    </row>
    <row r="943" ht="15.75" customHeight="1">
      <c r="A943" s="98"/>
      <c r="B943" s="74"/>
      <c r="C943" s="98"/>
      <c r="D943" s="101"/>
      <c r="E943" s="157"/>
      <c r="F943" s="74"/>
      <c r="G943" s="74"/>
      <c r="H943" s="120"/>
      <c r="I943" s="120"/>
      <c r="J943" s="120"/>
      <c r="K943" s="74"/>
    </row>
    <row r="944" ht="15.75" customHeight="1">
      <c r="A944" s="98"/>
      <c r="B944" s="74"/>
      <c r="C944" s="98"/>
      <c r="D944" s="101"/>
      <c r="E944" s="157"/>
      <c r="F944" s="74"/>
      <c r="G944" s="74"/>
      <c r="H944" s="120"/>
      <c r="I944" s="120"/>
      <c r="J944" s="120"/>
      <c r="K944" s="74"/>
    </row>
    <row r="945" ht="15.75" customHeight="1">
      <c r="A945" s="98"/>
      <c r="B945" s="74"/>
      <c r="C945" s="98"/>
      <c r="D945" s="101"/>
      <c r="E945" s="157"/>
      <c r="F945" s="74"/>
      <c r="G945" s="74"/>
      <c r="H945" s="120"/>
      <c r="I945" s="120"/>
      <c r="J945" s="120"/>
      <c r="K945" s="74"/>
    </row>
    <row r="946" ht="15.75" customHeight="1">
      <c r="A946" s="98"/>
      <c r="B946" s="74"/>
      <c r="C946" s="98"/>
      <c r="D946" s="101"/>
      <c r="E946" s="157"/>
      <c r="F946" s="74"/>
      <c r="G946" s="74"/>
      <c r="H946" s="120"/>
      <c r="I946" s="120"/>
      <c r="J946" s="120"/>
      <c r="K946" s="74"/>
    </row>
    <row r="947" ht="15.75" customHeight="1">
      <c r="A947" s="98"/>
      <c r="B947" s="74"/>
      <c r="C947" s="98"/>
      <c r="D947" s="101"/>
      <c r="E947" s="157"/>
      <c r="F947" s="74"/>
      <c r="G947" s="74"/>
      <c r="H947" s="120"/>
      <c r="I947" s="120"/>
      <c r="J947" s="120"/>
      <c r="K947" s="74"/>
    </row>
    <row r="948" ht="15.75" customHeight="1">
      <c r="A948" s="98"/>
      <c r="B948" s="74"/>
      <c r="C948" s="98"/>
      <c r="D948" s="101"/>
      <c r="E948" s="157"/>
      <c r="F948" s="74"/>
      <c r="G948" s="74"/>
      <c r="H948" s="120"/>
      <c r="I948" s="120"/>
      <c r="J948" s="120"/>
      <c r="K948" s="74"/>
    </row>
    <row r="949" ht="15.75" customHeight="1">
      <c r="A949" s="98"/>
      <c r="B949" s="74"/>
      <c r="C949" s="98"/>
      <c r="D949" s="101"/>
      <c r="E949" s="157"/>
      <c r="F949" s="74"/>
      <c r="G949" s="74"/>
      <c r="H949" s="120"/>
      <c r="I949" s="120"/>
      <c r="J949" s="120"/>
      <c r="K949" s="74"/>
    </row>
    <row r="950" ht="15.75" customHeight="1">
      <c r="A950" s="98"/>
      <c r="B950" s="74"/>
      <c r="C950" s="98"/>
      <c r="D950" s="101"/>
      <c r="E950" s="157"/>
      <c r="F950" s="74"/>
      <c r="G950" s="74"/>
      <c r="H950" s="120"/>
      <c r="I950" s="120"/>
      <c r="J950" s="120"/>
      <c r="K950" s="74"/>
    </row>
    <row r="951" ht="15.75" customHeight="1">
      <c r="A951" s="98"/>
      <c r="B951" s="74"/>
      <c r="C951" s="98"/>
      <c r="D951" s="101"/>
      <c r="E951" s="157"/>
      <c r="F951" s="74"/>
      <c r="G951" s="74"/>
      <c r="H951" s="120"/>
      <c r="I951" s="120"/>
      <c r="J951" s="120"/>
      <c r="K951" s="74"/>
    </row>
    <row r="952" ht="15.75" customHeight="1">
      <c r="A952" s="98"/>
      <c r="B952" s="74"/>
      <c r="C952" s="98"/>
      <c r="D952" s="101"/>
      <c r="E952" s="157"/>
      <c r="F952" s="74"/>
      <c r="G952" s="74"/>
      <c r="H952" s="120"/>
      <c r="I952" s="120"/>
      <c r="J952" s="120"/>
      <c r="K952" s="74"/>
    </row>
    <row r="953" ht="15.75" customHeight="1">
      <c r="A953" s="98"/>
      <c r="B953" s="74"/>
      <c r="C953" s="98"/>
      <c r="D953" s="101"/>
      <c r="E953" s="157"/>
      <c r="F953" s="74"/>
      <c r="G953" s="74"/>
      <c r="H953" s="120"/>
      <c r="I953" s="120"/>
      <c r="J953" s="120"/>
      <c r="K953" s="74"/>
    </row>
    <row r="954" ht="15.75" customHeight="1">
      <c r="A954" s="98"/>
      <c r="B954" s="74"/>
      <c r="C954" s="98"/>
      <c r="D954" s="101"/>
      <c r="E954" s="157"/>
      <c r="F954" s="74"/>
      <c r="G954" s="74"/>
      <c r="H954" s="120"/>
      <c r="I954" s="120"/>
      <c r="J954" s="120"/>
      <c r="K954" s="74"/>
    </row>
    <row r="955" ht="15.75" customHeight="1">
      <c r="A955" s="98"/>
      <c r="B955" s="74"/>
      <c r="C955" s="98"/>
      <c r="D955" s="101"/>
      <c r="E955" s="157"/>
      <c r="F955" s="74"/>
      <c r="G955" s="74"/>
      <c r="H955" s="120"/>
      <c r="I955" s="120"/>
      <c r="J955" s="120"/>
      <c r="K955" s="74"/>
    </row>
    <row r="956" ht="15.75" customHeight="1">
      <c r="A956" s="98"/>
      <c r="B956" s="74"/>
      <c r="C956" s="98"/>
      <c r="D956" s="101"/>
      <c r="E956" s="157"/>
      <c r="F956" s="74"/>
      <c r="G956" s="74"/>
      <c r="H956" s="120"/>
      <c r="I956" s="120"/>
      <c r="J956" s="120"/>
      <c r="K956" s="74"/>
    </row>
    <row r="957" ht="15.75" customHeight="1">
      <c r="A957" s="98"/>
      <c r="B957" s="74"/>
      <c r="C957" s="98"/>
      <c r="D957" s="101"/>
      <c r="E957" s="157"/>
      <c r="F957" s="74"/>
      <c r="G957" s="74"/>
      <c r="H957" s="120"/>
      <c r="I957" s="120"/>
      <c r="J957" s="120"/>
      <c r="K957" s="74"/>
    </row>
    <row r="958" ht="15.75" customHeight="1">
      <c r="A958" s="98"/>
      <c r="B958" s="74"/>
      <c r="C958" s="98"/>
      <c r="D958" s="101"/>
      <c r="E958" s="157"/>
      <c r="F958" s="74"/>
      <c r="G958" s="74"/>
      <c r="H958" s="120"/>
      <c r="I958" s="120"/>
      <c r="J958" s="120"/>
      <c r="K958" s="74"/>
    </row>
    <row r="959" ht="15.75" customHeight="1">
      <c r="A959" s="98"/>
      <c r="B959" s="74"/>
      <c r="C959" s="98"/>
      <c r="D959" s="101"/>
      <c r="E959" s="157"/>
      <c r="F959" s="74"/>
      <c r="G959" s="74"/>
      <c r="H959" s="120"/>
      <c r="I959" s="120"/>
      <c r="J959" s="120"/>
      <c r="K959" s="74"/>
    </row>
    <row r="960" ht="15.75" customHeight="1">
      <c r="A960" s="98"/>
      <c r="B960" s="74"/>
      <c r="C960" s="98"/>
      <c r="D960" s="101"/>
      <c r="E960" s="157"/>
      <c r="F960" s="74"/>
      <c r="G960" s="74"/>
      <c r="H960" s="120"/>
      <c r="I960" s="120"/>
      <c r="J960" s="120"/>
      <c r="K960" s="74"/>
    </row>
    <row r="961" ht="15.75" customHeight="1">
      <c r="A961" s="98"/>
      <c r="B961" s="74"/>
      <c r="C961" s="98"/>
      <c r="D961" s="101"/>
      <c r="E961" s="157"/>
      <c r="F961" s="74"/>
      <c r="G961" s="74"/>
      <c r="H961" s="120"/>
      <c r="I961" s="120"/>
      <c r="J961" s="120"/>
      <c r="K961" s="74"/>
    </row>
    <row r="962" ht="15.75" customHeight="1">
      <c r="A962" s="98"/>
      <c r="B962" s="74"/>
      <c r="C962" s="98"/>
      <c r="D962" s="101"/>
      <c r="E962" s="157"/>
      <c r="F962" s="74"/>
      <c r="G962" s="74"/>
      <c r="H962" s="120"/>
      <c r="I962" s="120"/>
      <c r="J962" s="120"/>
      <c r="K962" s="74"/>
    </row>
    <row r="963" ht="15.75" customHeight="1">
      <c r="A963" s="98"/>
      <c r="B963" s="74"/>
      <c r="C963" s="98"/>
      <c r="D963" s="101"/>
      <c r="E963" s="157"/>
      <c r="F963" s="74"/>
      <c r="G963" s="74"/>
      <c r="H963" s="120"/>
      <c r="I963" s="120"/>
      <c r="J963" s="120"/>
      <c r="K963" s="74"/>
    </row>
    <row r="964" ht="15.75" customHeight="1">
      <c r="A964" s="98"/>
      <c r="B964" s="74"/>
      <c r="C964" s="98"/>
      <c r="D964" s="101"/>
      <c r="E964" s="157"/>
      <c r="F964" s="74"/>
      <c r="G964" s="74"/>
      <c r="H964" s="120"/>
      <c r="I964" s="120"/>
      <c r="J964" s="120"/>
      <c r="K964" s="74"/>
    </row>
    <row r="965" ht="15.75" customHeight="1">
      <c r="A965" s="98"/>
      <c r="B965" s="74"/>
      <c r="C965" s="98"/>
      <c r="D965" s="101"/>
      <c r="E965" s="157"/>
      <c r="F965" s="74"/>
      <c r="G965" s="74"/>
      <c r="H965" s="120"/>
      <c r="I965" s="120"/>
      <c r="J965" s="120"/>
      <c r="K965" s="74"/>
    </row>
    <row r="966" ht="15.75" customHeight="1">
      <c r="A966" s="98"/>
      <c r="B966" s="74"/>
      <c r="C966" s="98"/>
      <c r="D966" s="101"/>
      <c r="E966" s="157"/>
      <c r="F966" s="74"/>
      <c r="G966" s="74"/>
      <c r="H966" s="120"/>
      <c r="I966" s="120"/>
      <c r="J966" s="120"/>
      <c r="K966" s="74"/>
    </row>
    <row r="967" ht="15.75" customHeight="1">
      <c r="A967" s="98"/>
      <c r="B967" s="74"/>
      <c r="C967" s="98"/>
      <c r="D967" s="101"/>
      <c r="E967" s="157"/>
      <c r="F967" s="74"/>
      <c r="G967" s="74"/>
      <c r="H967" s="120"/>
      <c r="I967" s="120"/>
      <c r="J967" s="120"/>
      <c r="K967" s="74"/>
    </row>
    <row r="968" ht="15.75" customHeight="1">
      <c r="A968" s="98"/>
      <c r="B968" s="74"/>
      <c r="C968" s="98"/>
      <c r="D968" s="101"/>
      <c r="E968" s="157"/>
      <c r="F968" s="74"/>
      <c r="G968" s="74"/>
      <c r="H968" s="120"/>
      <c r="I968" s="120"/>
      <c r="J968" s="120"/>
      <c r="K968" s="74"/>
    </row>
    <row r="969" ht="15.75" customHeight="1">
      <c r="A969" s="98"/>
      <c r="B969" s="74"/>
      <c r="C969" s="98"/>
      <c r="D969" s="101"/>
      <c r="E969" s="157"/>
      <c r="F969" s="74"/>
      <c r="G969" s="74"/>
      <c r="H969" s="120"/>
      <c r="I969" s="120"/>
      <c r="J969" s="120"/>
      <c r="K969" s="74"/>
    </row>
    <row r="970" ht="15.75" customHeight="1">
      <c r="A970" s="98"/>
      <c r="B970" s="74"/>
      <c r="C970" s="98"/>
      <c r="D970" s="101"/>
      <c r="E970" s="157"/>
      <c r="F970" s="74"/>
      <c r="G970" s="74"/>
      <c r="H970" s="120"/>
      <c r="I970" s="120"/>
      <c r="J970" s="120"/>
      <c r="K970" s="74"/>
    </row>
    <row r="971" ht="15.75" customHeight="1">
      <c r="A971" s="98"/>
      <c r="B971" s="74"/>
      <c r="C971" s="98"/>
      <c r="D971" s="101"/>
      <c r="E971" s="157"/>
      <c r="F971" s="74"/>
      <c r="G971" s="74"/>
      <c r="H971" s="120"/>
      <c r="I971" s="120"/>
      <c r="J971" s="120"/>
      <c r="K971" s="74"/>
    </row>
    <row r="972" ht="15.75" customHeight="1">
      <c r="A972" s="98"/>
      <c r="B972" s="74"/>
      <c r="C972" s="98"/>
      <c r="D972" s="101"/>
      <c r="E972" s="157"/>
      <c r="F972" s="74"/>
      <c r="G972" s="74"/>
      <c r="H972" s="120"/>
      <c r="I972" s="120"/>
      <c r="J972" s="120"/>
      <c r="K972" s="74"/>
    </row>
    <row r="973" ht="15.75" customHeight="1">
      <c r="A973" s="98"/>
      <c r="B973" s="74"/>
      <c r="C973" s="98"/>
      <c r="D973" s="101"/>
      <c r="E973" s="157"/>
      <c r="F973" s="74"/>
      <c r="G973" s="74"/>
      <c r="H973" s="120"/>
      <c r="I973" s="120"/>
      <c r="J973" s="120"/>
      <c r="K973" s="74"/>
    </row>
    <row r="974" ht="15.75" customHeight="1">
      <c r="A974" s="98"/>
      <c r="B974" s="74"/>
      <c r="C974" s="98"/>
      <c r="D974" s="101"/>
      <c r="E974" s="157"/>
      <c r="F974" s="74"/>
      <c r="G974" s="74"/>
      <c r="H974" s="120"/>
      <c r="I974" s="120"/>
      <c r="J974" s="120"/>
      <c r="K974" s="74"/>
    </row>
    <row r="975" ht="15.75" customHeight="1">
      <c r="A975" s="98"/>
      <c r="B975" s="74"/>
      <c r="C975" s="98"/>
      <c r="D975" s="101"/>
      <c r="E975" s="157"/>
      <c r="F975" s="74"/>
      <c r="G975" s="74"/>
      <c r="H975" s="120"/>
      <c r="I975" s="120"/>
      <c r="J975" s="120"/>
      <c r="K975" s="74"/>
    </row>
    <row r="976" ht="15.75" customHeight="1">
      <c r="A976" s="98"/>
      <c r="B976" s="74"/>
      <c r="C976" s="98"/>
      <c r="D976" s="101"/>
      <c r="E976" s="157"/>
      <c r="F976" s="74"/>
      <c r="G976" s="74"/>
      <c r="H976" s="120"/>
      <c r="I976" s="120"/>
      <c r="J976" s="120"/>
      <c r="K976" s="74"/>
    </row>
    <row r="977" ht="15.75" customHeight="1">
      <c r="A977" s="98"/>
      <c r="B977" s="74"/>
      <c r="C977" s="98"/>
      <c r="D977" s="101"/>
      <c r="E977" s="157"/>
      <c r="F977" s="74"/>
      <c r="G977" s="74"/>
      <c r="H977" s="120"/>
      <c r="I977" s="120"/>
      <c r="J977" s="120"/>
      <c r="K977" s="74"/>
    </row>
    <row r="978" ht="15.75" customHeight="1">
      <c r="A978" s="98"/>
      <c r="B978" s="74"/>
      <c r="C978" s="98"/>
      <c r="D978" s="101"/>
      <c r="E978" s="157"/>
      <c r="F978" s="74"/>
      <c r="G978" s="74"/>
      <c r="H978" s="120"/>
      <c r="I978" s="120"/>
      <c r="J978" s="120"/>
      <c r="K978" s="74"/>
    </row>
    <row r="979" ht="15.75" customHeight="1">
      <c r="A979" s="98"/>
      <c r="B979" s="74"/>
      <c r="C979" s="98"/>
      <c r="D979" s="101"/>
      <c r="E979" s="157"/>
      <c r="F979" s="74"/>
      <c r="G979" s="74"/>
      <c r="H979" s="120"/>
      <c r="I979" s="120"/>
      <c r="J979" s="120"/>
      <c r="K979" s="74"/>
    </row>
    <row r="980" ht="15.75" customHeight="1">
      <c r="A980" s="98"/>
      <c r="B980" s="74"/>
      <c r="C980" s="98"/>
      <c r="D980" s="101"/>
      <c r="E980" s="157"/>
      <c r="F980" s="74"/>
      <c r="G980" s="74"/>
      <c r="H980" s="120"/>
      <c r="I980" s="120"/>
      <c r="J980" s="120"/>
      <c r="K980" s="74"/>
    </row>
    <row r="981" ht="15.75" customHeight="1">
      <c r="A981" s="98"/>
      <c r="B981" s="74"/>
      <c r="C981" s="98"/>
      <c r="D981" s="101"/>
      <c r="E981" s="157"/>
      <c r="F981" s="74"/>
      <c r="G981" s="74"/>
      <c r="H981" s="120"/>
      <c r="I981" s="120"/>
      <c r="J981" s="120"/>
      <c r="K981" s="74"/>
    </row>
    <row r="982" ht="15.75" customHeight="1">
      <c r="A982" s="98"/>
      <c r="B982" s="74"/>
      <c r="C982" s="98"/>
      <c r="D982" s="101"/>
      <c r="E982" s="157"/>
      <c r="F982" s="74"/>
      <c r="G982" s="74"/>
      <c r="H982" s="120"/>
      <c r="I982" s="120"/>
      <c r="J982" s="120"/>
      <c r="K982" s="74"/>
    </row>
    <row r="983" ht="15.75" customHeight="1">
      <c r="A983" s="98"/>
      <c r="B983" s="74"/>
      <c r="C983" s="98"/>
      <c r="D983" s="101"/>
      <c r="E983" s="157"/>
      <c r="F983" s="74"/>
      <c r="G983" s="74"/>
      <c r="H983" s="120"/>
      <c r="I983" s="120"/>
      <c r="J983" s="120"/>
      <c r="K983" s="74"/>
    </row>
    <row r="984" ht="15.75" customHeight="1">
      <c r="A984" s="98"/>
      <c r="B984" s="74"/>
      <c r="C984" s="98"/>
      <c r="D984" s="101"/>
      <c r="E984" s="157"/>
      <c r="F984" s="74"/>
      <c r="G984" s="74"/>
      <c r="H984" s="120"/>
      <c r="I984" s="120"/>
      <c r="J984" s="120"/>
      <c r="K984" s="74"/>
    </row>
    <row r="985" ht="15.75" customHeight="1">
      <c r="A985" s="98"/>
      <c r="B985" s="74"/>
      <c r="C985" s="98"/>
      <c r="D985" s="101"/>
      <c r="E985" s="157"/>
      <c r="F985" s="74"/>
      <c r="G985" s="74"/>
      <c r="H985" s="120"/>
      <c r="I985" s="120"/>
      <c r="J985" s="120"/>
      <c r="K985" s="74"/>
    </row>
    <row r="986" ht="15.75" customHeight="1">
      <c r="A986" s="98"/>
      <c r="B986" s="74"/>
      <c r="C986" s="98"/>
      <c r="D986" s="101"/>
      <c r="E986" s="157"/>
      <c r="F986" s="74"/>
      <c r="G986" s="74"/>
      <c r="H986" s="120"/>
      <c r="I986" s="120"/>
      <c r="J986" s="120"/>
      <c r="K986" s="74"/>
    </row>
    <row r="987" ht="15.75" customHeight="1">
      <c r="A987" s="98"/>
      <c r="B987" s="74"/>
      <c r="C987" s="98"/>
      <c r="D987" s="101"/>
      <c r="E987" s="157"/>
      <c r="F987" s="74"/>
      <c r="G987" s="74"/>
      <c r="H987" s="120"/>
      <c r="I987" s="120"/>
      <c r="J987" s="120"/>
      <c r="K987" s="74"/>
    </row>
    <row r="988" ht="15.75" customHeight="1">
      <c r="A988" s="98"/>
      <c r="B988" s="74"/>
      <c r="C988" s="98"/>
      <c r="D988" s="101"/>
      <c r="E988" s="157"/>
      <c r="F988" s="74"/>
      <c r="G988" s="74"/>
      <c r="H988" s="120"/>
      <c r="I988" s="120"/>
      <c r="J988" s="120"/>
      <c r="K988" s="74"/>
    </row>
    <row r="989" ht="15.75" customHeight="1">
      <c r="A989" s="98"/>
      <c r="B989" s="74"/>
      <c r="C989" s="98"/>
      <c r="D989" s="101"/>
      <c r="E989" s="157"/>
      <c r="F989" s="74"/>
      <c r="G989" s="74"/>
      <c r="H989" s="120"/>
      <c r="I989" s="120"/>
      <c r="J989" s="120"/>
      <c r="K989" s="74"/>
    </row>
    <row r="990" ht="15.75" customHeight="1">
      <c r="A990" s="98"/>
      <c r="B990" s="74"/>
      <c r="C990" s="98"/>
      <c r="D990" s="101"/>
      <c r="E990" s="157"/>
      <c r="F990" s="74"/>
      <c r="G990" s="74"/>
      <c r="H990" s="120"/>
      <c r="I990" s="120"/>
      <c r="J990" s="120"/>
      <c r="K990" s="74"/>
    </row>
    <row r="991" ht="15.75" customHeight="1">
      <c r="A991" s="98"/>
      <c r="B991" s="74"/>
      <c r="C991" s="98"/>
      <c r="D991" s="101"/>
      <c r="E991" s="157"/>
      <c r="F991" s="74"/>
      <c r="G991" s="74"/>
      <c r="H991" s="120"/>
      <c r="I991" s="120"/>
      <c r="J991" s="120"/>
      <c r="K991" s="74"/>
    </row>
    <row r="992" ht="15.75" customHeight="1">
      <c r="A992" s="98"/>
      <c r="B992" s="74"/>
      <c r="C992" s="98"/>
      <c r="D992" s="101"/>
      <c r="E992" s="157"/>
      <c r="F992" s="74"/>
      <c r="G992" s="74"/>
      <c r="H992" s="120"/>
      <c r="I992" s="120"/>
      <c r="J992" s="120"/>
      <c r="K992" s="74"/>
    </row>
    <row r="993" ht="15.75" customHeight="1">
      <c r="A993" s="98"/>
      <c r="B993" s="74"/>
      <c r="C993" s="98"/>
      <c r="D993" s="101"/>
      <c r="E993" s="157"/>
      <c r="F993" s="74"/>
      <c r="G993" s="74"/>
      <c r="H993" s="120"/>
      <c r="I993" s="120"/>
      <c r="J993" s="120"/>
      <c r="K993" s="74"/>
    </row>
    <row r="994" ht="15.75" customHeight="1">
      <c r="A994" s="98"/>
      <c r="B994" s="74"/>
      <c r="C994" s="98"/>
      <c r="D994" s="101"/>
      <c r="E994" s="157"/>
      <c r="F994" s="74"/>
      <c r="G994" s="74"/>
      <c r="H994" s="120"/>
      <c r="I994" s="120"/>
      <c r="J994" s="120"/>
      <c r="K994" s="74"/>
    </row>
    <row r="995" ht="15.75" customHeight="1">
      <c r="A995" s="98"/>
      <c r="B995" s="74"/>
      <c r="C995" s="98"/>
      <c r="D995" s="101"/>
      <c r="E995" s="157"/>
      <c r="F995" s="74"/>
      <c r="G995" s="74"/>
      <c r="H995" s="120"/>
      <c r="I995" s="120"/>
      <c r="J995" s="120"/>
      <c r="K995" s="74"/>
    </row>
    <row r="996" ht="15.75" customHeight="1">
      <c r="A996" s="98"/>
      <c r="B996" s="74"/>
      <c r="C996" s="98"/>
      <c r="D996" s="101"/>
      <c r="E996" s="157"/>
      <c r="F996" s="74"/>
      <c r="G996" s="74"/>
      <c r="H996" s="120"/>
      <c r="I996" s="120"/>
      <c r="J996" s="120"/>
      <c r="K996" s="74"/>
    </row>
    <row r="997" ht="15.75" customHeight="1">
      <c r="A997" s="98"/>
      <c r="B997" s="74"/>
      <c r="C997" s="98"/>
      <c r="D997" s="101"/>
      <c r="E997" s="157"/>
      <c r="F997" s="74"/>
      <c r="G997" s="74"/>
      <c r="H997" s="120"/>
      <c r="I997" s="120"/>
      <c r="J997" s="120"/>
      <c r="K997" s="74"/>
    </row>
    <row r="998" ht="15.75" customHeight="1">
      <c r="A998" s="98"/>
      <c r="B998" s="74"/>
      <c r="C998" s="98"/>
      <c r="D998" s="101"/>
      <c r="E998" s="157"/>
      <c r="F998" s="74"/>
      <c r="G998" s="74"/>
      <c r="H998" s="120"/>
      <c r="I998" s="120"/>
      <c r="J998" s="120"/>
      <c r="K998" s="74"/>
    </row>
    <row r="999" ht="15.75" customHeight="1">
      <c r="A999" s="98"/>
      <c r="B999" s="74"/>
      <c r="C999" s="98"/>
      <c r="D999" s="101"/>
      <c r="E999" s="157"/>
      <c r="F999" s="74"/>
      <c r="G999" s="74"/>
      <c r="H999" s="120"/>
      <c r="I999" s="120"/>
      <c r="J999" s="120"/>
      <c r="K999" s="74"/>
    </row>
    <row r="1000" ht="15.75" customHeight="1">
      <c r="A1000" s="98"/>
      <c r="B1000" s="74"/>
      <c r="C1000" s="98"/>
      <c r="D1000" s="101"/>
      <c r="E1000" s="157"/>
      <c r="F1000" s="74"/>
      <c r="G1000" s="74"/>
      <c r="H1000" s="120"/>
      <c r="I1000" s="120"/>
      <c r="J1000" s="120"/>
      <c r="K1000" s="74"/>
    </row>
    <row r="1001" ht="15.75" customHeight="1">
      <c r="A1001" s="98"/>
      <c r="B1001" s="74"/>
      <c r="C1001" s="98"/>
      <c r="D1001" s="101"/>
      <c r="E1001" s="157"/>
      <c r="F1001" s="74"/>
      <c r="G1001" s="74"/>
      <c r="H1001" s="120"/>
      <c r="I1001" s="120"/>
      <c r="J1001" s="120"/>
      <c r="K1001" s="74"/>
    </row>
    <row r="1002" ht="15.75" customHeight="1">
      <c r="A1002" s="98"/>
      <c r="B1002" s="74"/>
      <c r="C1002" s="98"/>
      <c r="D1002" s="101"/>
      <c r="E1002" s="157"/>
      <c r="F1002" s="74"/>
      <c r="G1002" s="74"/>
      <c r="H1002" s="120"/>
      <c r="I1002" s="120"/>
      <c r="J1002" s="120"/>
      <c r="K1002" s="74"/>
    </row>
    <row r="1003" ht="15.75" customHeight="1">
      <c r="A1003" s="98"/>
      <c r="B1003" s="74"/>
      <c r="C1003" s="98"/>
      <c r="D1003" s="101"/>
      <c r="E1003" s="157"/>
      <c r="F1003" s="74"/>
      <c r="G1003" s="74"/>
      <c r="H1003" s="120"/>
      <c r="I1003" s="120"/>
      <c r="J1003" s="120"/>
      <c r="K1003" s="74"/>
    </row>
    <row r="1004" ht="15.75" customHeight="1">
      <c r="A1004" s="98"/>
      <c r="B1004" s="74"/>
      <c r="C1004" s="98"/>
      <c r="D1004" s="101"/>
      <c r="E1004" s="157"/>
      <c r="F1004" s="74"/>
      <c r="G1004" s="74"/>
      <c r="H1004" s="120"/>
      <c r="I1004" s="120"/>
      <c r="J1004" s="120"/>
      <c r="K1004" s="74"/>
    </row>
    <row r="1005" ht="15.75" customHeight="1">
      <c r="A1005" s="98"/>
      <c r="B1005" s="74"/>
      <c r="C1005" s="98"/>
      <c r="D1005" s="101"/>
      <c r="E1005" s="157"/>
      <c r="F1005" s="74"/>
      <c r="G1005" s="74"/>
      <c r="H1005" s="120"/>
      <c r="I1005" s="120"/>
      <c r="J1005" s="120"/>
      <c r="K1005" s="74"/>
    </row>
    <row r="1006" ht="15.75" customHeight="1">
      <c r="A1006" s="98"/>
      <c r="B1006" s="74"/>
      <c r="C1006" s="98"/>
      <c r="D1006" s="101"/>
      <c r="E1006" s="157"/>
      <c r="F1006" s="74"/>
      <c r="G1006" s="74"/>
      <c r="H1006" s="120"/>
      <c r="I1006" s="120"/>
      <c r="J1006" s="120"/>
      <c r="K1006" s="74"/>
    </row>
    <row r="1007" ht="15.75" customHeight="1">
      <c r="A1007" s="98"/>
      <c r="B1007" s="74"/>
      <c r="C1007" s="98"/>
      <c r="D1007" s="101"/>
      <c r="E1007" s="157"/>
      <c r="F1007" s="74"/>
      <c r="G1007" s="74"/>
      <c r="H1007" s="120"/>
      <c r="I1007" s="120"/>
      <c r="J1007" s="120"/>
      <c r="K1007" s="74"/>
    </row>
    <row r="1008" ht="15.75" customHeight="1">
      <c r="A1008" s="98"/>
      <c r="B1008" s="74"/>
      <c r="C1008" s="98"/>
      <c r="D1008" s="101"/>
      <c r="E1008" s="157"/>
      <c r="F1008" s="74"/>
      <c r="G1008" s="74"/>
      <c r="H1008" s="120"/>
      <c r="I1008" s="120"/>
      <c r="J1008" s="120"/>
      <c r="K1008" s="74"/>
    </row>
    <row r="1009" ht="15.75" customHeight="1">
      <c r="A1009" s="98"/>
      <c r="B1009" s="74"/>
      <c r="C1009" s="98"/>
      <c r="D1009" s="101"/>
      <c r="E1009" s="157"/>
      <c r="F1009" s="74"/>
      <c r="G1009" s="74"/>
      <c r="H1009" s="120"/>
      <c r="I1009" s="120"/>
      <c r="J1009" s="120"/>
      <c r="K1009" s="74"/>
    </row>
    <row r="1010" ht="15.75" customHeight="1">
      <c r="A1010" s="98"/>
      <c r="B1010" s="74"/>
      <c r="C1010" s="98"/>
      <c r="D1010" s="101"/>
      <c r="E1010" s="157"/>
      <c r="F1010" s="74"/>
      <c r="G1010" s="74"/>
      <c r="H1010" s="120"/>
      <c r="I1010" s="120"/>
      <c r="J1010" s="120"/>
      <c r="K1010" s="74"/>
    </row>
    <row r="1011" ht="15.75" customHeight="1">
      <c r="A1011" s="98"/>
      <c r="B1011" s="74"/>
      <c r="C1011" s="98"/>
      <c r="D1011" s="101"/>
      <c r="E1011" s="157"/>
      <c r="F1011" s="74"/>
      <c r="G1011" s="74"/>
      <c r="H1011" s="120"/>
      <c r="I1011" s="120"/>
      <c r="J1011" s="120"/>
      <c r="K1011" s="74"/>
    </row>
    <row r="1012" ht="15.75" customHeight="1">
      <c r="A1012" s="98"/>
      <c r="B1012" s="74"/>
      <c r="C1012" s="98"/>
      <c r="D1012" s="101"/>
      <c r="E1012" s="157"/>
      <c r="F1012" s="74"/>
      <c r="G1012" s="74"/>
      <c r="H1012" s="120"/>
      <c r="I1012" s="120"/>
      <c r="J1012" s="120"/>
      <c r="K1012" s="74"/>
    </row>
    <row r="1013" ht="15.75" customHeight="1">
      <c r="A1013" s="98"/>
      <c r="B1013" s="74"/>
      <c r="C1013" s="98"/>
      <c r="D1013" s="101"/>
      <c r="E1013" s="157"/>
      <c r="F1013" s="74"/>
      <c r="G1013" s="74"/>
      <c r="H1013" s="120"/>
      <c r="I1013" s="120"/>
      <c r="J1013" s="120"/>
      <c r="K1013" s="74"/>
    </row>
    <row r="1014" ht="15.75" customHeight="1">
      <c r="A1014" s="98"/>
      <c r="B1014" s="74"/>
      <c r="C1014" s="98"/>
      <c r="D1014" s="101"/>
      <c r="E1014" s="157"/>
      <c r="F1014" s="74"/>
      <c r="G1014" s="74"/>
      <c r="H1014" s="120"/>
      <c r="I1014" s="120"/>
      <c r="J1014" s="120"/>
      <c r="K1014" s="74"/>
    </row>
    <row r="1015" ht="15.75" customHeight="1">
      <c r="A1015" s="98"/>
      <c r="B1015" s="74"/>
      <c r="C1015" s="98"/>
      <c r="D1015" s="101"/>
      <c r="E1015" s="157"/>
      <c r="F1015" s="74"/>
      <c r="G1015" s="74"/>
      <c r="H1015" s="120"/>
      <c r="I1015" s="120"/>
      <c r="J1015" s="120"/>
      <c r="K1015" s="74"/>
    </row>
    <row r="1016" ht="15.75" customHeight="1">
      <c r="A1016" s="98"/>
      <c r="B1016" s="74"/>
      <c r="C1016" s="98"/>
      <c r="D1016" s="101"/>
      <c r="E1016" s="157"/>
      <c r="F1016" s="74"/>
      <c r="G1016" s="74"/>
      <c r="H1016" s="120"/>
      <c r="I1016" s="120"/>
      <c r="J1016" s="120"/>
      <c r="K1016" s="74"/>
    </row>
    <row r="1017" ht="15.75" customHeight="1">
      <c r="A1017" s="98"/>
      <c r="B1017" s="74"/>
      <c r="C1017" s="98"/>
      <c r="D1017" s="101"/>
      <c r="E1017" s="157"/>
      <c r="F1017" s="74"/>
      <c r="G1017" s="74"/>
      <c r="H1017" s="120"/>
      <c r="I1017" s="120"/>
      <c r="J1017" s="120"/>
      <c r="K1017" s="74"/>
    </row>
    <row r="1018" ht="15.75" customHeight="1">
      <c r="A1018" s="98"/>
      <c r="B1018" s="74"/>
      <c r="C1018" s="98"/>
      <c r="D1018" s="101"/>
      <c r="E1018" s="157"/>
      <c r="F1018" s="74"/>
      <c r="G1018" s="74"/>
      <c r="H1018" s="120"/>
      <c r="I1018" s="120"/>
      <c r="J1018" s="120"/>
      <c r="K1018" s="74"/>
    </row>
    <row r="1019" ht="15.75" customHeight="1">
      <c r="A1019" s="98"/>
      <c r="B1019" s="74"/>
      <c r="C1019" s="98"/>
      <c r="D1019" s="101"/>
      <c r="E1019" s="157"/>
      <c r="F1019" s="74"/>
      <c r="G1019" s="74"/>
      <c r="H1019" s="120"/>
      <c r="I1019" s="120"/>
      <c r="J1019" s="120"/>
      <c r="K1019" s="74"/>
    </row>
    <row r="1020" ht="15.75" customHeight="1">
      <c r="A1020" s="98"/>
      <c r="B1020" s="74"/>
      <c r="C1020" s="98"/>
      <c r="D1020" s="101"/>
      <c r="E1020" s="157"/>
      <c r="F1020" s="74"/>
      <c r="G1020" s="74"/>
      <c r="H1020" s="120"/>
      <c r="I1020" s="120"/>
      <c r="J1020" s="120"/>
      <c r="K1020" s="74"/>
    </row>
    <row r="1021" ht="15.75" customHeight="1">
      <c r="A1021" s="98"/>
      <c r="B1021" s="74"/>
      <c r="C1021" s="98"/>
      <c r="D1021" s="101"/>
      <c r="E1021" s="157"/>
      <c r="F1021" s="74"/>
      <c r="G1021" s="74"/>
      <c r="H1021" s="120"/>
      <c r="I1021" s="120"/>
      <c r="J1021" s="120"/>
      <c r="K1021" s="74"/>
    </row>
    <row r="1022" ht="15.75" customHeight="1">
      <c r="A1022" s="98"/>
      <c r="B1022" s="74"/>
      <c r="C1022" s="98"/>
      <c r="D1022" s="101"/>
      <c r="E1022" s="157"/>
      <c r="F1022" s="74"/>
      <c r="G1022" s="74"/>
      <c r="H1022" s="120"/>
      <c r="I1022" s="120"/>
      <c r="J1022" s="120"/>
      <c r="K1022" s="74"/>
    </row>
    <row r="1023" ht="15.75" customHeight="1">
      <c r="A1023" s="98"/>
      <c r="B1023" s="74"/>
      <c r="C1023" s="98"/>
      <c r="D1023" s="101"/>
      <c r="E1023" s="157"/>
      <c r="F1023" s="74"/>
      <c r="G1023" s="74"/>
      <c r="H1023" s="120"/>
      <c r="I1023" s="120"/>
      <c r="J1023" s="120"/>
      <c r="K1023" s="74"/>
    </row>
    <row r="1024" ht="15.75" customHeight="1">
      <c r="A1024" s="98"/>
      <c r="B1024" s="74"/>
      <c r="C1024" s="98"/>
      <c r="D1024" s="101"/>
      <c r="E1024" s="157"/>
      <c r="F1024" s="74"/>
      <c r="G1024" s="74"/>
      <c r="H1024" s="120"/>
      <c r="I1024" s="120"/>
      <c r="J1024" s="120"/>
      <c r="K1024" s="74"/>
    </row>
    <row r="1025" ht="15.75" customHeight="1">
      <c r="A1025" s="98"/>
      <c r="B1025" s="74"/>
      <c r="C1025" s="98"/>
      <c r="D1025" s="101"/>
      <c r="E1025" s="157"/>
      <c r="F1025" s="74"/>
      <c r="G1025" s="74"/>
      <c r="H1025" s="120"/>
      <c r="I1025" s="120"/>
      <c r="J1025" s="120"/>
      <c r="K1025" s="74"/>
    </row>
    <row r="1026" ht="15.75" customHeight="1">
      <c r="A1026" s="98"/>
      <c r="B1026" s="74"/>
      <c r="C1026" s="98"/>
      <c r="D1026" s="101"/>
      <c r="E1026" s="157"/>
      <c r="F1026" s="74"/>
      <c r="G1026" s="74"/>
      <c r="H1026" s="120"/>
      <c r="I1026" s="120"/>
      <c r="J1026" s="120"/>
      <c r="K1026" s="74"/>
    </row>
    <row r="1027" ht="15.75" customHeight="1">
      <c r="A1027" s="98"/>
      <c r="B1027" s="74"/>
      <c r="C1027" s="98"/>
      <c r="D1027" s="101"/>
      <c r="E1027" s="157"/>
      <c r="F1027" s="74"/>
      <c r="G1027" s="74"/>
      <c r="H1027" s="120"/>
      <c r="I1027" s="120"/>
      <c r="J1027" s="120"/>
      <c r="K1027" s="74"/>
    </row>
    <row r="1028" ht="15.75" customHeight="1">
      <c r="A1028" s="98"/>
      <c r="B1028" s="74"/>
      <c r="C1028" s="98"/>
      <c r="D1028" s="101"/>
      <c r="E1028" s="157"/>
      <c r="F1028" s="74"/>
      <c r="G1028" s="74"/>
      <c r="H1028" s="120"/>
      <c r="I1028" s="120"/>
      <c r="J1028" s="120"/>
      <c r="K1028" s="74"/>
    </row>
    <row r="1029" ht="15.75" customHeight="1">
      <c r="A1029" s="98"/>
      <c r="B1029" s="74"/>
      <c r="C1029" s="98"/>
      <c r="D1029" s="101"/>
      <c r="E1029" s="157"/>
      <c r="F1029" s="74"/>
      <c r="G1029" s="74"/>
      <c r="H1029" s="120"/>
      <c r="I1029" s="120"/>
      <c r="J1029" s="120"/>
      <c r="K1029" s="74"/>
    </row>
    <row r="1030" ht="15.75" customHeight="1">
      <c r="A1030" s="98"/>
      <c r="B1030" s="74"/>
      <c r="C1030" s="98"/>
      <c r="D1030" s="101"/>
      <c r="E1030" s="157"/>
      <c r="F1030" s="74"/>
      <c r="G1030" s="74"/>
      <c r="H1030" s="120"/>
      <c r="I1030" s="120"/>
      <c r="J1030" s="120"/>
      <c r="K1030" s="74"/>
    </row>
    <row r="1031" ht="15.75" customHeight="1">
      <c r="A1031" s="98"/>
      <c r="B1031" s="74"/>
      <c r="C1031" s="98"/>
      <c r="D1031" s="101"/>
      <c r="E1031" s="157"/>
      <c r="F1031" s="74"/>
      <c r="G1031" s="74"/>
      <c r="H1031" s="120"/>
      <c r="I1031" s="120"/>
      <c r="J1031" s="120"/>
      <c r="K1031" s="74"/>
    </row>
    <row r="1032" ht="15.75" customHeight="1">
      <c r="A1032" s="98"/>
      <c r="B1032" s="74"/>
      <c r="C1032" s="98"/>
      <c r="D1032" s="101"/>
      <c r="E1032" s="157"/>
      <c r="F1032" s="74"/>
      <c r="G1032" s="74"/>
      <c r="H1032" s="120"/>
      <c r="I1032" s="120"/>
      <c r="J1032" s="120"/>
      <c r="K1032" s="74"/>
    </row>
    <row r="1033" ht="15.75" customHeight="1">
      <c r="A1033" s="98"/>
      <c r="B1033" s="74"/>
      <c r="C1033" s="98"/>
      <c r="D1033" s="101"/>
      <c r="E1033" s="157"/>
      <c r="F1033" s="74"/>
      <c r="G1033" s="74"/>
      <c r="H1033" s="120"/>
      <c r="I1033" s="120"/>
      <c r="J1033" s="120"/>
      <c r="K1033" s="74"/>
    </row>
    <row r="1034" ht="15.75" customHeight="1">
      <c r="A1034" s="98"/>
      <c r="B1034" s="74"/>
      <c r="C1034" s="98"/>
      <c r="D1034" s="101"/>
      <c r="E1034" s="157"/>
      <c r="F1034" s="74"/>
      <c r="G1034" s="74"/>
      <c r="H1034" s="120"/>
      <c r="I1034" s="120"/>
      <c r="J1034" s="120"/>
      <c r="K1034" s="74"/>
    </row>
    <row r="1035" ht="15.75" customHeight="1">
      <c r="A1035" s="98"/>
      <c r="B1035" s="74"/>
      <c r="C1035" s="98"/>
      <c r="D1035" s="101"/>
      <c r="E1035" s="157"/>
      <c r="F1035" s="74"/>
      <c r="G1035" s="74"/>
      <c r="H1035" s="120"/>
      <c r="I1035" s="120"/>
      <c r="J1035" s="120"/>
      <c r="K1035" s="74"/>
    </row>
    <row r="1036" ht="15.75" customHeight="1">
      <c r="A1036" s="98"/>
      <c r="B1036" s="74"/>
      <c r="C1036" s="98"/>
      <c r="D1036" s="101"/>
      <c r="E1036" s="157"/>
      <c r="F1036" s="74"/>
      <c r="G1036" s="74"/>
      <c r="H1036" s="120"/>
      <c r="I1036" s="120"/>
      <c r="J1036" s="120"/>
      <c r="K1036" s="74"/>
    </row>
    <row r="1037" ht="15.75" customHeight="1">
      <c r="A1037" s="98"/>
      <c r="B1037" s="74"/>
      <c r="C1037" s="98"/>
      <c r="D1037" s="101"/>
      <c r="E1037" s="157"/>
      <c r="F1037" s="74"/>
      <c r="G1037" s="74"/>
      <c r="H1037" s="120"/>
      <c r="I1037" s="120"/>
      <c r="J1037" s="120"/>
      <c r="K1037" s="74"/>
    </row>
    <row r="1038" ht="15.75" customHeight="1">
      <c r="A1038" s="98"/>
      <c r="B1038" s="74"/>
      <c r="C1038" s="98"/>
      <c r="D1038" s="101"/>
      <c r="E1038" s="157"/>
      <c r="F1038" s="74"/>
      <c r="G1038" s="74"/>
      <c r="H1038" s="120"/>
      <c r="I1038" s="120"/>
      <c r="J1038" s="120"/>
      <c r="K1038" s="74"/>
    </row>
    <row r="1039" ht="15.75" customHeight="1">
      <c r="A1039" s="98"/>
      <c r="B1039" s="74"/>
      <c r="C1039" s="98"/>
      <c r="D1039" s="101"/>
      <c r="E1039" s="157"/>
      <c r="F1039" s="74"/>
      <c r="G1039" s="74"/>
      <c r="H1039" s="120"/>
      <c r="I1039" s="120"/>
      <c r="J1039" s="120"/>
      <c r="K1039" s="74"/>
    </row>
    <row r="1040" ht="15.75" customHeight="1">
      <c r="A1040" s="98"/>
      <c r="B1040" s="74"/>
      <c r="C1040" s="98"/>
      <c r="D1040" s="101"/>
      <c r="E1040" s="157"/>
      <c r="F1040" s="74"/>
      <c r="G1040" s="74"/>
      <c r="H1040" s="120"/>
      <c r="I1040" s="120"/>
      <c r="J1040" s="120"/>
      <c r="K1040" s="74"/>
    </row>
    <row r="1041" ht="15.75" customHeight="1">
      <c r="A1041" s="98"/>
      <c r="B1041" s="74"/>
      <c r="C1041" s="98"/>
      <c r="D1041" s="101"/>
      <c r="E1041" s="157"/>
      <c r="F1041" s="74"/>
      <c r="G1041" s="74"/>
      <c r="H1041" s="120"/>
      <c r="I1041" s="120"/>
      <c r="J1041" s="120"/>
      <c r="K1041" s="74"/>
    </row>
    <row r="1042" ht="15.75" customHeight="1">
      <c r="A1042" s="98"/>
      <c r="B1042" s="74"/>
      <c r="C1042" s="98"/>
      <c r="D1042" s="101"/>
      <c r="E1042" s="157"/>
      <c r="F1042" s="74"/>
      <c r="G1042" s="74"/>
      <c r="H1042" s="120"/>
      <c r="I1042" s="120"/>
      <c r="J1042" s="120"/>
      <c r="K1042" s="74"/>
    </row>
    <row r="1043" ht="15.75" customHeight="1">
      <c r="A1043" s="98"/>
      <c r="B1043" s="74"/>
      <c r="C1043" s="98"/>
      <c r="D1043" s="101"/>
      <c r="E1043" s="157"/>
      <c r="F1043" s="74"/>
      <c r="G1043" s="74"/>
      <c r="H1043" s="120"/>
      <c r="I1043" s="120"/>
      <c r="J1043" s="120"/>
      <c r="K1043" s="74"/>
    </row>
    <row r="1044" ht="15.75" customHeight="1">
      <c r="A1044" s="98"/>
      <c r="B1044" s="74"/>
      <c r="C1044" s="98"/>
      <c r="D1044" s="101"/>
      <c r="E1044" s="157"/>
      <c r="F1044" s="74"/>
      <c r="G1044" s="74"/>
      <c r="H1044" s="120"/>
      <c r="I1044" s="120"/>
      <c r="J1044" s="120"/>
      <c r="K1044" s="74"/>
    </row>
    <row r="1045" ht="15.75" customHeight="1">
      <c r="A1045" s="98"/>
      <c r="B1045" s="74"/>
      <c r="C1045" s="98"/>
      <c r="D1045" s="101"/>
      <c r="E1045" s="157"/>
      <c r="F1045" s="74"/>
      <c r="G1045" s="74"/>
      <c r="H1045" s="120"/>
      <c r="I1045" s="120"/>
      <c r="J1045" s="120"/>
      <c r="K1045" s="74"/>
    </row>
    <row r="1046" ht="15.75" customHeight="1">
      <c r="A1046" s="98"/>
      <c r="B1046" s="74"/>
      <c r="C1046" s="98"/>
      <c r="D1046" s="101"/>
      <c r="E1046" s="157"/>
      <c r="F1046" s="74"/>
      <c r="G1046" s="74"/>
      <c r="H1046" s="120"/>
      <c r="I1046" s="120"/>
      <c r="J1046" s="120"/>
      <c r="K1046" s="74"/>
    </row>
    <row r="1047" ht="15.75" customHeight="1">
      <c r="A1047" s="98"/>
      <c r="B1047" s="74"/>
      <c r="C1047" s="98"/>
      <c r="D1047" s="101"/>
      <c r="E1047" s="157"/>
      <c r="F1047" s="74"/>
      <c r="G1047" s="74"/>
      <c r="H1047" s="120"/>
      <c r="I1047" s="120"/>
      <c r="J1047" s="120"/>
      <c r="K1047" s="74"/>
    </row>
    <row r="1048" ht="15.75" customHeight="1">
      <c r="A1048" s="98"/>
      <c r="B1048" s="74"/>
      <c r="C1048" s="98"/>
      <c r="D1048" s="101"/>
      <c r="E1048" s="157"/>
      <c r="F1048" s="74"/>
      <c r="G1048" s="74"/>
      <c r="H1048" s="120"/>
      <c r="I1048" s="120"/>
      <c r="J1048" s="120"/>
      <c r="K1048" s="74"/>
    </row>
    <row r="1049" ht="15.75" customHeight="1">
      <c r="A1049" s="98"/>
      <c r="B1049" s="74"/>
      <c r="C1049" s="98"/>
      <c r="D1049" s="101"/>
      <c r="E1049" s="157"/>
      <c r="F1049" s="74"/>
      <c r="G1049" s="74"/>
      <c r="H1049" s="120"/>
      <c r="I1049" s="120"/>
      <c r="J1049" s="120"/>
      <c r="K1049" s="74"/>
    </row>
    <row r="1050" ht="15.75" customHeight="1">
      <c r="A1050" s="98"/>
      <c r="B1050" s="74"/>
      <c r="C1050" s="98"/>
      <c r="D1050" s="101"/>
      <c r="E1050" s="157"/>
      <c r="F1050" s="74"/>
      <c r="G1050" s="74"/>
      <c r="H1050" s="120"/>
      <c r="I1050" s="120"/>
      <c r="J1050" s="120"/>
      <c r="K1050" s="74"/>
    </row>
    <row r="1051" ht="15.75" customHeight="1">
      <c r="A1051" s="98"/>
      <c r="B1051" s="74"/>
      <c r="C1051" s="98"/>
      <c r="D1051" s="101"/>
      <c r="E1051" s="157"/>
      <c r="F1051" s="74"/>
      <c r="G1051" s="74"/>
      <c r="H1051" s="120"/>
      <c r="I1051" s="120"/>
      <c r="J1051" s="120"/>
      <c r="K1051" s="74"/>
    </row>
    <row r="1052" ht="15.75" customHeight="1">
      <c r="A1052" s="98"/>
      <c r="B1052" s="74"/>
      <c r="C1052" s="98"/>
      <c r="D1052" s="101"/>
      <c r="E1052" s="157"/>
      <c r="F1052" s="74"/>
      <c r="G1052" s="74"/>
      <c r="H1052" s="120"/>
      <c r="I1052" s="120"/>
      <c r="J1052" s="120"/>
      <c r="K1052" s="74"/>
    </row>
    <row r="1053" ht="15.75" customHeight="1">
      <c r="A1053" s="98"/>
      <c r="B1053" s="74"/>
      <c r="C1053" s="98"/>
      <c r="D1053" s="101"/>
      <c r="E1053" s="157"/>
      <c r="F1053" s="74"/>
      <c r="G1053" s="74"/>
      <c r="H1053" s="120"/>
      <c r="I1053" s="120"/>
      <c r="J1053" s="120"/>
      <c r="K1053" s="74"/>
    </row>
    <row r="1054" ht="15.75" customHeight="1">
      <c r="A1054" s="98"/>
      <c r="B1054" s="74"/>
      <c r="C1054" s="98"/>
      <c r="D1054" s="101"/>
      <c r="E1054" s="157"/>
      <c r="F1054" s="74"/>
      <c r="G1054" s="74"/>
      <c r="H1054" s="120"/>
      <c r="I1054" s="120"/>
      <c r="J1054" s="120"/>
      <c r="K1054" s="74"/>
    </row>
    <row r="1055" ht="15.75" customHeight="1">
      <c r="A1055" s="98"/>
      <c r="B1055" s="74"/>
      <c r="C1055" s="98"/>
      <c r="D1055" s="101"/>
      <c r="E1055" s="157"/>
      <c r="F1055" s="74"/>
      <c r="G1055" s="74"/>
      <c r="H1055" s="120"/>
      <c r="I1055" s="120"/>
      <c r="J1055" s="120"/>
      <c r="K1055" s="74"/>
    </row>
    <row r="1056" ht="15.75" customHeight="1">
      <c r="A1056" s="98"/>
      <c r="B1056" s="74"/>
      <c r="C1056" s="98"/>
      <c r="D1056" s="101"/>
      <c r="E1056" s="157"/>
      <c r="F1056" s="74"/>
      <c r="G1056" s="74"/>
      <c r="H1056" s="120"/>
      <c r="I1056" s="120"/>
      <c r="J1056" s="120"/>
      <c r="K1056" s="74"/>
    </row>
    <row r="1057" ht="15.75" customHeight="1">
      <c r="A1057" s="98"/>
      <c r="B1057" s="74"/>
      <c r="C1057" s="98"/>
      <c r="D1057" s="101"/>
      <c r="E1057" s="157"/>
      <c r="F1057" s="74"/>
      <c r="G1057" s="74"/>
      <c r="H1057" s="120"/>
      <c r="I1057" s="120"/>
      <c r="J1057" s="120"/>
      <c r="K1057" s="74"/>
    </row>
    <row r="1058" ht="15.75" customHeight="1">
      <c r="A1058" s="98"/>
      <c r="B1058" s="74"/>
      <c r="C1058" s="98"/>
      <c r="D1058" s="101"/>
      <c r="E1058" s="157"/>
      <c r="F1058" s="74"/>
      <c r="G1058" s="74"/>
      <c r="H1058" s="120"/>
      <c r="I1058" s="120"/>
      <c r="J1058" s="120"/>
      <c r="K1058" s="74"/>
    </row>
    <row r="1059" ht="15.75" customHeight="1">
      <c r="A1059" s="98"/>
      <c r="B1059" s="74"/>
      <c r="C1059" s="98"/>
      <c r="D1059" s="101"/>
      <c r="E1059" s="157"/>
      <c r="F1059" s="74"/>
      <c r="G1059" s="74"/>
      <c r="H1059" s="120"/>
      <c r="I1059" s="120"/>
      <c r="J1059" s="120"/>
      <c r="K1059" s="74"/>
    </row>
    <row r="1060" ht="15.75" customHeight="1">
      <c r="A1060" s="98"/>
      <c r="B1060" s="74"/>
      <c r="C1060" s="98"/>
      <c r="D1060" s="101"/>
      <c r="E1060" s="157"/>
      <c r="F1060" s="74"/>
      <c r="G1060" s="74"/>
      <c r="H1060" s="120"/>
      <c r="I1060" s="120"/>
      <c r="J1060" s="120"/>
      <c r="K1060" s="74"/>
    </row>
    <row r="1061" ht="15.75" customHeight="1">
      <c r="A1061" s="98"/>
      <c r="B1061" s="74"/>
      <c r="C1061" s="98"/>
      <c r="D1061" s="101"/>
      <c r="E1061" s="157"/>
      <c r="F1061" s="74"/>
      <c r="G1061" s="74"/>
      <c r="H1061" s="120"/>
      <c r="I1061" s="120"/>
      <c r="J1061" s="120"/>
      <c r="K1061" s="74"/>
    </row>
    <row r="1062" ht="15.75" customHeight="1">
      <c r="A1062" s="98"/>
      <c r="B1062" s="74"/>
      <c r="C1062" s="98"/>
      <c r="D1062" s="101"/>
      <c r="E1062" s="157"/>
      <c r="F1062" s="74"/>
      <c r="G1062" s="74"/>
      <c r="H1062" s="120"/>
      <c r="I1062" s="120"/>
      <c r="J1062" s="120"/>
      <c r="K1062" s="74"/>
    </row>
    <row r="1063" ht="15.75" customHeight="1">
      <c r="A1063" s="98"/>
      <c r="B1063" s="74"/>
      <c r="C1063" s="98"/>
      <c r="D1063" s="101"/>
      <c r="E1063" s="157"/>
      <c r="F1063" s="74"/>
      <c r="G1063" s="74"/>
      <c r="H1063" s="120"/>
      <c r="I1063" s="120"/>
      <c r="J1063" s="120"/>
      <c r="K1063" s="74"/>
    </row>
    <row r="1064" ht="15.75" customHeight="1">
      <c r="A1064" s="98"/>
      <c r="B1064" s="74"/>
      <c r="C1064" s="98"/>
      <c r="D1064" s="101"/>
      <c r="E1064" s="157"/>
      <c r="F1064" s="74"/>
      <c r="G1064" s="74"/>
      <c r="H1064" s="120"/>
      <c r="I1064" s="120"/>
      <c r="J1064" s="120"/>
      <c r="K1064" s="74"/>
    </row>
    <row r="1065" ht="15.75" customHeight="1">
      <c r="A1065" s="98"/>
      <c r="B1065" s="74"/>
      <c r="C1065" s="98"/>
      <c r="D1065" s="101"/>
      <c r="E1065" s="157"/>
      <c r="F1065" s="74"/>
      <c r="G1065" s="74"/>
      <c r="H1065" s="120"/>
      <c r="I1065" s="120"/>
      <c r="J1065" s="120"/>
      <c r="K1065" s="74"/>
    </row>
    <row r="1066" ht="15.75" customHeight="1">
      <c r="A1066" s="98"/>
      <c r="B1066" s="74"/>
      <c r="C1066" s="98"/>
      <c r="D1066" s="101"/>
      <c r="E1066" s="157"/>
      <c r="F1066" s="74"/>
      <c r="G1066" s="74"/>
      <c r="H1066" s="120"/>
      <c r="I1066" s="120"/>
      <c r="J1066" s="120"/>
      <c r="K1066" s="74"/>
    </row>
    <row r="1067" ht="15.75" customHeight="1">
      <c r="A1067" s="98"/>
      <c r="B1067" s="74"/>
      <c r="C1067" s="98"/>
      <c r="D1067" s="101"/>
      <c r="E1067" s="157"/>
      <c r="F1067" s="74"/>
      <c r="G1067" s="74"/>
      <c r="H1067" s="120"/>
      <c r="I1067" s="120"/>
      <c r="J1067" s="120"/>
      <c r="K1067" s="74"/>
    </row>
    <row r="1068" ht="15.75" customHeight="1">
      <c r="A1068" s="98"/>
      <c r="B1068" s="74"/>
      <c r="C1068" s="98"/>
      <c r="D1068" s="101"/>
      <c r="E1068" s="157"/>
      <c r="F1068" s="74"/>
      <c r="G1068" s="74"/>
      <c r="H1068" s="120"/>
      <c r="I1068" s="120"/>
      <c r="J1068" s="120"/>
      <c r="K1068" s="74"/>
    </row>
    <row r="1069" ht="15.75" customHeight="1">
      <c r="A1069" s="98"/>
      <c r="B1069" s="74"/>
      <c r="C1069" s="98"/>
      <c r="D1069" s="101"/>
      <c r="E1069" s="157"/>
      <c r="F1069" s="74"/>
      <c r="G1069" s="74"/>
      <c r="H1069" s="120"/>
      <c r="I1069" s="120"/>
      <c r="J1069" s="120"/>
      <c r="K1069" s="74"/>
    </row>
    <row r="1070" ht="15.75" customHeight="1">
      <c r="A1070" s="98"/>
      <c r="B1070" s="74"/>
      <c r="C1070" s="98"/>
      <c r="D1070" s="101"/>
      <c r="E1070" s="157"/>
      <c r="F1070" s="74"/>
      <c r="G1070" s="74"/>
      <c r="H1070" s="120"/>
      <c r="I1070" s="120"/>
      <c r="J1070" s="120"/>
      <c r="K1070" s="74"/>
    </row>
    <row r="1071" ht="15.75" customHeight="1">
      <c r="A1071" s="98"/>
      <c r="B1071" s="74"/>
      <c r="C1071" s="98"/>
      <c r="D1071" s="101"/>
      <c r="E1071" s="157"/>
      <c r="F1071" s="74"/>
      <c r="G1071" s="74"/>
      <c r="H1071" s="120"/>
      <c r="I1071" s="120"/>
      <c r="J1071" s="120"/>
      <c r="K1071" s="74"/>
    </row>
    <row r="1072" ht="15.75" customHeight="1">
      <c r="A1072" s="98"/>
      <c r="B1072" s="74"/>
      <c r="C1072" s="98"/>
      <c r="D1072" s="101"/>
      <c r="E1072" s="157"/>
      <c r="F1072" s="74"/>
      <c r="G1072" s="74"/>
      <c r="H1072" s="120"/>
      <c r="I1072" s="120"/>
      <c r="J1072" s="120"/>
      <c r="K1072" s="74"/>
    </row>
    <row r="1073" ht="15.75" customHeight="1">
      <c r="A1073" s="98"/>
      <c r="B1073" s="74"/>
      <c r="C1073" s="98"/>
      <c r="D1073" s="101"/>
      <c r="E1073" s="157"/>
      <c r="F1073" s="74"/>
      <c r="G1073" s="74"/>
      <c r="H1073" s="120"/>
      <c r="I1073" s="120"/>
      <c r="J1073" s="120"/>
      <c r="K1073" s="74"/>
    </row>
    <row r="1074" ht="15.75" customHeight="1">
      <c r="A1074" s="98"/>
      <c r="B1074" s="74"/>
      <c r="C1074" s="98"/>
      <c r="D1074" s="101"/>
      <c r="E1074" s="157"/>
      <c r="F1074" s="74"/>
      <c r="G1074" s="74"/>
      <c r="H1074" s="120"/>
      <c r="I1074" s="120"/>
      <c r="J1074" s="120"/>
      <c r="K1074" s="74"/>
    </row>
    <row r="1075" ht="15.75" customHeight="1">
      <c r="A1075" s="98"/>
      <c r="B1075" s="74"/>
      <c r="C1075" s="98"/>
      <c r="D1075" s="101"/>
      <c r="E1075" s="157"/>
      <c r="F1075" s="74"/>
      <c r="G1075" s="74"/>
      <c r="H1075" s="120"/>
      <c r="I1075" s="120"/>
      <c r="J1075" s="120"/>
      <c r="K1075" s="74"/>
    </row>
    <row r="1076" ht="15.75" customHeight="1">
      <c r="A1076" s="98"/>
      <c r="B1076" s="74"/>
      <c r="C1076" s="98"/>
      <c r="D1076" s="101"/>
      <c r="E1076" s="157"/>
      <c r="F1076" s="74"/>
      <c r="G1076" s="74"/>
      <c r="H1076" s="120"/>
      <c r="I1076" s="120"/>
      <c r="J1076" s="120"/>
      <c r="K1076" s="74"/>
    </row>
    <row r="1077" ht="15.75" customHeight="1">
      <c r="A1077" s="98"/>
      <c r="B1077" s="74"/>
      <c r="C1077" s="98"/>
      <c r="D1077" s="101"/>
      <c r="E1077" s="157"/>
      <c r="F1077" s="74"/>
      <c r="G1077" s="74"/>
      <c r="H1077" s="120"/>
      <c r="I1077" s="120"/>
      <c r="J1077" s="120"/>
      <c r="K1077" s="74"/>
    </row>
    <row r="1078" ht="15.75" customHeight="1">
      <c r="A1078" s="98"/>
      <c r="B1078" s="74"/>
      <c r="C1078" s="98"/>
      <c r="D1078" s="101"/>
      <c r="E1078" s="157"/>
      <c r="F1078" s="74"/>
      <c r="G1078" s="74"/>
      <c r="H1078" s="120"/>
      <c r="I1078" s="120"/>
      <c r="J1078" s="120"/>
      <c r="K1078" s="74"/>
    </row>
    <row r="1079" ht="15.75" customHeight="1">
      <c r="A1079" s="98"/>
      <c r="B1079" s="74"/>
      <c r="C1079" s="98"/>
      <c r="D1079" s="101"/>
      <c r="E1079" s="157"/>
      <c r="F1079" s="74"/>
      <c r="G1079" s="74"/>
      <c r="H1079" s="120"/>
      <c r="I1079" s="120"/>
      <c r="J1079" s="120"/>
      <c r="K1079" s="74"/>
    </row>
    <row r="1080" ht="15.75" customHeight="1">
      <c r="A1080" s="98"/>
      <c r="B1080" s="74"/>
      <c r="C1080" s="98"/>
      <c r="D1080" s="101"/>
      <c r="E1080" s="157"/>
      <c r="F1080" s="74"/>
      <c r="G1080" s="74"/>
      <c r="H1080" s="120"/>
      <c r="I1080" s="120"/>
      <c r="J1080" s="120"/>
      <c r="K1080" s="74"/>
    </row>
    <row r="1081" ht="15.75" customHeight="1">
      <c r="A1081" s="98"/>
      <c r="B1081" s="74"/>
      <c r="C1081" s="98"/>
      <c r="D1081" s="101"/>
      <c r="E1081" s="157"/>
      <c r="F1081" s="74"/>
      <c r="G1081" s="74"/>
      <c r="H1081" s="120"/>
      <c r="I1081" s="120"/>
      <c r="J1081" s="120"/>
      <c r="K1081" s="74"/>
    </row>
    <row r="1082" ht="15.75" customHeight="1">
      <c r="A1082" s="98"/>
      <c r="B1082" s="74"/>
      <c r="C1082" s="98"/>
      <c r="D1082" s="101"/>
      <c r="E1082" s="157"/>
      <c r="F1082" s="74"/>
      <c r="G1082" s="74"/>
      <c r="H1082" s="120"/>
      <c r="I1082" s="120"/>
      <c r="J1082" s="120"/>
      <c r="K1082" s="74"/>
    </row>
    <row r="1083" ht="15.75" customHeight="1">
      <c r="A1083" s="98"/>
      <c r="B1083" s="74"/>
      <c r="C1083" s="98"/>
      <c r="D1083" s="101"/>
      <c r="E1083" s="157"/>
      <c r="F1083" s="74"/>
      <c r="G1083" s="74"/>
      <c r="H1083" s="120"/>
      <c r="I1083" s="120"/>
      <c r="J1083" s="120"/>
      <c r="K1083" s="74"/>
    </row>
    <row r="1084" ht="15.75" customHeight="1">
      <c r="A1084" s="98"/>
      <c r="B1084" s="74"/>
      <c r="C1084" s="98"/>
      <c r="D1084" s="101"/>
      <c r="E1084" s="157"/>
      <c r="F1084" s="74"/>
      <c r="G1084" s="74"/>
      <c r="H1084" s="120"/>
      <c r="I1084" s="120"/>
      <c r="J1084" s="120"/>
      <c r="K1084" s="74"/>
    </row>
    <row r="1085" ht="15.75" customHeight="1">
      <c r="A1085" s="98"/>
      <c r="B1085" s="74"/>
      <c r="C1085" s="98"/>
      <c r="D1085" s="101"/>
      <c r="E1085" s="157"/>
      <c r="F1085" s="74"/>
      <c r="G1085" s="74"/>
      <c r="H1085" s="120"/>
      <c r="I1085" s="120"/>
      <c r="J1085" s="120"/>
      <c r="K1085" s="74"/>
    </row>
    <row r="1086" ht="15.75" customHeight="1">
      <c r="A1086" s="98"/>
      <c r="B1086" s="74"/>
      <c r="C1086" s="98"/>
      <c r="D1086" s="101"/>
      <c r="E1086" s="157"/>
      <c r="F1086" s="74"/>
      <c r="G1086" s="74"/>
      <c r="H1086" s="120"/>
      <c r="I1086" s="120"/>
      <c r="J1086" s="120"/>
      <c r="K1086" s="74"/>
    </row>
    <row r="1087" ht="15.75" customHeight="1">
      <c r="A1087" s="98"/>
      <c r="B1087" s="74"/>
      <c r="C1087" s="98"/>
      <c r="D1087" s="101"/>
      <c r="E1087" s="157"/>
      <c r="F1087" s="74"/>
      <c r="G1087" s="74"/>
      <c r="H1087" s="120"/>
      <c r="I1087" s="120"/>
      <c r="J1087" s="120"/>
      <c r="K1087" s="74"/>
    </row>
    <row r="1088" ht="15.75" customHeight="1">
      <c r="A1088" s="98"/>
      <c r="B1088" s="74"/>
      <c r="C1088" s="98"/>
      <c r="D1088" s="101"/>
      <c r="E1088" s="157"/>
      <c r="F1088" s="74"/>
      <c r="G1088" s="74"/>
      <c r="H1088" s="120"/>
      <c r="I1088" s="120"/>
      <c r="J1088" s="120"/>
      <c r="K1088" s="74"/>
    </row>
    <row r="1089" ht="15.75" customHeight="1">
      <c r="A1089" s="98"/>
      <c r="B1089" s="74"/>
      <c r="C1089" s="98"/>
      <c r="D1089" s="101"/>
      <c r="E1089" s="157"/>
      <c r="F1089" s="74"/>
      <c r="G1089" s="74"/>
      <c r="H1089" s="120"/>
      <c r="I1089" s="120"/>
      <c r="J1089" s="120"/>
      <c r="K1089" s="74"/>
    </row>
    <row r="1090" ht="15.75" customHeight="1">
      <c r="A1090" s="98"/>
      <c r="B1090" s="74"/>
      <c r="C1090" s="98"/>
      <c r="D1090" s="101"/>
      <c r="E1090" s="157"/>
      <c r="F1090" s="74"/>
      <c r="G1090" s="74"/>
      <c r="H1090" s="120"/>
      <c r="I1090" s="120"/>
      <c r="J1090" s="120"/>
      <c r="K1090" s="74"/>
    </row>
    <row r="1091" ht="15.75" customHeight="1">
      <c r="A1091" s="98"/>
      <c r="B1091" s="74"/>
      <c r="C1091" s="98"/>
      <c r="D1091" s="101"/>
      <c r="E1091" s="157"/>
      <c r="F1091" s="74"/>
      <c r="G1091" s="74"/>
      <c r="H1091" s="120"/>
      <c r="I1091" s="120"/>
      <c r="J1091" s="120"/>
      <c r="K1091" s="74"/>
    </row>
    <row r="1092" ht="15.75" customHeight="1">
      <c r="A1092" s="98"/>
      <c r="B1092" s="74"/>
      <c r="C1092" s="98"/>
      <c r="D1092" s="101"/>
      <c r="E1092" s="157"/>
      <c r="F1092" s="74"/>
      <c r="G1092" s="74"/>
      <c r="H1092" s="120"/>
      <c r="I1092" s="120"/>
      <c r="J1092" s="120"/>
      <c r="K1092" s="74"/>
    </row>
    <row r="1093" ht="15.75" customHeight="1">
      <c r="A1093" s="98"/>
      <c r="B1093" s="74"/>
      <c r="C1093" s="98"/>
      <c r="D1093" s="101"/>
      <c r="E1093" s="157"/>
      <c r="F1093" s="74"/>
      <c r="G1093" s="74"/>
      <c r="H1093" s="120"/>
      <c r="I1093" s="120"/>
      <c r="J1093" s="120"/>
      <c r="K1093" s="74"/>
    </row>
    <row r="1094" ht="15.75" customHeight="1">
      <c r="A1094" s="98"/>
      <c r="B1094" s="74"/>
      <c r="C1094" s="98"/>
      <c r="D1094" s="101"/>
      <c r="E1094" s="157"/>
      <c r="F1094" s="74"/>
      <c r="G1094" s="74"/>
      <c r="H1094" s="120"/>
      <c r="I1094" s="120"/>
      <c r="J1094" s="120"/>
      <c r="K1094" s="74"/>
    </row>
    <row r="1095" ht="15.75" customHeight="1">
      <c r="A1095" s="98"/>
      <c r="B1095" s="74"/>
      <c r="C1095" s="98"/>
      <c r="D1095" s="101"/>
      <c r="E1095" s="157"/>
      <c r="F1095" s="74"/>
      <c r="G1095" s="74"/>
      <c r="H1095" s="120"/>
      <c r="I1095" s="120"/>
      <c r="J1095" s="120"/>
      <c r="K1095" s="74"/>
    </row>
    <row r="1096" ht="15.75" customHeight="1">
      <c r="A1096" s="98"/>
      <c r="B1096" s="74"/>
      <c r="C1096" s="98"/>
      <c r="D1096" s="101"/>
      <c r="E1096" s="157"/>
      <c r="F1096" s="74"/>
      <c r="G1096" s="74"/>
      <c r="H1096" s="120"/>
      <c r="I1096" s="120"/>
      <c r="J1096" s="120"/>
      <c r="K1096" s="74"/>
    </row>
    <row r="1097" ht="15.75" customHeight="1">
      <c r="A1097" s="98"/>
      <c r="B1097" s="74"/>
      <c r="C1097" s="98"/>
      <c r="D1097" s="101"/>
      <c r="E1097" s="157"/>
      <c r="F1097" s="74"/>
      <c r="G1097" s="74"/>
      <c r="H1097" s="120"/>
      <c r="I1097" s="120"/>
      <c r="J1097" s="120"/>
      <c r="K1097" s="74"/>
    </row>
    <row r="1098" ht="15.75" customHeight="1">
      <c r="A1098" s="98"/>
      <c r="B1098" s="74"/>
      <c r="C1098" s="98"/>
      <c r="D1098" s="101"/>
      <c r="E1098" s="157"/>
      <c r="F1098" s="74"/>
      <c r="G1098" s="74"/>
      <c r="H1098" s="120"/>
      <c r="I1098" s="120"/>
      <c r="J1098" s="120"/>
      <c r="K1098" s="74"/>
    </row>
    <row r="1099" ht="15.75" customHeight="1">
      <c r="A1099" s="98"/>
      <c r="B1099" s="74"/>
      <c r="C1099" s="98"/>
      <c r="D1099" s="101"/>
      <c r="E1099" s="157"/>
      <c r="F1099" s="74"/>
      <c r="G1099" s="74"/>
      <c r="H1099" s="120"/>
      <c r="I1099" s="120"/>
      <c r="J1099" s="120"/>
      <c r="K1099" s="74"/>
    </row>
    <row r="1100" ht="15.75" customHeight="1">
      <c r="A1100" s="98"/>
      <c r="B1100" s="74"/>
      <c r="C1100" s="98"/>
      <c r="D1100" s="101"/>
      <c r="E1100" s="157"/>
      <c r="F1100" s="74"/>
      <c r="G1100" s="74"/>
      <c r="H1100" s="120"/>
      <c r="I1100" s="120"/>
      <c r="J1100" s="120"/>
      <c r="K1100" s="74"/>
    </row>
    <row r="1101" ht="15.75" customHeight="1">
      <c r="A1101" s="98"/>
      <c r="B1101" s="74"/>
      <c r="C1101" s="98"/>
      <c r="D1101" s="101"/>
      <c r="E1101" s="157"/>
      <c r="F1101" s="74"/>
      <c r="G1101" s="74"/>
      <c r="H1101" s="120"/>
      <c r="I1101" s="120"/>
      <c r="J1101" s="120"/>
      <c r="K1101" s="74"/>
    </row>
    <row r="1102" ht="15.75" customHeight="1">
      <c r="A1102" s="98"/>
      <c r="B1102" s="74"/>
      <c r="C1102" s="98"/>
      <c r="D1102" s="101"/>
      <c r="E1102" s="157"/>
      <c r="F1102" s="74"/>
      <c r="G1102" s="74"/>
      <c r="H1102" s="120"/>
      <c r="I1102" s="120"/>
      <c r="J1102" s="120"/>
      <c r="K1102" s="74"/>
    </row>
    <row r="1103" ht="15.75" customHeight="1">
      <c r="A1103" s="98"/>
      <c r="B1103" s="74"/>
      <c r="C1103" s="98"/>
      <c r="D1103" s="101"/>
      <c r="E1103" s="157"/>
      <c r="F1103" s="74"/>
      <c r="G1103" s="74"/>
      <c r="H1103" s="120"/>
      <c r="I1103" s="120"/>
      <c r="J1103" s="120"/>
      <c r="K1103" s="74"/>
    </row>
    <row r="1104" ht="15.75" customHeight="1">
      <c r="A1104" s="98"/>
      <c r="B1104" s="74"/>
      <c r="C1104" s="98"/>
      <c r="D1104" s="101"/>
      <c r="E1104" s="157"/>
      <c r="F1104" s="74"/>
      <c r="G1104" s="74"/>
      <c r="H1104" s="120"/>
      <c r="I1104" s="120"/>
      <c r="J1104" s="120"/>
      <c r="K1104" s="74"/>
    </row>
    <row r="1105" ht="15.75" customHeight="1">
      <c r="A1105" s="98"/>
      <c r="B1105" s="74"/>
      <c r="C1105" s="98"/>
      <c r="D1105" s="101"/>
      <c r="E1105" s="157"/>
      <c r="F1105" s="74"/>
      <c r="G1105" s="74"/>
      <c r="H1105" s="120"/>
      <c r="I1105" s="120"/>
      <c r="J1105" s="120"/>
      <c r="K1105" s="74"/>
    </row>
    <row r="1106" ht="15.75" customHeight="1">
      <c r="A1106" s="98"/>
      <c r="B1106" s="74"/>
      <c r="C1106" s="98"/>
      <c r="D1106" s="101"/>
      <c r="E1106" s="157"/>
      <c r="F1106" s="74"/>
      <c r="G1106" s="74"/>
      <c r="H1106" s="120"/>
      <c r="I1106" s="120"/>
      <c r="J1106" s="120"/>
      <c r="K1106" s="74"/>
    </row>
    <row r="1107" ht="15.75" customHeight="1">
      <c r="A1107" s="98"/>
      <c r="B1107" s="74"/>
      <c r="C1107" s="98"/>
      <c r="D1107" s="101"/>
      <c r="E1107" s="157"/>
      <c r="F1107" s="74"/>
      <c r="G1107" s="74"/>
      <c r="H1107" s="120"/>
      <c r="I1107" s="120"/>
      <c r="J1107" s="120"/>
      <c r="K1107" s="74"/>
    </row>
    <row r="1108" ht="15.75" customHeight="1">
      <c r="A1108" s="98"/>
      <c r="B1108" s="74"/>
      <c r="C1108" s="98"/>
      <c r="D1108" s="101"/>
      <c r="E1108" s="157"/>
      <c r="F1108" s="74"/>
      <c r="G1108" s="74"/>
      <c r="H1108" s="120"/>
      <c r="I1108" s="120"/>
      <c r="J1108" s="120"/>
      <c r="K1108" s="74"/>
    </row>
    <row r="1109" ht="15.75" customHeight="1">
      <c r="A1109" s="98"/>
      <c r="B1109" s="74"/>
      <c r="C1109" s="98"/>
      <c r="D1109" s="101"/>
      <c r="E1109" s="157"/>
      <c r="F1109" s="74"/>
      <c r="G1109" s="74"/>
      <c r="H1109" s="120"/>
      <c r="I1109" s="120"/>
      <c r="J1109" s="120"/>
      <c r="K1109" s="74"/>
    </row>
    <row r="1110" ht="15.75" customHeight="1">
      <c r="A1110" s="98"/>
      <c r="B1110" s="74"/>
      <c r="C1110" s="98"/>
      <c r="D1110" s="101"/>
      <c r="E1110" s="157"/>
      <c r="F1110" s="74"/>
      <c r="G1110" s="74"/>
      <c r="H1110" s="120"/>
      <c r="I1110" s="120"/>
      <c r="J1110" s="120"/>
      <c r="K1110" s="74"/>
    </row>
    <row r="1111" ht="15.75" customHeight="1">
      <c r="A1111" s="98"/>
      <c r="B1111" s="74"/>
      <c r="C1111" s="98"/>
      <c r="D1111" s="101"/>
      <c r="E1111" s="157"/>
      <c r="F1111" s="74"/>
      <c r="G1111" s="74"/>
      <c r="H1111" s="120"/>
      <c r="I1111" s="120"/>
      <c r="J1111" s="120"/>
      <c r="K1111" s="74"/>
    </row>
    <row r="1112" ht="15.75" customHeight="1">
      <c r="A1112" s="98"/>
      <c r="B1112" s="74"/>
      <c r="C1112" s="98"/>
      <c r="D1112" s="101"/>
      <c r="E1112" s="157"/>
      <c r="F1112" s="74"/>
      <c r="G1112" s="74"/>
      <c r="H1112" s="120"/>
      <c r="I1112" s="120"/>
      <c r="J1112" s="120"/>
      <c r="K1112" s="74"/>
    </row>
    <row r="1113" ht="15.75" customHeight="1">
      <c r="A1113" s="98"/>
      <c r="B1113" s="74"/>
      <c r="C1113" s="98"/>
      <c r="D1113" s="101"/>
      <c r="E1113" s="157"/>
      <c r="F1113" s="74"/>
      <c r="G1113" s="74"/>
      <c r="H1113" s="120"/>
      <c r="I1113" s="120"/>
      <c r="J1113" s="120"/>
      <c r="K1113" s="74"/>
    </row>
    <row r="1114" ht="15.75" customHeight="1">
      <c r="A1114" s="98"/>
      <c r="B1114" s="74"/>
      <c r="C1114" s="98"/>
      <c r="D1114" s="101"/>
      <c r="E1114" s="157"/>
      <c r="F1114" s="74"/>
      <c r="G1114" s="74"/>
      <c r="H1114" s="120"/>
      <c r="I1114" s="120"/>
      <c r="J1114" s="120"/>
      <c r="K1114" s="74"/>
    </row>
    <row r="1115" ht="15.75" customHeight="1">
      <c r="A1115" s="98"/>
      <c r="B1115" s="74"/>
      <c r="C1115" s="98"/>
      <c r="D1115" s="101"/>
      <c r="E1115" s="157"/>
      <c r="F1115" s="74"/>
      <c r="G1115" s="74"/>
      <c r="H1115" s="120"/>
      <c r="I1115" s="120"/>
      <c r="J1115" s="120"/>
      <c r="K1115" s="74"/>
    </row>
    <row r="1116" ht="15.75" customHeight="1">
      <c r="A1116" s="98"/>
      <c r="B1116" s="74"/>
      <c r="C1116" s="98"/>
      <c r="D1116" s="101"/>
      <c r="E1116" s="157"/>
      <c r="F1116" s="74"/>
      <c r="G1116" s="74"/>
      <c r="H1116" s="120"/>
      <c r="I1116" s="120"/>
      <c r="J1116" s="120"/>
      <c r="K1116" s="74"/>
    </row>
    <row r="1117" ht="15.75" customHeight="1">
      <c r="A1117" s="98"/>
      <c r="B1117" s="74"/>
      <c r="C1117" s="98"/>
      <c r="D1117" s="101"/>
      <c r="E1117" s="157"/>
      <c r="F1117" s="74"/>
      <c r="G1117" s="74"/>
      <c r="H1117" s="120"/>
      <c r="I1117" s="120"/>
      <c r="J1117" s="120"/>
      <c r="K1117" s="74"/>
    </row>
    <row r="1118" ht="15.75" customHeight="1">
      <c r="A1118" s="98"/>
      <c r="B1118" s="74"/>
      <c r="C1118" s="98"/>
      <c r="D1118" s="101"/>
      <c r="E1118" s="157"/>
      <c r="F1118" s="74"/>
      <c r="G1118" s="74"/>
      <c r="H1118" s="120"/>
      <c r="I1118" s="120"/>
      <c r="J1118" s="120"/>
      <c r="K1118" s="74"/>
    </row>
    <row r="1119" ht="15.75" customHeight="1">
      <c r="A1119" s="98"/>
      <c r="B1119" s="74"/>
      <c r="C1119" s="98"/>
      <c r="D1119" s="101"/>
      <c r="E1119" s="157"/>
      <c r="F1119" s="74"/>
      <c r="G1119" s="74"/>
      <c r="H1119" s="120"/>
      <c r="I1119" s="120"/>
      <c r="J1119" s="120"/>
      <c r="K1119" s="74"/>
    </row>
    <row r="1120" ht="15.75" customHeight="1">
      <c r="A1120" s="98"/>
      <c r="B1120" s="74"/>
      <c r="C1120" s="98"/>
      <c r="D1120" s="101"/>
      <c r="E1120" s="157"/>
      <c r="F1120" s="74"/>
      <c r="G1120" s="74"/>
      <c r="H1120" s="120"/>
      <c r="I1120" s="120"/>
      <c r="J1120" s="120"/>
      <c r="K1120" s="74"/>
    </row>
    <row r="1121" ht="15.75" customHeight="1">
      <c r="A1121" s="98"/>
      <c r="B1121" s="74"/>
      <c r="C1121" s="98"/>
      <c r="D1121" s="101"/>
      <c r="E1121" s="157"/>
      <c r="F1121" s="74"/>
      <c r="G1121" s="74"/>
      <c r="H1121" s="120"/>
      <c r="I1121" s="120"/>
      <c r="J1121" s="120"/>
      <c r="K1121" s="74"/>
    </row>
    <row r="1122" ht="15.75" customHeight="1">
      <c r="A1122" s="98"/>
      <c r="B1122" s="74"/>
      <c r="C1122" s="98"/>
      <c r="D1122" s="101"/>
      <c r="E1122" s="157"/>
      <c r="F1122" s="74"/>
      <c r="G1122" s="74"/>
      <c r="H1122" s="120"/>
      <c r="I1122" s="120"/>
      <c r="J1122" s="120"/>
      <c r="K1122" s="74"/>
    </row>
    <row r="1123" ht="15.75" customHeight="1">
      <c r="A1123" s="98"/>
      <c r="B1123" s="74"/>
      <c r="C1123" s="98"/>
      <c r="D1123" s="101"/>
      <c r="E1123" s="157"/>
      <c r="F1123" s="74"/>
      <c r="G1123" s="74"/>
      <c r="H1123" s="120"/>
      <c r="I1123" s="120"/>
      <c r="J1123" s="120"/>
      <c r="K1123" s="74"/>
    </row>
    <row r="1124" ht="15.75" customHeight="1">
      <c r="A1124" s="98"/>
      <c r="B1124" s="74"/>
      <c r="C1124" s="98"/>
      <c r="D1124" s="101"/>
      <c r="E1124" s="157"/>
      <c r="F1124" s="74"/>
      <c r="G1124" s="74"/>
      <c r="H1124" s="120"/>
      <c r="I1124" s="120"/>
      <c r="J1124" s="120"/>
      <c r="K1124" s="74"/>
    </row>
    <row r="1125" ht="15.75" customHeight="1">
      <c r="A1125" s="98"/>
      <c r="B1125" s="74"/>
      <c r="C1125" s="98"/>
      <c r="D1125" s="101"/>
      <c r="E1125" s="157"/>
      <c r="F1125" s="74"/>
      <c r="G1125" s="74"/>
      <c r="H1125" s="120"/>
      <c r="I1125" s="120"/>
      <c r="J1125" s="120"/>
      <c r="K1125" s="74"/>
    </row>
    <row r="1126" ht="15.75" customHeight="1">
      <c r="A1126" s="98"/>
      <c r="B1126" s="74"/>
      <c r="C1126" s="98"/>
      <c r="D1126" s="101"/>
      <c r="E1126" s="157"/>
      <c r="F1126" s="74"/>
      <c r="G1126" s="74"/>
      <c r="H1126" s="120"/>
      <c r="I1126" s="120"/>
      <c r="J1126" s="120"/>
      <c r="K1126" s="74"/>
    </row>
    <row r="1127" ht="15.75" customHeight="1">
      <c r="A1127" s="98"/>
      <c r="B1127" s="74"/>
      <c r="C1127" s="98"/>
      <c r="D1127" s="101"/>
      <c r="E1127" s="157"/>
      <c r="F1127" s="74"/>
      <c r="G1127" s="74"/>
      <c r="H1127" s="120"/>
      <c r="I1127" s="120"/>
      <c r="J1127" s="120"/>
      <c r="K1127" s="74"/>
    </row>
    <row r="1128" ht="15.75" customHeight="1">
      <c r="A1128" s="98"/>
      <c r="B1128" s="74"/>
      <c r="C1128" s="98"/>
      <c r="D1128" s="101"/>
      <c r="E1128" s="157"/>
      <c r="F1128" s="74"/>
      <c r="G1128" s="74"/>
      <c r="H1128" s="120"/>
      <c r="I1128" s="120"/>
      <c r="J1128" s="120"/>
      <c r="K1128" s="74"/>
    </row>
    <row r="1129" ht="15.75" customHeight="1">
      <c r="A1129" s="98"/>
      <c r="B1129" s="74"/>
      <c r="C1129" s="98"/>
      <c r="D1129" s="101"/>
      <c r="E1129" s="157"/>
      <c r="F1129" s="74"/>
      <c r="G1129" s="74"/>
      <c r="H1129" s="120"/>
      <c r="I1129" s="120"/>
      <c r="J1129" s="120"/>
      <c r="K1129" s="74"/>
    </row>
    <row r="1130" ht="15.75" customHeight="1">
      <c r="A1130" s="98"/>
      <c r="B1130" s="74"/>
      <c r="C1130" s="98"/>
      <c r="D1130" s="101"/>
      <c r="E1130" s="157"/>
      <c r="F1130" s="74"/>
      <c r="G1130" s="74"/>
      <c r="H1130" s="120"/>
      <c r="I1130" s="120"/>
      <c r="J1130" s="120"/>
      <c r="K1130" s="74"/>
    </row>
    <row r="1131" ht="15.75" customHeight="1">
      <c r="A1131" s="98"/>
      <c r="B1131" s="74"/>
      <c r="C1131" s="98"/>
      <c r="D1131" s="101"/>
      <c r="E1131" s="157"/>
      <c r="F1131" s="74"/>
      <c r="G1131" s="74"/>
      <c r="H1131" s="120"/>
      <c r="I1131" s="120"/>
      <c r="J1131" s="120"/>
      <c r="K1131" s="74"/>
    </row>
    <row r="1132" ht="15.75" customHeight="1">
      <c r="A1132" s="98"/>
      <c r="B1132" s="74"/>
      <c r="C1132" s="98"/>
      <c r="D1132" s="101"/>
      <c r="E1132" s="157"/>
      <c r="F1132" s="74"/>
      <c r="G1132" s="74"/>
      <c r="H1132" s="120"/>
      <c r="I1132" s="120"/>
      <c r="J1132" s="120"/>
      <c r="K1132" s="74"/>
    </row>
    <row r="1133" ht="15.75" customHeight="1">
      <c r="A1133" s="98"/>
      <c r="B1133" s="74"/>
      <c r="C1133" s="98"/>
      <c r="D1133" s="101"/>
      <c r="E1133" s="157"/>
      <c r="F1133" s="74"/>
      <c r="G1133" s="74"/>
      <c r="H1133" s="120"/>
      <c r="I1133" s="120"/>
      <c r="J1133" s="120"/>
      <c r="K1133" s="74"/>
    </row>
    <row r="1134" ht="15.75" customHeight="1">
      <c r="A1134" s="98"/>
      <c r="B1134" s="74"/>
      <c r="C1134" s="98"/>
      <c r="D1134" s="101"/>
      <c r="E1134" s="157"/>
      <c r="F1134" s="74"/>
      <c r="G1134" s="74"/>
      <c r="H1134" s="120"/>
      <c r="I1134" s="120"/>
      <c r="J1134" s="120"/>
      <c r="K1134" s="74"/>
    </row>
    <row r="1135" ht="15.75" customHeight="1">
      <c r="A1135" s="98"/>
      <c r="B1135" s="74"/>
      <c r="C1135" s="98"/>
      <c r="D1135" s="101"/>
      <c r="E1135" s="157"/>
      <c r="F1135" s="74"/>
      <c r="G1135" s="74"/>
      <c r="H1135" s="120"/>
      <c r="I1135" s="120"/>
      <c r="J1135" s="120"/>
      <c r="K1135" s="74"/>
    </row>
    <row r="1136" ht="15.75" customHeight="1">
      <c r="A1136" s="98"/>
      <c r="B1136" s="74"/>
      <c r="C1136" s="98"/>
      <c r="D1136" s="101"/>
      <c r="E1136" s="157"/>
      <c r="F1136" s="74"/>
      <c r="G1136" s="74"/>
      <c r="H1136" s="120"/>
      <c r="I1136" s="120"/>
      <c r="J1136" s="120"/>
      <c r="K1136" s="74"/>
    </row>
    <row r="1137" ht="15.75" customHeight="1">
      <c r="A1137" s="98"/>
      <c r="B1137" s="74"/>
      <c r="C1137" s="98"/>
      <c r="D1137" s="101"/>
      <c r="E1137" s="157"/>
      <c r="F1137" s="74"/>
      <c r="G1137" s="74"/>
      <c r="H1137" s="120"/>
      <c r="I1137" s="120"/>
      <c r="J1137" s="120"/>
      <c r="K1137" s="74"/>
    </row>
    <row r="1138" ht="15.75" customHeight="1">
      <c r="A1138" s="98"/>
      <c r="B1138" s="74"/>
      <c r="C1138" s="98"/>
      <c r="D1138" s="101"/>
      <c r="E1138" s="157"/>
      <c r="F1138" s="74"/>
      <c r="G1138" s="74"/>
      <c r="H1138" s="120"/>
      <c r="I1138" s="120"/>
      <c r="J1138" s="120"/>
      <c r="K1138" s="74"/>
    </row>
    <row r="1139" ht="15.75" customHeight="1">
      <c r="A1139" s="98"/>
      <c r="B1139" s="74"/>
      <c r="C1139" s="98"/>
      <c r="D1139" s="101"/>
      <c r="E1139" s="157"/>
      <c r="F1139" s="74"/>
      <c r="G1139" s="74"/>
      <c r="H1139" s="120"/>
      <c r="I1139" s="120"/>
      <c r="J1139" s="120"/>
      <c r="K1139" s="74"/>
    </row>
    <row r="1140" ht="15.75" customHeight="1">
      <c r="A1140" s="98"/>
      <c r="B1140" s="74"/>
      <c r="C1140" s="98"/>
      <c r="D1140" s="101"/>
      <c r="E1140" s="157"/>
      <c r="F1140" s="74"/>
      <c r="G1140" s="74"/>
      <c r="H1140" s="120"/>
      <c r="I1140" s="120"/>
      <c r="J1140" s="120"/>
      <c r="K1140" s="74"/>
    </row>
    <row r="1141" ht="15.75" customHeight="1">
      <c r="A1141" s="98"/>
      <c r="B1141" s="74"/>
      <c r="C1141" s="98"/>
      <c r="D1141" s="101"/>
      <c r="E1141" s="157"/>
      <c r="F1141" s="74"/>
      <c r="G1141" s="74"/>
      <c r="H1141" s="120"/>
      <c r="I1141" s="120"/>
      <c r="J1141" s="120"/>
      <c r="K1141" s="74"/>
    </row>
    <row r="1142" ht="15.75" customHeight="1">
      <c r="A1142" s="98"/>
      <c r="B1142" s="74"/>
      <c r="C1142" s="98"/>
      <c r="D1142" s="101"/>
      <c r="E1142" s="157"/>
      <c r="F1142" s="74"/>
      <c r="G1142" s="74"/>
      <c r="H1142" s="120"/>
      <c r="I1142" s="120"/>
      <c r="J1142" s="120"/>
      <c r="K1142" s="74"/>
    </row>
    <row r="1143" ht="15.75" customHeight="1">
      <c r="A1143" s="98"/>
      <c r="B1143" s="74"/>
      <c r="C1143" s="98"/>
      <c r="D1143" s="101"/>
      <c r="E1143" s="157"/>
      <c r="F1143" s="74"/>
      <c r="G1143" s="74"/>
      <c r="H1143" s="120"/>
      <c r="I1143" s="120"/>
      <c r="J1143" s="120"/>
      <c r="K1143" s="74"/>
    </row>
    <row r="1144" ht="15.75" customHeight="1">
      <c r="A1144" s="98"/>
      <c r="B1144" s="74"/>
      <c r="C1144" s="98"/>
      <c r="D1144" s="101"/>
      <c r="E1144" s="157"/>
      <c r="F1144" s="74"/>
      <c r="G1144" s="74"/>
      <c r="H1144" s="120"/>
      <c r="I1144" s="120"/>
      <c r="J1144" s="120"/>
      <c r="K1144" s="74"/>
    </row>
    <row r="1145" ht="15.75" customHeight="1">
      <c r="A1145" s="98"/>
      <c r="B1145" s="74"/>
      <c r="C1145" s="98"/>
      <c r="D1145" s="101"/>
      <c r="E1145" s="157"/>
      <c r="F1145" s="74"/>
      <c r="G1145" s="74"/>
      <c r="H1145" s="120"/>
      <c r="I1145" s="120"/>
      <c r="J1145" s="120"/>
      <c r="K1145" s="74"/>
    </row>
    <row r="1146" ht="15.75" customHeight="1">
      <c r="A1146" s="98"/>
      <c r="B1146" s="74"/>
      <c r="C1146" s="98"/>
      <c r="D1146" s="101"/>
      <c r="E1146" s="157"/>
      <c r="F1146" s="74"/>
      <c r="G1146" s="74"/>
      <c r="H1146" s="120"/>
      <c r="I1146" s="120"/>
      <c r="J1146" s="120"/>
      <c r="K1146" s="74"/>
    </row>
    <row r="1147" ht="15.75" customHeight="1">
      <c r="A1147" s="98"/>
      <c r="B1147" s="74"/>
      <c r="C1147" s="98"/>
      <c r="D1147" s="101"/>
      <c r="E1147" s="157"/>
      <c r="F1147" s="74"/>
      <c r="G1147" s="74"/>
      <c r="H1147" s="120"/>
      <c r="I1147" s="120"/>
      <c r="J1147" s="120"/>
      <c r="K1147" s="74"/>
    </row>
    <row r="1148" ht="15.75" customHeight="1">
      <c r="A1148" s="98"/>
      <c r="B1148" s="74"/>
      <c r="C1148" s="98"/>
      <c r="D1148" s="101"/>
      <c r="E1148" s="157"/>
      <c r="F1148" s="74"/>
      <c r="G1148" s="74"/>
      <c r="H1148" s="120"/>
      <c r="I1148" s="120"/>
      <c r="J1148" s="120"/>
      <c r="K1148" s="74"/>
    </row>
    <row r="1149" ht="15.75" customHeight="1">
      <c r="A1149" s="98"/>
      <c r="B1149" s="74"/>
      <c r="C1149" s="98"/>
      <c r="D1149" s="101"/>
      <c r="E1149" s="157"/>
      <c r="F1149" s="74"/>
      <c r="G1149" s="74"/>
      <c r="H1149" s="120"/>
      <c r="I1149" s="120"/>
      <c r="J1149" s="120"/>
      <c r="K1149" s="74"/>
    </row>
    <row r="1150" ht="15.75" customHeight="1">
      <c r="A1150" s="98"/>
      <c r="B1150" s="74"/>
      <c r="C1150" s="98"/>
      <c r="D1150" s="101"/>
      <c r="E1150" s="157"/>
      <c r="F1150" s="74"/>
      <c r="G1150" s="74"/>
      <c r="H1150" s="120"/>
      <c r="I1150" s="120"/>
      <c r="J1150" s="120"/>
      <c r="K1150" s="74"/>
    </row>
    <row r="1151" ht="15.75" customHeight="1">
      <c r="A1151" s="98"/>
      <c r="B1151" s="74"/>
      <c r="C1151" s="98"/>
      <c r="D1151" s="101"/>
      <c r="E1151" s="157"/>
      <c r="F1151" s="74"/>
      <c r="G1151" s="74"/>
      <c r="H1151" s="120"/>
      <c r="I1151" s="120"/>
      <c r="J1151" s="120"/>
      <c r="K1151" s="74"/>
    </row>
    <row r="1152" ht="15.75" customHeight="1">
      <c r="A1152" s="98"/>
      <c r="B1152" s="74"/>
      <c r="C1152" s="98"/>
      <c r="D1152" s="101"/>
      <c r="E1152" s="157"/>
      <c r="F1152" s="74"/>
      <c r="G1152" s="74"/>
      <c r="H1152" s="120"/>
      <c r="I1152" s="120"/>
      <c r="J1152" s="120"/>
      <c r="K1152" s="74"/>
    </row>
    <row r="1153" ht="15.75" customHeight="1">
      <c r="A1153" s="98"/>
      <c r="B1153" s="74"/>
      <c r="C1153" s="98"/>
      <c r="D1153" s="101"/>
      <c r="E1153" s="157"/>
      <c r="F1153" s="74"/>
      <c r="G1153" s="74"/>
      <c r="H1153" s="120"/>
      <c r="I1153" s="120"/>
      <c r="J1153" s="120"/>
      <c r="K1153" s="74"/>
    </row>
    <row r="1154" ht="15.75" customHeight="1">
      <c r="A1154" s="98"/>
      <c r="B1154" s="74"/>
      <c r="C1154" s="98"/>
      <c r="D1154" s="101"/>
      <c r="E1154" s="157"/>
      <c r="F1154" s="74"/>
      <c r="G1154" s="74"/>
      <c r="H1154" s="120"/>
      <c r="I1154" s="120"/>
      <c r="J1154" s="120"/>
      <c r="K1154" s="74"/>
    </row>
    <row r="1155" ht="15.75" customHeight="1">
      <c r="A1155" s="98"/>
      <c r="B1155" s="74"/>
      <c r="C1155" s="98"/>
      <c r="D1155" s="101"/>
      <c r="E1155" s="157"/>
      <c r="F1155" s="74"/>
      <c r="G1155" s="74"/>
      <c r="H1155" s="120"/>
      <c r="I1155" s="120"/>
      <c r="J1155" s="120"/>
      <c r="K1155" s="74"/>
    </row>
    <row r="1156" ht="15.75" customHeight="1">
      <c r="A1156" s="98"/>
      <c r="B1156" s="74"/>
      <c r="C1156" s="98"/>
      <c r="D1156" s="101"/>
      <c r="E1156" s="157"/>
      <c r="F1156" s="74"/>
      <c r="G1156" s="74"/>
      <c r="H1156" s="120"/>
      <c r="I1156" s="120"/>
      <c r="J1156" s="120"/>
      <c r="K1156" s="74"/>
    </row>
    <row r="1157" ht="15.75" customHeight="1">
      <c r="A1157" s="98"/>
      <c r="B1157" s="74"/>
      <c r="C1157" s="98"/>
      <c r="D1157" s="101"/>
      <c r="E1157" s="157"/>
      <c r="F1157" s="74"/>
      <c r="G1157" s="74"/>
      <c r="H1157" s="120"/>
      <c r="I1157" s="120"/>
      <c r="J1157" s="120"/>
      <c r="K1157" s="74"/>
    </row>
    <row r="1158" ht="15.75" customHeight="1">
      <c r="A1158" s="98"/>
      <c r="B1158" s="74"/>
      <c r="C1158" s="98"/>
      <c r="D1158" s="101"/>
      <c r="E1158" s="157"/>
      <c r="F1158" s="74"/>
      <c r="G1158" s="74"/>
      <c r="H1158" s="120"/>
      <c r="I1158" s="120"/>
      <c r="J1158" s="120"/>
      <c r="K1158" s="74"/>
    </row>
    <row r="1159" ht="15.75" customHeight="1">
      <c r="A1159" s="98"/>
      <c r="B1159" s="74"/>
      <c r="C1159" s="98"/>
      <c r="D1159" s="101"/>
      <c r="E1159" s="157"/>
      <c r="F1159" s="74"/>
      <c r="G1159" s="74"/>
      <c r="H1159" s="120"/>
      <c r="I1159" s="120"/>
      <c r="J1159" s="120"/>
      <c r="K1159" s="74"/>
    </row>
    <row r="1160" ht="15.75" customHeight="1">
      <c r="A1160" s="98"/>
      <c r="B1160" s="74"/>
      <c r="C1160" s="98"/>
      <c r="D1160" s="101"/>
      <c r="E1160" s="157"/>
      <c r="F1160" s="74"/>
      <c r="G1160" s="74"/>
      <c r="H1160" s="120"/>
      <c r="I1160" s="120"/>
      <c r="J1160" s="120"/>
      <c r="K1160" s="74"/>
    </row>
    <row r="1161" ht="15.75" customHeight="1">
      <c r="A1161" s="98"/>
      <c r="B1161" s="74"/>
      <c r="C1161" s="98"/>
      <c r="D1161" s="101"/>
      <c r="E1161" s="157"/>
      <c r="F1161" s="74"/>
      <c r="G1161" s="74"/>
      <c r="H1161" s="120"/>
      <c r="I1161" s="120"/>
      <c r="J1161" s="120"/>
      <c r="K1161" s="74"/>
    </row>
    <row r="1162" ht="15.75" customHeight="1">
      <c r="A1162" s="98"/>
      <c r="B1162" s="74"/>
      <c r="C1162" s="98"/>
      <c r="D1162" s="101"/>
      <c r="E1162" s="157"/>
      <c r="F1162" s="74"/>
      <c r="G1162" s="74"/>
      <c r="H1162" s="120"/>
      <c r="I1162" s="120"/>
      <c r="J1162" s="120"/>
      <c r="K1162" s="74"/>
    </row>
    <row r="1163" ht="15.75" customHeight="1">
      <c r="A1163" s="98"/>
      <c r="B1163" s="74"/>
      <c r="C1163" s="98"/>
      <c r="D1163" s="101"/>
      <c r="E1163" s="157"/>
      <c r="F1163" s="74"/>
      <c r="G1163" s="74"/>
      <c r="H1163" s="120"/>
      <c r="I1163" s="120"/>
      <c r="J1163" s="120"/>
      <c r="K1163" s="74"/>
    </row>
    <row r="1164" ht="15.75" customHeight="1">
      <c r="A1164" s="98"/>
      <c r="B1164" s="74"/>
      <c r="C1164" s="98"/>
      <c r="D1164" s="101"/>
      <c r="E1164" s="157"/>
      <c r="F1164" s="74"/>
      <c r="G1164" s="74"/>
      <c r="H1164" s="120"/>
      <c r="I1164" s="120"/>
      <c r="J1164" s="120"/>
      <c r="K1164" s="74"/>
    </row>
    <row r="1165" ht="15.75" customHeight="1">
      <c r="A1165" s="98"/>
      <c r="B1165" s="74"/>
      <c r="C1165" s="98"/>
      <c r="D1165" s="101"/>
      <c r="E1165" s="157"/>
      <c r="F1165" s="74"/>
      <c r="G1165" s="74"/>
      <c r="H1165" s="120"/>
      <c r="I1165" s="120"/>
      <c r="J1165" s="120"/>
      <c r="K1165" s="74"/>
    </row>
    <row r="1166" ht="15.75" customHeight="1">
      <c r="A1166" s="98"/>
      <c r="B1166" s="74"/>
      <c r="C1166" s="98"/>
      <c r="D1166" s="101"/>
      <c r="E1166" s="157"/>
      <c r="F1166" s="74"/>
      <c r="G1166" s="74"/>
      <c r="H1166" s="120"/>
      <c r="I1166" s="120"/>
      <c r="J1166" s="120"/>
      <c r="K1166" s="74"/>
    </row>
    <row r="1167" ht="15.75" customHeight="1">
      <c r="A1167" s="98"/>
      <c r="B1167" s="74"/>
      <c r="C1167" s="98"/>
      <c r="D1167" s="101"/>
      <c r="E1167" s="157"/>
      <c r="F1167" s="74"/>
      <c r="G1167" s="74"/>
      <c r="H1167" s="120"/>
      <c r="I1167" s="120"/>
      <c r="J1167" s="120"/>
      <c r="K1167" s="74"/>
    </row>
    <row r="1168" ht="15.75" customHeight="1">
      <c r="A1168" s="98"/>
      <c r="B1168" s="74"/>
      <c r="C1168" s="98"/>
      <c r="D1168" s="101"/>
      <c r="E1168" s="157"/>
      <c r="F1168" s="74"/>
      <c r="G1168" s="74"/>
      <c r="H1168" s="120"/>
      <c r="I1168" s="120"/>
      <c r="J1168" s="120"/>
      <c r="K1168" s="74"/>
    </row>
    <row r="1169" ht="15.75" customHeight="1">
      <c r="A1169" s="98"/>
      <c r="B1169" s="74"/>
      <c r="C1169" s="98"/>
      <c r="D1169" s="101"/>
      <c r="E1169" s="157"/>
      <c r="F1169" s="74"/>
      <c r="G1169" s="74"/>
      <c r="H1169" s="120"/>
      <c r="I1169" s="120"/>
      <c r="J1169" s="120"/>
      <c r="K1169" s="74"/>
    </row>
    <row r="1170" ht="15.75" customHeight="1">
      <c r="A1170" s="98"/>
      <c r="B1170" s="74"/>
      <c r="C1170" s="98"/>
      <c r="D1170" s="101"/>
      <c r="E1170" s="157"/>
      <c r="F1170" s="74"/>
      <c r="G1170" s="74"/>
      <c r="H1170" s="120"/>
      <c r="I1170" s="120"/>
      <c r="J1170" s="120"/>
      <c r="K1170" s="74"/>
    </row>
    <row r="1171" ht="15.75" customHeight="1">
      <c r="A1171" s="98"/>
      <c r="B1171" s="74"/>
      <c r="C1171" s="98"/>
      <c r="D1171" s="101"/>
      <c r="E1171" s="157"/>
      <c r="F1171" s="74"/>
      <c r="G1171" s="74"/>
      <c r="H1171" s="120"/>
      <c r="I1171" s="120"/>
      <c r="J1171" s="120"/>
      <c r="K1171" s="74"/>
    </row>
    <row r="1172" ht="15.75" customHeight="1">
      <c r="A1172" s="98"/>
      <c r="B1172" s="74"/>
      <c r="C1172" s="98"/>
      <c r="D1172" s="101"/>
      <c r="E1172" s="157"/>
      <c r="F1172" s="74"/>
      <c r="G1172" s="74"/>
      <c r="H1172" s="120"/>
      <c r="I1172" s="120"/>
      <c r="J1172" s="120"/>
      <c r="K1172" s="74"/>
    </row>
    <row r="1173" ht="15.75" customHeight="1">
      <c r="A1173" s="98"/>
      <c r="B1173" s="74"/>
      <c r="C1173" s="98"/>
      <c r="D1173" s="101"/>
      <c r="E1173" s="157"/>
      <c r="F1173" s="74"/>
      <c r="G1173" s="74"/>
      <c r="H1173" s="120"/>
      <c r="I1173" s="120"/>
      <c r="J1173" s="120"/>
      <c r="K1173" s="74"/>
    </row>
    <row r="1174" ht="15.75" customHeight="1">
      <c r="A1174" s="98"/>
      <c r="B1174" s="74"/>
      <c r="C1174" s="98"/>
      <c r="D1174" s="101"/>
      <c r="E1174" s="157"/>
      <c r="F1174" s="74"/>
      <c r="G1174" s="74"/>
      <c r="H1174" s="120"/>
      <c r="I1174" s="120"/>
      <c r="J1174" s="120"/>
      <c r="K1174" s="74"/>
    </row>
    <row r="1175" ht="15.75" customHeight="1">
      <c r="A1175" s="98"/>
      <c r="B1175" s="74"/>
      <c r="C1175" s="98"/>
      <c r="D1175" s="101"/>
      <c r="E1175" s="157"/>
      <c r="F1175" s="74"/>
      <c r="G1175" s="74"/>
      <c r="H1175" s="120"/>
      <c r="I1175" s="120"/>
      <c r="J1175" s="120"/>
      <c r="K1175" s="74"/>
    </row>
    <row r="1176" ht="15.75" customHeight="1">
      <c r="A1176" s="98"/>
      <c r="B1176" s="74"/>
      <c r="C1176" s="98"/>
      <c r="D1176" s="101"/>
      <c r="E1176" s="157"/>
      <c r="F1176" s="74"/>
      <c r="G1176" s="74"/>
      <c r="H1176" s="120"/>
      <c r="I1176" s="120"/>
      <c r="J1176" s="120"/>
      <c r="K1176" s="74"/>
    </row>
    <row r="1177" ht="15.75" customHeight="1">
      <c r="A1177" s="98"/>
      <c r="B1177" s="74"/>
      <c r="C1177" s="98"/>
      <c r="D1177" s="101"/>
      <c r="E1177" s="157"/>
      <c r="F1177" s="74"/>
      <c r="G1177" s="74"/>
      <c r="H1177" s="120"/>
      <c r="I1177" s="120"/>
      <c r="J1177" s="120"/>
      <c r="K1177" s="74"/>
    </row>
    <row r="1178" ht="15.75" customHeight="1">
      <c r="A1178" s="98"/>
      <c r="B1178" s="74"/>
      <c r="C1178" s="98"/>
      <c r="D1178" s="101"/>
      <c r="E1178" s="157"/>
      <c r="F1178" s="74"/>
      <c r="G1178" s="74"/>
      <c r="H1178" s="120"/>
      <c r="I1178" s="120"/>
      <c r="J1178" s="120"/>
      <c r="K1178" s="74"/>
    </row>
    <row r="1179" ht="15.75" customHeight="1">
      <c r="A1179" s="98"/>
      <c r="B1179" s="74"/>
      <c r="C1179" s="98"/>
      <c r="D1179" s="101"/>
      <c r="E1179" s="157"/>
      <c r="F1179" s="74"/>
      <c r="G1179" s="74"/>
      <c r="H1179" s="120"/>
      <c r="I1179" s="120"/>
      <c r="J1179" s="120"/>
      <c r="K1179" s="74"/>
    </row>
    <row r="1180" ht="15.75" customHeight="1">
      <c r="A1180" s="98"/>
      <c r="B1180" s="74"/>
      <c r="C1180" s="98"/>
      <c r="D1180" s="101"/>
      <c r="E1180" s="157"/>
      <c r="F1180" s="74"/>
      <c r="G1180" s="74"/>
      <c r="H1180" s="120"/>
      <c r="I1180" s="120"/>
      <c r="J1180" s="120"/>
      <c r="K1180" s="74"/>
    </row>
    <row r="1181" ht="15.75" customHeight="1">
      <c r="A1181" s="98"/>
      <c r="B1181" s="74"/>
      <c r="C1181" s="98"/>
      <c r="D1181" s="101"/>
      <c r="E1181" s="157"/>
      <c r="F1181" s="74"/>
      <c r="G1181" s="74"/>
      <c r="H1181" s="120"/>
      <c r="I1181" s="120"/>
      <c r="J1181" s="120"/>
      <c r="K1181" s="74"/>
    </row>
    <row r="1182" ht="15.75" customHeight="1">
      <c r="A1182" s="98"/>
      <c r="B1182" s="74"/>
      <c r="C1182" s="98"/>
      <c r="D1182" s="101"/>
      <c r="E1182" s="157"/>
      <c r="F1182" s="74"/>
      <c r="G1182" s="74"/>
      <c r="H1182" s="120"/>
      <c r="I1182" s="120"/>
      <c r="J1182" s="120"/>
      <c r="K1182" s="74"/>
    </row>
    <row r="1183" ht="15.75" customHeight="1">
      <c r="A1183" s="98"/>
      <c r="B1183" s="74"/>
      <c r="C1183" s="98"/>
      <c r="D1183" s="101"/>
      <c r="E1183" s="157"/>
      <c r="F1183" s="74"/>
      <c r="G1183" s="74"/>
      <c r="H1183" s="120"/>
      <c r="I1183" s="120"/>
      <c r="J1183" s="120"/>
      <c r="K1183" s="74"/>
    </row>
    <row r="1184" ht="15.75" customHeight="1">
      <c r="A1184" s="98"/>
      <c r="B1184" s="74"/>
      <c r="C1184" s="98"/>
      <c r="D1184" s="101"/>
      <c r="E1184" s="157"/>
      <c r="F1184" s="74"/>
      <c r="G1184" s="74"/>
      <c r="H1184" s="120"/>
      <c r="I1184" s="120"/>
      <c r="J1184" s="120"/>
      <c r="K1184" s="74"/>
    </row>
    <row r="1185" ht="15.75" customHeight="1">
      <c r="A1185" s="98"/>
      <c r="B1185" s="74"/>
      <c r="C1185" s="98"/>
      <c r="D1185" s="101"/>
      <c r="E1185" s="157"/>
      <c r="F1185" s="74"/>
      <c r="G1185" s="74"/>
      <c r="H1185" s="120"/>
      <c r="I1185" s="120"/>
      <c r="J1185" s="120"/>
      <c r="K1185" s="74"/>
    </row>
    <row r="1186" ht="15.75" customHeight="1">
      <c r="A1186" s="98"/>
      <c r="B1186" s="74"/>
      <c r="C1186" s="98"/>
      <c r="D1186" s="101"/>
      <c r="E1186" s="157"/>
      <c r="F1186" s="74"/>
      <c r="G1186" s="74"/>
      <c r="H1186" s="120"/>
      <c r="I1186" s="120"/>
      <c r="J1186" s="120"/>
      <c r="K1186" s="74"/>
    </row>
    <row r="1187" ht="15.75" customHeight="1">
      <c r="A1187" s="98"/>
      <c r="B1187" s="74"/>
      <c r="C1187" s="98"/>
      <c r="D1187" s="101"/>
      <c r="E1187" s="157"/>
      <c r="F1187" s="74"/>
      <c r="G1187" s="74"/>
      <c r="H1187" s="120"/>
      <c r="I1187" s="120"/>
      <c r="J1187" s="120"/>
      <c r="K1187" s="74"/>
    </row>
    <row r="1188" ht="15.75" customHeight="1">
      <c r="A1188" s="98"/>
      <c r="B1188" s="74"/>
      <c r="C1188" s="98"/>
      <c r="D1188" s="101"/>
      <c r="E1188" s="157"/>
      <c r="F1188" s="74"/>
      <c r="G1188" s="74"/>
      <c r="H1188" s="120"/>
      <c r="I1188" s="120"/>
      <c r="J1188" s="120"/>
      <c r="K1188" s="74"/>
    </row>
    <row r="1189" ht="15.75" customHeight="1">
      <c r="A1189" s="98"/>
      <c r="B1189" s="74"/>
      <c r="C1189" s="98"/>
      <c r="D1189" s="101"/>
      <c r="E1189" s="157"/>
      <c r="F1189" s="74"/>
      <c r="G1189" s="74"/>
      <c r="H1189" s="120"/>
      <c r="I1189" s="120"/>
      <c r="J1189" s="120"/>
      <c r="K1189" s="74"/>
    </row>
    <row r="1190" ht="15.75" customHeight="1">
      <c r="A1190" s="98"/>
      <c r="B1190" s="74"/>
      <c r="C1190" s="98"/>
      <c r="D1190" s="101"/>
      <c r="E1190" s="157"/>
      <c r="F1190" s="74"/>
      <c r="G1190" s="74"/>
      <c r="H1190" s="120"/>
      <c r="I1190" s="120"/>
      <c r="J1190" s="120"/>
      <c r="K1190" s="74"/>
    </row>
    <row r="1191" ht="15.75" customHeight="1">
      <c r="A1191" s="98"/>
      <c r="B1191" s="74"/>
      <c r="C1191" s="98"/>
      <c r="D1191" s="101"/>
      <c r="E1191" s="157"/>
      <c r="F1191" s="74"/>
      <c r="G1191" s="74"/>
      <c r="H1191" s="120"/>
      <c r="I1191" s="120"/>
      <c r="J1191" s="120"/>
      <c r="K1191" s="74"/>
    </row>
    <row r="1192" ht="15.75" customHeight="1">
      <c r="A1192" s="98"/>
      <c r="B1192" s="74"/>
      <c r="C1192" s="98"/>
      <c r="D1192" s="101"/>
      <c r="E1192" s="157"/>
      <c r="F1192" s="74"/>
      <c r="G1192" s="74"/>
      <c r="H1192" s="120"/>
      <c r="I1192" s="120"/>
      <c r="J1192" s="120"/>
      <c r="K1192" s="74"/>
    </row>
    <row r="1193" ht="15.75" customHeight="1">
      <c r="A1193" s="98"/>
      <c r="B1193" s="74"/>
      <c r="C1193" s="98"/>
      <c r="D1193" s="101"/>
      <c r="E1193" s="157"/>
      <c r="F1193" s="74"/>
      <c r="G1193" s="74"/>
      <c r="H1193" s="120"/>
      <c r="I1193" s="120"/>
      <c r="J1193" s="120"/>
      <c r="K1193" s="74"/>
    </row>
    <row r="1194" ht="15.75" customHeight="1">
      <c r="A1194" s="98"/>
      <c r="B1194" s="74"/>
      <c r="C1194" s="98"/>
      <c r="D1194" s="101"/>
      <c r="E1194" s="157"/>
      <c r="F1194" s="74"/>
      <c r="G1194" s="74"/>
      <c r="H1194" s="120"/>
      <c r="I1194" s="120"/>
      <c r="J1194" s="120"/>
      <c r="K1194" s="74"/>
    </row>
    <row r="1195" ht="15.75" customHeight="1">
      <c r="A1195" s="98"/>
      <c r="B1195" s="74"/>
      <c r="C1195" s="98"/>
      <c r="D1195" s="101"/>
      <c r="E1195" s="157"/>
      <c r="F1195" s="74"/>
      <c r="G1195" s="74"/>
      <c r="H1195" s="120"/>
      <c r="I1195" s="120"/>
      <c r="J1195" s="120"/>
      <c r="K1195" s="74"/>
    </row>
    <row r="1196" ht="15.75" customHeight="1">
      <c r="A1196" s="98"/>
      <c r="B1196" s="74"/>
      <c r="C1196" s="98"/>
      <c r="D1196" s="101"/>
      <c r="E1196" s="157"/>
      <c r="F1196" s="74"/>
      <c r="G1196" s="74"/>
      <c r="H1196" s="120"/>
      <c r="I1196" s="120"/>
      <c r="J1196" s="120"/>
      <c r="K1196" s="74"/>
    </row>
    <row r="1197" ht="15.75" customHeight="1">
      <c r="A1197" s="98"/>
      <c r="B1197" s="74"/>
      <c r="C1197" s="98"/>
      <c r="D1197" s="101"/>
      <c r="E1197" s="157"/>
      <c r="F1197" s="74"/>
      <c r="G1197" s="74"/>
      <c r="H1197" s="120"/>
      <c r="I1197" s="120"/>
      <c r="J1197" s="120"/>
      <c r="K1197" s="74"/>
    </row>
    <row r="1198" ht="15.75" customHeight="1">
      <c r="A1198" s="98"/>
      <c r="B1198" s="74"/>
      <c r="C1198" s="98"/>
      <c r="D1198" s="101"/>
      <c r="E1198" s="157"/>
      <c r="F1198" s="74"/>
      <c r="G1198" s="74"/>
      <c r="H1198" s="120"/>
      <c r="I1198" s="120"/>
      <c r="J1198" s="120"/>
      <c r="K1198" s="74"/>
    </row>
  </sheetData>
  <autoFilter ref="$A$7:$K$50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33.38"/>
    <col customWidth="1" min="3" max="6" width="12.63"/>
  </cols>
  <sheetData>
    <row r="1" ht="15.75" customHeight="1"/>
    <row r="2" ht="15.75" customHeight="1">
      <c r="A2" s="158" t="s">
        <v>10</v>
      </c>
      <c r="B2" s="159" t="s">
        <v>671</v>
      </c>
      <c r="C2" s="158" t="s">
        <v>4</v>
      </c>
      <c r="D2" s="158" t="s">
        <v>5</v>
      </c>
    </row>
    <row r="3" ht="15.75" customHeight="1">
      <c r="A3" s="160"/>
      <c r="B3" s="161"/>
      <c r="C3" s="162"/>
      <c r="D3" s="162"/>
    </row>
    <row r="4" ht="15.75" customHeight="1">
      <c r="A4" s="163"/>
      <c r="B4" s="164" t="s">
        <v>672</v>
      </c>
      <c r="C4" s="165"/>
      <c r="D4" s="165"/>
    </row>
    <row r="5" ht="15.75" customHeight="1">
      <c r="A5" s="166" t="str">
        <f>IFERROR(__xludf.DUMMYFUNCTION("QUERY(TB!A6:B148)"),"10000")</f>
        <v>10000</v>
      </c>
      <c r="B5" s="166" t="str">
        <f>IFERROR(__xludf.DUMMYFUNCTION("""COMPUTED_VALUE"""),"Assets")</f>
        <v>Assets</v>
      </c>
      <c r="C5" s="167" t="str">
        <f t="shared" ref="C5:C9" si="1">sumifs('MANDIRI 1'!G:G,'MANDIRI 1'!C:C,A5)</f>
        <v>#N/A</v>
      </c>
      <c r="D5" s="167" t="str">
        <f t="shared" ref="D5:D9" si="2">sumifs('MANDIRI 1'!F:F,'MANDIRI 1'!C:C,A5)</f>
        <v>#N/A</v>
      </c>
    </row>
    <row r="6" ht="15.75" customHeight="1">
      <c r="A6" s="166" t="str">
        <f>IFERROR(__xludf.DUMMYFUNCTION("""COMPUTED_VALUE"""),"11000")</f>
        <v>11000</v>
      </c>
      <c r="B6" s="166" t="str">
        <f>IFERROR(__xludf.DUMMYFUNCTION("""COMPUTED_VALUE"""),"Aktiva Lancar")</f>
        <v>Aktiva Lancar</v>
      </c>
      <c r="C6" s="167" t="str">
        <f t="shared" si="1"/>
        <v>#N/A</v>
      </c>
      <c r="D6" s="167" t="str">
        <f t="shared" si="2"/>
        <v>#N/A</v>
      </c>
    </row>
    <row r="7" ht="15.75" customHeight="1">
      <c r="A7" s="166" t="str">
        <f>IFERROR(__xludf.DUMMYFUNCTION("""COMPUTED_VALUE"""),"11100")</f>
        <v>11100</v>
      </c>
      <c r="B7" s="166" t="str">
        <f>IFERROR(__xludf.DUMMYFUNCTION("""COMPUTED_VALUE"""),"Kas dan Setara Kas")</f>
        <v>Kas dan Setara Kas</v>
      </c>
      <c r="C7" s="167" t="str">
        <f t="shared" si="1"/>
        <v>#N/A</v>
      </c>
      <c r="D7" s="167" t="str">
        <f t="shared" si="2"/>
        <v>#N/A</v>
      </c>
    </row>
    <row r="8" ht="15.75" customHeight="1">
      <c r="A8" s="166" t="str">
        <f>IFERROR(__xludf.DUMMYFUNCTION("""COMPUTED_VALUE"""),"11110")</f>
        <v>11110</v>
      </c>
      <c r="B8" s="166" t="str">
        <f>IFERROR(__xludf.DUMMYFUNCTION("""COMPUTED_VALUE"""),"Kas Kecil")</f>
        <v>Kas Kecil</v>
      </c>
      <c r="C8" s="167" t="str">
        <f t="shared" si="1"/>
        <v>#N/A</v>
      </c>
      <c r="D8" s="167" t="str">
        <f t="shared" si="2"/>
        <v>#N/A</v>
      </c>
    </row>
    <row r="9" ht="15.75" customHeight="1">
      <c r="A9" s="166"/>
      <c r="B9" s="166"/>
      <c r="C9" s="167" t="str">
        <f t="shared" si="1"/>
        <v>#N/A</v>
      </c>
      <c r="D9" s="167" t="str">
        <f t="shared" si="2"/>
        <v>#N/A</v>
      </c>
    </row>
    <row r="10" ht="15.75" customHeight="1">
      <c r="A10" s="166"/>
      <c r="B10" s="166"/>
      <c r="C10" s="167" t="str">
        <f t="shared" ref="C10:D10" si="3">'MANDIRI 1'!F405</f>
        <v>#REF!</v>
      </c>
      <c r="D10" s="167" t="str">
        <f t="shared" si="3"/>
        <v>#REF!</v>
      </c>
    </row>
    <row r="11" ht="15.75" customHeight="1">
      <c r="A11" s="166" t="str">
        <f>IFERROR(__xludf.DUMMYFUNCTION("""COMPUTED_VALUE"""),"10010-00")</f>
        <v>10010-00</v>
      </c>
      <c r="B11" s="166" t="str">
        <f>IFERROR(__xludf.DUMMYFUNCTION("""COMPUTED_VALUE"""),"Kas Pusat")</f>
        <v>Kas Pusat</v>
      </c>
      <c r="C11" s="167" t="str">
        <f t="shared" ref="C11:C141" si="4">sumifs('MANDIRI 1'!G:G,'MANDIRI 1'!C:C,A11)</f>
        <v>#N/A</v>
      </c>
      <c r="D11" s="167" t="str">
        <f t="shared" ref="D11:D141" si="5">sumifs('MANDIRI 1'!F:F,'MANDIRI 1'!C:C,A11)</f>
        <v>#N/A</v>
      </c>
    </row>
    <row r="12" ht="15.75" customHeight="1">
      <c r="A12" s="166" t="str">
        <f>IFERROR(__xludf.DUMMYFUNCTION("""COMPUTED_VALUE"""),"10011-00")</f>
        <v>10011-00</v>
      </c>
      <c r="B12" s="166" t="str">
        <f>IFERROR(__xludf.DUMMYFUNCTION("""COMPUTED_VALUE"""),"Kas Operasional Kantor")</f>
        <v>Kas Operasional Kantor</v>
      </c>
      <c r="C12" s="167" t="str">
        <f t="shared" si="4"/>
        <v>#N/A</v>
      </c>
      <c r="D12" s="167" t="str">
        <f t="shared" si="5"/>
        <v>#N/A</v>
      </c>
    </row>
    <row r="13" ht="15.75" customHeight="1">
      <c r="A13" s="166" t="str">
        <f>IFERROR(__xludf.DUMMYFUNCTION("""COMPUTED_VALUE"""),"10020-00")</f>
        <v>10020-00</v>
      </c>
      <c r="B13" s="166" t="str">
        <f>IFERROR(__xludf.DUMMYFUNCTION("""COMPUTED_VALUE"""),"Bank MPG Giro BCA 478-888-3330")</f>
        <v>Bank MPG Giro BCA 478-888-3330</v>
      </c>
      <c r="C13" s="167" t="str">
        <f t="shared" si="4"/>
        <v>#N/A</v>
      </c>
      <c r="D13" s="167" t="str">
        <f t="shared" si="5"/>
        <v>#N/A</v>
      </c>
    </row>
    <row r="14" ht="15.75" customHeight="1">
      <c r="A14" s="166" t="str">
        <f>IFERROR(__xludf.DUMMYFUNCTION("""COMPUTED_VALUE"""),"10030-00")</f>
        <v>10030-00</v>
      </c>
      <c r="B14" s="166" t="str">
        <f>IFERROR(__xludf.DUMMYFUNCTION("""COMPUTED_VALUE"""),"Bank MPG Giro Mandiri 103-00-06-579-003")</f>
        <v>Bank MPG Giro Mandiri 103-00-06-579-003</v>
      </c>
      <c r="C14" s="167" t="str">
        <f t="shared" si="4"/>
        <v>#N/A</v>
      </c>
      <c r="D14" s="167" t="str">
        <f t="shared" si="5"/>
        <v>#N/A</v>
      </c>
    </row>
    <row r="15" ht="15.75" customHeight="1">
      <c r="A15" s="166" t="str">
        <f>IFERROR(__xludf.DUMMYFUNCTION("""COMPUTED_VALUE"""),"10040-00")</f>
        <v>10040-00</v>
      </c>
      <c r="B15" s="166" t="str">
        <f>IFERROR(__xludf.DUMMYFUNCTION("""COMPUTED_VALUE"""),"Bank MPG Tab Mandiri 155-00-79-000-777")</f>
        <v>Bank MPG Tab Mandiri 155-00-79-000-777</v>
      </c>
      <c r="C15" s="167" t="str">
        <f t="shared" si="4"/>
        <v>#N/A</v>
      </c>
      <c r="D15" s="167" t="str">
        <f t="shared" si="5"/>
        <v>#N/A</v>
      </c>
    </row>
    <row r="16" ht="15.75" customHeight="1">
      <c r="A16" s="166" t="str">
        <f>IFERROR(__xludf.DUMMYFUNCTION("""COMPUTED_VALUE"""),"10050-00")</f>
        <v>10050-00</v>
      </c>
      <c r="B16" s="166" t="str">
        <f>IFERROR(__xludf.DUMMYFUNCTION("""COMPUTED_VALUE"""),"Bank MPG Giro BJB 014-388-672-7001")</f>
        <v>Bank MPG Giro BJB 014-388-672-7001</v>
      </c>
      <c r="C16" s="167" t="str">
        <f t="shared" si="4"/>
        <v>#N/A</v>
      </c>
      <c r="D16" s="167" t="str">
        <f t="shared" si="5"/>
        <v>#N/A</v>
      </c>
    </row>
    <row r="17" ht="15.75" customHeight="1">
      <c r="A17" s="166" t="str">
        <f>IFERROR(__xludf.DUMMYFUNCTION("""COMPUTED_VALUE"""),"10900-00")</f>
        <v>10900-00</v>
      </c>
      <c r="B17" s="166" t="str">
        <f>IFERROR(__xludf.DUMMYFUNCTION("""COMPUTED_VALUE"""),"Clearing Account/ Overbooking")</f>
        <v>Clearing Account/ Overbooking</v>
      </c>
      <c r="C17" s="167" t="str">
        <f t="shared" si="4"/>
        <v>#N/A</v>
      </c>
      <c r="D17" s="167" t="str">
        <f t="shared" si="5"/>
        <v>#N/A</v>
      </c>
    </row>
    <row r="18" ht="15.75" customHeight="1">
      <c r="A18" s="166" t="str">
        <f>IFERROR(__xludf.DUMMYFUNCTION("""COMPUTED_VALUE"""),"11000-00")</f>
        <v>11000-00</v>
      </c>
      <c r="B18" s="166" t="str">
        <f>IFERROR(__xludf.DUMMYFUNCTION("""COMPUTED_VALUE"""),"AR Trade")</f>
        <v>AR Trade</v>
      </c>
      <c r="C18" s="167" t="str">
        <f t="shared" si="4"/>
        <v>#N/A</v>
      </c>
      <c r="D18" s="167" t="str">
        <f t="shared" si="5"/>
        <v>#N/A</v>
      </c>
    </row>
    <row r="19" ht="15.75" customHeight="1">
      <c r="A19" s="166" t="str">
        <f>IFERROR(__xludf.DUMMYFUNCTION("""COMPUTED_VALUE"""),"11101-00")</f>
        <v>11101-00</v>
      </c>
      <c r="B19" s="166" t="str">
        <f>IFERROR(__xludf.DUMMYFUNCTION("""COMPUTED_VALUE"""),"Piutang Usaha")</f>
        <v>Piutang Usaha</v>
      </c>
      <c r="C19" s="167" t="str">
        <f t="shared" si="4"/>
        <v>#N/A</v>
      </c>
      <c r="D19" s="167" t="str">
        <f t="shared" si="5"/>
        <v>#N/A</v>
      </c>
    </row>
    <row r="20" ht="15.75" customHeight="1">
      <c r="A20" s="166" t="str">
        <f>IFERROR(__xludf.DUMMYFUNCTION("""COMPUTED_VALUE"""),"12000-00")</f>
        <v>12000-00</v>
      </c>
      <c r="B20" s="166" t="str">
        <f>IFERROR(__xludf.DUMMYFUNCTION("""COMPUTED_VALUE"""),"Other Receivable")</f>
        <v>Other Receivable</v>
      </c>
      <c r="C20" s="167" t="str">
        <f t="shared" si="4"/>
        <v>#N/A</v>
      </c>
      <c r="D20" s="167" t="str">
        <f t="shared" si="5"/>
        <v>#N/A</v>
      </c>
    </row>
    <row r="21" ht="15.75" customHeight="1">
      <c r="A21" s="166" t="str">
        <f>IFERROR(__xludf.DUMMYFUNCTION("""COMPUTED_VALUE"""),"12001-00")</f>
        <v>12001-00</v>
      </c>
      <c r="B21" s="166" t="str">
        <f>IFERROR(__xludf.DUMMYFUNCTION("""COMPUTED_VALUE"""),"Piutang Karyawan")</f>
        <v>Piutang Karyawan</v>
      </c>
      <c r="C21" s="167" t="str">
        <f t="shared" si="4"/>
        <v>#N/A</v>
      </c>
      <c r="D21" s="167" t="str">
        <f t="shared" si="5"/>
        <v>#N/A</v>
      </c>
    </row>
    <row r="22" ht="15.75" customHeight="1">
      <c r="A22" s="166" t="str">
        <f>IFERROR(__xludf.DUMMYFUNCTION("""COMPUTED_VALUE"""),"12002-00")</f>
        <v>12002-00</v>
      </c>
      <c r="B22" s="166" t="str">
        <f>IFERROR(__xludf.DUMMYFUNCTION("""COMPUTED_VALUE"""),"Piutang Lain-Lain")</f>
        <v>Piutang Lain-Lain</v>
      </c>
      <c r="C22" s="167" t="str">
        <f t="shared" si="4"/>
        <v>#N/A</v>
      </c>
      <c r="D22" s="167" t="str">
        <f t="shared" si="5"/>
        <v>#N/A</v>
      </c>
    </row>
    <row r="23" ht="15.75" customHeight="1">
      <c r="A23" s="166" t="str">
        <f>IFERROR(__xludf.DUMMYFUNCTION("""COMPUTED_VALUE"""),"12100-00")</f>
        <v>12100-00</v>
      </c>
      <c r="B23" s="166" t="str">
        <f>IFERROR(__xludf.DUMMYFUNCTION("""COMPUTED_VALUE"""),"Piutang Direksi")</f>
        <v>Piutang Direksi</v>
      </c>
      <c r="C23" s="167" t="str">
        <f t="shared" si="4"/>
        <v>#N/A</v>
      </c>
      <c r="D23" s="167" t="str">
        <f t="shared" si="5"/>
        <v>#N/A</v>
      </c>
    </row>
    <row r="24" ht="15.75" customHeight="1">
      <c r="A24" s="166" t="str">
        <f>IFERROR(__xludf.DUMMYFUNCTION("""COMPUTED_VALUE"""),"13000-00")</f>
        <v>13000-00</v>
      </c>
      <c r="B24" s="166" t="str">
        <f>IFERROR(__xludf.DUMMYFUNCTION("""COMPUTED_VALUE"""),"Persediaan")</f>
        <v>Persediaan</v>
      </c>
      <c r="C24" s="167" t="str">
        <f t="shared" si="4"/>
        <v>#N/A</v>
      </c>
      <c r="D24" s="167" t="str">
        <f t="shared" si="5"/>
        <v>#N/A</v>
      </c>
    </row>
    <row r="25" ht="15.75" customHeight="1">
      <c r="A25" s="163" t="str">
        <f>IFERROR(__xludf.DUMMYFUNCTION("""COMPUTED_VALUE"""),"13001-00")</f>
        <v>13001-00</v>
      </c>
      <c r="B25" s="163" t="str">
        <f>IFERROR(__xludf.DUMMYFUNCTION("""COMPUTED_VALUE"""),"Persediaan Barang Di Site")</f>
        <v>Persediaan Barang Di Site</v>
      </c>
      <c r="C25" s="167" t="str">
        <f t="shared" si="4"/>
        <v>#N/A</v>
      </c>
      <c r="D25" s="167" t="str">
        <f t="shared" si="5"/>
        <v>#N/A</v>
      </c>
    </row>
    <row r="26" ht="15.75" customHeight="1">
      <c r="A26" s="166" t="str">
        <f>IFERROR(__xludf.DUMMYFUNCTION("""COMPUTED_VALUE"""),"13002-00")</f>
        <v>13002-00</v>
      </c>
      <c r="B26" s="166" t="str">
        <f>IFERROR(__xludf.DUMMYFUNCTION("""COMPUTED_VALUE"""),"Persediaan Barang Konsumsi Kantor")</f>
        <v>Persediaan Barang Konsumsi Kantor</v>
      </c>
      <c r="C26" s="167" t="str">
        <f t="shared" si="4"/>
        <v>#N/A</v>
      </c>
      <c r="D26" s="167" t="str">
        <f t="shared" si="5"/>
        <v>#N/A</v>
      </c>
    </row>
    <row r="27" ht="15.75" customHeight="1">
      <c r="A27" s="166" t="str">
        <f>IFERROR(__xludf.DUMMYFUNCTION("""COMPUTED_VALUE"""),"14000-00")</f>
        <v>14000-00</v>
      </c>
      <c r="B27" s="166" t="str">
        <f>IFERROR(__xludf.DUMMYFUNCTION("""COMPUTED_VALUE"""),"Biaya dibayar dimuka")</f>
        <v>Biaya dibayar dimuka</v>
      </c>
      <c r="C27" s="167" t="str">
        <f t="shared" si="4"/>
        <v>#N/A</v>
      </c>
      <c r="D27" s="167" t="str">
        <f t="shared" si="5"/>
        <v>#N/A</v>
      </c>
    </row>
    <row r="28" ht="15.75" customHeight="1">
      <c r="A28" s="166" t="str">
        <f>IFERROR(__xludf.DUMMYFUNCTION("""COMPUTED_VALUE"""),"14001-00")</f>
        <v>14001-00</v>
      </c>
      <c r="B28" s="166" t="str">
        <f>IFERROR(__xludf.DUMMYFUNCTION("""COMPUTED_VALUE"""),"Sewa dibayar dimuka")</f>
        <v>Sewa dibayar dimuka</v>
      </c>
      <c r="C28" s="167" t="str">
        <f t="shared" si="4"/>
        <v>#N/A</v>
      </c>
      <c r="D28" s="167" t="str">
        <f t="shared" si="5"/>
        <v>#N/A</v>
      </c>
    </row>
    <row r="29" ht="15.75" customHeight="1">
      <c r="A29" s="166" t="str">
        <f>IFERROR(__xludf.DUMMYFUNCTION("""COMPUTED_VALUE"""),"14002-00")</f>
        <v>14002-00</v>
      </c>
      <c r="B29" s="166" t="str">
        <f>IFERROR(__xludf.DUMMYFUNCTION("""COMPUTED_VALUE"""),"Uang Muka Pembelian")</f>
        <v>Uang Muka Pembelian</v>
      </c>
      <c r="C29" s="167" t="str">
        <f t="shared" si="4"/>
        <v>#N/A</v>
      </c>
      <c r="D29" s="167" t="str">
        <f t="shared" si="5"/>
        <v>#N/A</v>
      </c>
    </row>
    <row r="30" ht="15.75" customHeight="1">
      <c r="A30" s="166" t="str">
        <f>IFERROR(__xludf.DUMMYFUNCTION("""COMPUTED_VALUE"""),"14003-00")</f>
        <v>14003-00</v>
      </c>
      <c r="B30" s="166" t="str">
        <f>IFERROR(__xludf.DUMMYFUNCTION("""COMPUTED_VALUE"""),"Uang Muka Project")</f>
        <v>Uang Muka Project</v>
      </c>
      <c r="C30" s="167" t="str">
        <f t="shared" si="4"/>
        <v>#N/A</v>
      </c>
      <c r="D30" s="167" t="str">
        <f t="shared" si="5"/>
        <v>#N/A</v>
      </c>
    </row>
    <row r="31" ht="15.75" customHeight="1">
      <c r="A31" s="166" t="str">
        <f>IFERROR(__xludf.DUMMYFUNCTION("""COMPUTED_VALUE"""),"14100-00")</f>
        <v>14100-00</v>
      </c>
      <c r="B31" s="166" t="str">
        <f>IFERROR(__xludf.DUMMYFUNCTION("""COMPUTED_VALUE"""),"Uang Muka Pajak - PPh 22")</f>
        <v>Uang Muka Pajak - PPh 22</v>
      </c>
      <c r="C31" s="167" t="str">
        <f t="shared" si="4"/>
        <v>#N/A</v>
      </c>
      <c r="D31" s="167" t="str">
        <f t="shared" si="5"/>
        <v>#N/A</v>
      </c>
    </row>
    <row r="32" ht="15.75" customHeight="1">
      <c r="A32" s="166" t="str">
        <f>IFERROR(__xludf.DUMMYFUNCTION("""COMPUTED_VALUE"""),"14200-00")</f>
        <v>14200-00</v>
      </c>
      <c r="B32" s="166" t="str">
        <f>IFERROR(__xludf.DUMMYFUNCTION("""COMPUTED_VALUE"""),"Uang Muka Pajak - PPh 23")</f>
        <v>Uang Muka Pajak - PPh 23</v>
      </c>
      <c r="C32" s="167" t="str">
        <f t="shared" si="4"/>
        <v>#N/A</v>
      </c>
      <c r="D32" s="167" t="str">
        <f t="shared" si="5"/>
        <v>#N/A</v>
      </c>
    </row>
    <row r="33" ht="15.75" customHeight="1">
      <c r="A33" s="166" t="str">
        <f>IFERROR(__xludf.DUMMYFUNCTION("""COMPUTED_VALUE"""),"14300-00")</f>
        <v>14300-00</v>
      </c>
      <c r="B33" s="166" t="str">
        <f>IFERROR(__xludf.DUMMYFUNCTION("""COMPUTED_VALUE"""),"Uang Muka Pajak - PPh 25")</f>
        <v>Uang Muka Pajak - PPh 25</v>
      </c>
      <c r="C33" s="167" t="str">
        <f t="shared" si="4"/>
        <v>#N/A</v>
      </c>
      <c r="D33" s="167" t="str">
        <f t="shared" si="5"/>
        <v>#N/A</v>
      </c>
    </row>
    <row r="34" ht="15.75" customHeight="1">
      <c r="A34" s="166" t="str">
        <f>IFERROR(__xludf.DUMMYFUNCTION("""COMPUTED_VALUE"""),"14400-00")</f>
        <v>14400-00</v>
      </c>
      <c r="B34" s="166" t="str">
        <f>IFERROR(__xludf.DUMMYFUNCTION("""COMPUTED_VALUE"""),"Uang Muka Pajak - PPh 21")</f>
        <v>Uang Muka Pajak - PPh 21</v>
      </c>
      <c r="C34" s="167" t="str">
        <f t="shared" si="4"/>
        <v>#N/A</v>
      </c>
      <c r="D34" s="167" t="str">
        <f t="shared" si="5"/>
        <v>#N/A</v>
      </c>
    </row>
    <row r="35" ht="15.75" customHeight="1">
      <c r="A35" s="166" t="str">
        <f>IFERROR(__xludf.DUMMYFUNCTION("""COMPUTED_VALUE"""),"14500-00")</f>
        <v>14500-00</v>
      </c>
      <c r="B35" s="166" t="str">
        <f>IFERROR(__xludf.DUMMYFUNCTION("""COMPUTED_VALUE"""),"Uang Muka Pajak - PPN Masukan")</f>
        <v>Uang Muka Pajak - PPN Masukan</v>
      </c>
      <c r="C35" s="167" t="str">
        <f t="shared" si="4"/>
        <v>#N/A</v>
      </c>
      <c r="D35" s="167" t="str">
        <f t="shared" si="5"/>
        <v>#N/A</v>
      </c>
    </row>
    <row r="36" ht="15.75" customHeight="1">
      <c r="A36" s="166" t="str">
        <f>IFERROR(__xludf.DUMMYFUNCTION("""COMPUTED_VALUE"""),"15000-00")</f>
        <v>15000-00</v>
      </c>
      <c r="B36" s="166" t="str">
        <f>IFERROR(__xludf.DUMMYFUNCTION("""COMPUTED_VALUE"""),"Fixed Asset")</f>
        <v>Fixed Asset</v>
      </c>
      <c r="C36" s="167" t="str">
        <f t="shared" si="4"/>
        <v>#N/A</v>
      </c>
      <c r="D36" s="167" t="str">
        <f t="shared" si="5"/>
        <v>#N/A</v>
      </c>
    </row>
    <row r="37" ht="15.75" customHeight="1">
      <c r="A37" s="166" t="str">
        <f>IFERROR(__xludf.DUMMYFUNCTION("""COMPUTED_VALUE"""),"15100-00")</f>
        <v>15100-00</v>
      </c>
      <c r="B37" s="166" t="str">
        <f>IFERROR(__xludf.DUMMYFUNCTION("""COMPUTED_VALUE"""),"Tanah")</f>
        <v>Tanah</v>
      </c>
      <c r="C37" s="167" t="str">
        <f t="shared" si="4"/>
        <v>#N/A</v>
      </c>
      <c r="D37" s="167" t="str">
        <f t="shared" si="5"/>
        <v>#N/A</v>
      </c>
    </row>
    <row r="38" ht="15.75" customHeight="1">
      <c r="A38" s="166" t="str">
        <f>IFERROR(__xludf.DUMMYFUNCTION("""COMPUTED_VALUE"""),"15200-00")</f>
        <v>15200-00</v>
      </c>
      <c r="B38" s="166" t="str">
        <f>IFERROR(__xludf.DUMMYFUNCTION("""COMPUTED_VALUE"""),"Bangunan")</f>
        <v>Bangunan</v>
      </c>
      <c r="C38" s="167" t="str">
        <f t="shared" si="4"/>
        <v>#N/A</v>
      </c>
      <c r="D38" s="167" t="str">
        <f t="shared" si="5"/>
        <v>#N/A</v>
      </c>
    </row>
    <row r="39" ht="15.75" customHeight="1">
      <c r="A39" s="166" t="str">
        <f>IFERROR(__xludf.DUMMYFUNCTION("""COMPUTED_VALUE"""),"15300-00")</f>
        <v>15300-00</v>
      </c>
      <c r="B39" s="166" t="str">
        <f>IFERROR(__xludf.DUMMYFUNCTION("""COMPUTED_VALUE"""),"Kendaraan")</f>
        <v>Kendaraan</v>
      </c>
      <c r="C39" s="167" t="str">
        <f t="shared" si="4"/>
        <v>#N/A</v>
      </c>
      <c r="D39" s="167" t="str">
        <f t="shared" si="5"/>
        <v>#N/A</v>
      </c>
    </row>
    <row r="40" ht="15.75" customHeight="1">
      <c r="A40" s="166" t="str">
        <f>IFERROR(__xludf.DUMMYFUNCTION("""COMPUTED_VALUE"""),"15400-00")</f>
        <v>15400-00</v>
      </c>
      <c r="B40" s="166" t="str">
        <f>IFERROR(__xludf.DUMMYFUNCTION("""COMPUTED_VALUE"""),"Inventaris Kantor")</f>
        <v>Inventaris Kantor</v>
      </c>
      <c r="C40" s="167" t="str">
        <f t="shared" si="4"/>
        <v>#N/A</v>
      </c>
      <c r="D40" s="167" t="str">
        <f t="shared" si="5"/>
        <v>#N/A</v>
      </c>
    </row>
    <row r="41" ht="15.75" customHeight="1">
      <c r="A41" s="166" t="str">
        <f>IFERROR(__xludf.DUMMYFUNCTION("""COMPUTED_VALUE"""),"15500-00")</f>
        <v>15500-00</v>
      </c>
      <c r="B41" s="166" t="str">
        <f>IFERROR(__xludf.DUMMYFUNCTION("""COMPUTED_VALUE"""),"Perlengkapan Kantor")</f>
        <v>Perlengkapan Kantor</v>
      </c>
      <c r="C41" s="167" t="str">
        <f t="shared" si="4"/>
        <v>#N/A</v>
      </c>
      <c r="D41" s="167" t="str">
        <f t="shared" si="5"/>
        <v>#N/A</v>
      </c>
    </row>
    <row r="42" ht="15.75" customHeight="1">
      <c r="A42" s="166" t="str">
        <f>IFERROR(__xludf.DUMMYFUNCTION("""COMPUTED_VALUE"""),"16000-00")</f>
        <v>16000-00</v>
      </c>
      <c r="B42" s="166" t="str">
        <f>IFERROR(__xludf.DUMMYFUNCTION("""COMPUTED_VALUE"""),"Ac. Depreciation")</f>
        <v>Ac. Depreciation</v>
      </c>
      <c r="C42" s="167" t="str">
        <f t="shared" si="4"/>
        <v>#N/A</v>
      </c>
      <c r="D42" s="167" t="str">
        <f t="shared" si="5"/>
        <v>#N/A</v>
      </c>
    </row>
    <row r="43" ht="15.75" customHeight="1">
      <c r="A43" s="166" t="str">
        <f>IFERROR(__xludf.DUMMYFUNCTION("""COMPUTED_VALUE"""),"16200-00")</f>
        <v>16200-00</v>
      </c>
      <c r="B43" s="166" t="str">
        <f>IFERROR(__xludf.DUMMYFUNCTION("""COMPUTED_VALUE"""),"AK Penyusutan Bangunan")</f>
        <v>AK Penyusutan Bangunan</v>
      </c>
      <c r="C43" s="167" t="str">
        <f t="shared" si="4"/>
        <v>#N/A</v>
      </c>
      <c r="D43" s="167" t="str">
        <f t="shared" si="5"/>
        <v>#N/A</v>
      </c>
    </row>
    <row r="44" ht="15.75" customHeight="1">
      <c r="A44" s="166" t="str">
        <f>IFERROR(__xludf.DUMMYFUNCTION("""COMPUTED_VALUE"""),"16300-00")</f>
        <v>16300-00</v>
      </c>
      <c r="B44" s="166" t="str">
        <f>IFERROR(__xludf.DUMMYFUNCTION("""COMPUTED_VALUE"""),"AK Penyusutan Kendaraan")</f>
        <v>AK Penyusutan Kendaraan</v>
      </c>
      <c r="C44" s="167" t="str">
        <f t="shared" si="4"/>
        <v>#N/A</v>
      </c>
      <c r="D44" s="167" t="str">
        <f t="shared" si="5"/>
        <v>#N/A</v>
      </c>
    </row>
    <row r="45" ht="15.75" customHeight="1">
      <c r="A45" s="166" t="str">
        <f>IFERROR(__xludf.DUMMYFUNCTION("""COMPUTED_VALUE"""),"16400-00")</f>
        <v>16400-00</v>
      </c>
      <c r="B45" s="166" t="str">
        <f>IFERROR(__xludf.DUMMYFUNCTION("""COMPUTED_VALUE"""),"AK Penyusutan Inventaris")</f>
        <v>AK Penyusutan Inventaris</v>
      </c>
      <c r="C45" s="167" t="str">
        <f t="shared" si="4"/>
        <v>#N/A</v>
      </c>
      <c r="D45" s="167" t="str">
        <f t="shared" si="5"/>
        <v>#N/A</v>
      </c>
    </row>
    <row r="46" ht="15.75" customHeight="1">
      <c r="A46" s="166" t="str">
        <f>IFERROR(__xludf.DUMMYFUNCTION("""COMPUTED_VALUE"""),"16500-00")</f>
        <v>16500-00</v>
      </c>
      <c r="B46" s="166" t="str">
        <f>IFERROR(__xludf.DUMMYFUNCTION("""COMPUTED_VALUE"""),"AK Penyusutan Perlengkapan")</f>
        <v>AK Penyusutan Perlengkapan</v>
      </c>
      <c r="C46" s="167" t="str">
        <f t="shared" si="4"/>
        <v>#N/A</v>
      </c>
      <c r="D46" s="167" t="str">
        <f t="shared" si="5"/>
        <v>#N/A</v>
      </c>
    </row>
    <row r="47" ht="15.75" customHeight="1">
      <c r="A47" s="166" t="str">
        <f>IFERROR(__xludf.DUMMYFUNCTION("""COMPUTED_VALUE"""),"19000-00")</f>
        <v>19000-00</v>
      </c>
      <c r="B47" s="166" t="str">
        <f>IFERROR(__xludf.DUMMYFUNCTION("""COMPUTED_VALUE"""),"Others Assets")</f>
        <v>Others Assets</v>
      </c>
      <c r="C47" s="167" t="str">
        <f t="shared" si="4"/>
        <v>#N/A</v>
      </c>
      <c r="D47" s="167" t="str">
        <f t="shared" si="5"/>
        <v>#N/A</v>
      </c>
    </row>
    <row r="48" ht="15.75" customHeight="1">
      <c r="A48" s="166" t="str">
        <f>IFERROR(__xludf.DUMMYFUNCTION("""COMPUTED_VALUE"""),"19010-00")</f>
        <v>19010-00</v>
      </c>
      <c r="B48" s="166" t="str">
        <f>IFERROR(__xludf.DUMMYFUNCTION("""COMPUTED_VALUE"""),"Investment")</f>
        <v>Investment</v>
      </c>
      <c r="C48" s="167" t="str">
        <f t="shared" si="4"/>
        <v>#N/A</v>
      </c>
      <c r="D48" s="167" t="str">
        <f t="shared" si="5"/>
        <v>#N/A</v>
      </c>
    </row>
    <row r="49" ht="15.75" customHeight="1">
      <c r="A49" s="166" t="str">
        <f>IFERROR(__xludf.DUMMYFUNCTION("""COMPUTED_VALUE"""),"19020-00")</f>
        <v>19020-00</v>
      </c>
      <c r="B49" s="166" t="str">
        <f>IFERROR(__xludf.DUMMYFUNCTION("""COMPUTED_VALUE"""),"Deposit")</f>
        <v>Deposit</v>
      </c>
      <c r="C49" s="167" t="str">
        <f t="shared" si="4"/>
        <v>#N/A</v>
      </c>
      <c r="D49" s="167" t="str">
        <f t="shared" si="5"/>
        <v>#N/A</v>
      </c>
    </row>
    <row r="50" ht="15.75" customHeight="1">
      <c r="A50" s="163" t="str">
        <f>IFERROR(__xludf.DUMMYFUNCTION("""COMPUTED_VALUE"""),"20000-00")</f>
        <v>20000-00</v>
      </c>
      <c r="B50" s="163" t="str">
        <f>IFERROR(__xludf.DUMMYFUNCTION("""COMPUTED_VALUE"""),"AP Trade")</f>
        <v>AP Trade</v>
      </c>
      <c r="C50" s="167" t="str">
        <f t="shared" si="4"/>
        <v>#N/A</v>
      </c>
      <c r="D50" s="167" t="str">
        <f t="shared" si="5"/>
        <v>#N/A</v>
      </c>
    </row>
    <row r="51" ht="15.75" customHeight="1">
      <c r="A51" s="166" t="str">
        <f>IFERROR(__xludf.DUMMYFUNCTION("""COMPUTED_VALUE"""),"20101-00")</f>
        <v>20101-00</v>
      </c>
      <c r="B51" s="166" t="str">
        <f>IFERROR(__xludf.DUMMYFUNCTION("""COMPUTED_VALUE"""),"Hutang Usaha")</f>
        <v>Hutang Usaha</v>
      </c>
      <c r="C51" s="167" t="str">
        <f t="shared" si="4"/>
        <v>#N/A</v>
      </c>
      <c r="D51" s="167" t="str">
        <f t="shared" si="5"/>
        <v>#N/A</v>
      </c>
    </row>
    <row r="52" ht="15.75" customHeight="1">
      <c r="A52" s="166" t="str">
        <f>IFERROR(__xludf.DUMMYFUNCTION("""COMPUTED_VALUE"""),"20200-00")</f>
        <v>20200-00</v>
      </c>
      <c r="B52" s="166" t="str">
        <f>IFERROR(__xludf.DUMMYFUNCTION("""COMPUTED_VALUE"""),"Hutang kepada Pemegang Saham")</f>
        <v>Hutang kepada Pemegang Saham</v>
      </c>
      <c r="C52" s="167" t="str">
        <f t="shared" si="4"/>
        <v>#N/A</v>
      </c>
      <c r="D52" s="167" t="str">
        <f t="shared" si="5"/>
        <v>#N/A</v>
      </c>
    </row>
    <row r="53" ht="15.75" customHeight="1">
      <c r="A53" s="166" t="str">
        <f>IFERROR(__xludf.DUMMYFUNCTION("""COMPUTED_VALUE"""),"20510-00")</f>
        <v>20510-00</v>
      </c>
      <c r="B53" s="166" t="str">
        <f>IFERROR(__xludf.DUMMYFUNCTION("""COMPUTED_VALUE"""),"Customer Deposit")</f>
        <v>Customer Deposit</v>
      </c>
      <c r="C53" s="167" t="str">
        <f t="shared" si="4"/>
        <v>#N/A</v>
      </c>
      <c r="D53" s="167" t="str">
        <f t="shared" si="5"/>
        <v>#N/A</v>
      </c>
    </row>
    <row r="54" ht="15.75" customHeight="1">
      <c r="A54" s="166" t="str">
        <f>IFERROR(__xludf.DUMMYFUNCTION("""COMPUTED_VALUE"""),"20520-00")</f>
        <v>20520-00</v>
      </c>
      <c r="B54" s="166" t="str">
        <f>IFERROR(__xludf.DUMMYFUNCTION("""COMPUTED_VALUE"""),"Hutang lain lain")</f>
        <v>Hutang lain lain</v>
      </c>
      <c r="C54" s="167" t="str">
        <f t="shared" si="4"/>
        <v>#N/A</v>
      </c>
      <c r="D54" s="167" t="str">
        <f t="shared" si="5"/>
        <v>#N/A</v>
      </c>
    </row>
    <row r="55" ht="15.75" customHeight="1">
      <c r="A55" s="163" t="str">
        <f>IFERROR(__xludf.DUMMYFUNCTION("""COMPUTED_VALUE"""),"21500-00")</f>
        <v>21500-00</v>
      </c>
      <c r="B55" s="163" t="str">
        <f>IFERROR(__xludf.DUMMYFUNCTION("""COMPUTED_VALUE"""),"Hutang Bank")</f>
        <v>Hutang Bank</v>
      </c>
      <c r="C55" s="167" t="str">
        <f t="shared" si="4"/>
        <v>#N/A</v>
      </c>
      <c r="D55" s="167" t="str">
        <f t="shared" si="5"/>
        <v>#N/A</v>
      </c>
    </row>
    <row r="56" ht="15.75" customHeight="1">
      <c r="A56" s="163" t="str">
        <f>IFERROR(__xludf.DUMMYFUNCTION("""COMPUTED_VALUE"""),"22000-00")</f>
        <v>22000-00</v>
      </c>
      <c r="B56" s="163" t="str">
        <f>IFERROR(__xludf.DUMMYFUNCTION("""COMPUTED_VALUE"""),"AP Tax")</f>
        <v>AP Tax</v>
      </c>
      <c r="C56" s="167" t="str">
        <f t="shared" si="4"/>
        <v>#N/A</v>
      </c>
      <c r="D56" s="167" t="str">
        <f t="shared" si="5"/>
        <v>#N/A</v>
      </c>
    </row>
    <row r="57" ht="15.75" customHeight="1">
      <c r="A57" s="166" t="str">
        <f>IFERROR(__xludf.DUMMYFUNCTION("""COMPUTED_VALUE"""),"22101-00")</f>
        <v>22101-00</v>
      </c>
      <c r="B57" s="166" t="str">
        <f>IFERROR(__xludf.DUMMYFUNCTION("""COMPUTED_VALUE"""),"Hutang PPN")</f>
        <v>Hutang PPN</v>
      </c>
      <c r="C57" s="167" t="str">
        <f t="shared" si="4"/>
        <v>#N/A</v>
      </c>
      <c r="D57" s="167" t="str">
        <f t="shared" si="5"/>
        <v>#N/A</v>
      </c>
    </row>
    <row r="58" ht="15.75" customHeight="1">
      <c r="A58" s="166" t="str">
        <f>IFERROR(__xludf.DUMMYFUNCTION("""COMPUTED_VALUE"""),"22102-00")</f>
        <v>22102-00</v>
      </c>
      <c r="B58" s="166" t="str">
        <f>IFERROR(__xludf.DUMMYFUNCTION("""COMPUTED_VALUE"""),"WHT Payable Art 21")</f>
        <v>WHT Payable Art 21</v>
      </c>
      <c r="C58" s="167" t="str">
        <f t="shared" si="4"/>
        <v>#N/A</v>
      </c>
      <c r="D58" s="167" t="str">
        <f t="shared" si="5"/>
        <v>#N/A</v>
      </c>
    </row>
    <row r="59" ht="15.75" customHeight="1">
      <c r="A59" s="166" t="str">
        <f>IFERROR(__xludf.DUMMYFUNCTION("""COMPUTED_VALUE"""),"22103-00")</f>
        <v>22103-00</v>
      </c>
      <c r="B59" s="166" t="str">
        <f>IFERROR(__xludf.DUMMYFUNCTION("""COMPUTED_VALUE"""),"WHT Payable Art 23")</f>
        <v>WHT Payable Art 23</v>
      </c>
      <c r="C59" s="167" t="str">
        <f t="shared" si="4"/>
        <v>#N/A</v>
      </c>
      <c r="D59" s="167" t="str">
        <f t="shared" si="5"/>
        <v>#N/A</v>
      </c>
    </row>
    <row r="60" ht="15.75" customHeight="1">
      <c r="A60" s="166" t="str">
        <f>IFERROR(__xludf.DUMMYFUNCTION("""COMPUTED_VALUE"""),"22104-00")</f>
        <v>22104-00</v>
      </c>
      <c r="B60" s="166" t="str">
        <f>IFERROR(__xludf.DUMMYFUNCTION("""COMPUTED_VALUE"""),"WHT Payable Art 4 Parg 2")</f>
        <v>WHT Payable Art 4 Parg 2</v>
      </c>
      <c r="C60" s="167" t="str">
        <f t="shared" si="4"/>
        <v>#N/A</v>
      </c>
      <c r="D60" s="167" t="str">
        <f t="shared" si="5"/>
        <v>#N/A</v>
      </c>
    </row>
    <row r="61" ht="15.75" customHeight="1">
      <c r="A61" s="166" t="str">
        <f>IFERROR(__xludf.DUMMYFUNCTION("""COMPUTED_VALUE"""),"22105-00")</f>
        <v>22105-00</v>
      </c>
      <c r="B61" s="166" t="str">
        <f>IFERROR(__xludf.DUMMYFUNCTION("""COMPUTED_VALUE"""),"WHT Payable Final Income Tax")</f>
        <v>WHT Payable Final Income Tax</v>
      </c>
      <c r="C61" s="167" t="str">
        <f t="shared" si="4"/>
        <v>#N/A</v>
      </c>
      <c r="D61" s="167" t="str">
        <f t="shared" si="5"/>
        <v>#N/A</v>
      </c>
    </row>
    <row r="62" ht="15.75" customHeight="1">
      <c r="A62" s="166" t="str">
        <f>IFERROR(__xludf.DUMMYFUNCTION("""COMPUTED_VALUE"""),"22106-00")</f>
        <v>22106-00</v>
      </c>
      <c r="B62" s="166" t="str">
        <f>IFERROR(__xludf.DUMMYFUNCTION("""COMPUTED_VALUE"""),"WHT Payable Art 26")</f>
        <v>WHT Payable Art 26</v>
      </c>
      <c r="C62" s="167" t="str">
        <f t="shared" si="4"/>
        <v>#N/A</v>
      </c>
      <c r="D62" s="167" t="str">
        <f t="shared" si="5"/>
        <v>#N/A</v>
      </c>
    </row>
    <row r="63" ht="15.75" customHeight="1">
      <c r="A63" s="166" t="str">
        <f>IFERROR(__xludf.DUMMYFUNCTION("""COMPUTED_VALUE"""),"22107-00")</f>
        <v>22107-00</v>
      </c>
      <c r="B63" s="166" t="str">
        <f>IFERROR(__xludf.DUMMYFUNCTION("""COMPUTED_VALUE"""),"WHT Payable Art 25")</f>
        <v>WHT Payable Art 25</v>
      </c>
      <c r="C63" s="167" t="str">
        <f t="shared" si="4"/>
        <v>#N/A</v>
      </c>
      <c r="D63" s="167" t="str">
        <f t="shared" si="5"/>
        <v>#N/A</v>
      </c>
    </row>
    <row r="64" ht="15.75" customHeight="1">
      <c r="A64" s="166" t="str">
        <f>IFERROR(__xludf.DUMMYFUNCTION("""COMPUTED_VALUE"""),"22108-00")</f>
        <v>22108-00</v>
      </c>
      <c r="B64" s="166" t="str">
        <f>IFERROR(__xludf.DUMMYFUNCTION("""COMPUTED_VALUE"""),"WHT Payable Art 29")</f>
        <v>WHT Payable Art 29</v>
      </c>
      <c r="C64" s="167" t="str">
        <f t="shared" si="4"/>
        <v>#N/A</v>
      </c>
      <c r="D64" s="167" t="str">
        <f t="shared" si="5"/>
        <v>#N/A</v>
      </c>
    </row>
    <row r="65" ht="15.75" customHeight="1">
      <c r="A65" s="166"/>
      <c r="B65" s="166"/>
      <c r="C65" s="167" t="str">
        <f t="shared" si="4"/>
        <v>#N/A</v>
      </c>
      <c r="D65" s="167" t="str">
        <f t="shared" si="5"/>
        <v>#N/A</v>
      </c>
    </row>
    <row r="66" ht="15.75" customHeight="1">
      <c r="A66" s="166"/>
      <c r="B66" s="166"/>
      <c r="C66" s="167" t="str">
        <f t="shared" si="4"/>
        <v>#N/A</v>
      </c>
      <c r="D66" s="167" t="str">
        <f t="shared" si="5"/>
        <v>#N/A</v>
      </c>
    </row>
    <row r="67" ht="15.75" customHeight="1">
      <c r="A67" s="166" t="str">
        <f>IFERROR(__xludf.DUMMYFUNCTION("""COMPUTED_VALUE"""),"23000-00")</f>
        <v>23000-00</v>
      </c>
      <c r="B67" s="166" t="str">
        <f>IFERROR(__xludf.DUMMYFUNCTION("""COMPUTED_VALUE"""),"Accruals")</f>
        <v>Accruals</v>
      </c>
      <c r="C67" s="167" t="str">
        <f t="shared" si="4"/>
        <v>#N/A</v>
      </c>
      <c r="D67" s="167" t="str">
        <f t="shared" si="5"/>
        <v>#N/A</v>
      </c>
    </row>
    <row r="68" ht="15.75" customHeight="1">
      <c r="A68" s="166" t="str">
        <f>IFERROR(__xludf.DUMMYFUNCTION("""COMPUTED_VALUE"""),"23001-00")</f>
        <v>23001-00</v>
      </c>
      <c r="B68" s="166" t="str">
        <f>IFERROR(__xludf.DUMMYFUNCTION("""COMPUTED_VALUE"""),"Accrued Gaji")</f>
        <v>Accrued Gaji</v>
      </c>
      <c r="C68" s="167" t="str">
        <f t="shared" si="4"/>
        <v>#N/A</v>
      </c>
      <c r="D68" s="167" t="str">
        <f t="shared" si="5"/>
        <v>#N/A</v>
      </c>
    </row>
    <row r="69" ht="15.75" customHeight="1">
      <c r="A69" s="166" t="str">
        <f>IFERROR(__xludf.DUMMYFUNCTION("""COMPUTED_VALUE"""),"23002-00")</f>
        <v>23002-00</v>
      </c>
      <c r="B69" s="166" t="str">
        <f>IFERROR(__xludf.DUMMYFUNCTION("""COMPUTED_VALUE"""),"Accrued Listrik")</f>
        <v>Accrued Listrik</v>
      </c>
      <c r="C69" s="167" t="str">
        <f t="shared" si="4"/>
        <v>#N/A</v>
      </c>
      <c r="D69" s="167" t="str">
        <f t="shared" si="5"/>
        <v>#N/A</v>
      </c>
    </row>
    <row r="70" ht="15.75" customHeight="1">
      <c r="A70" s="166" t="str">
        <f>IFERROR(__xludf.DUMMYFUNCTION("""COMPUTED_VALUE"""),"30000-00")</f>
        <v>30000-00</v>
      </c>
      <c r="B70" s="166" t="str">
        <f>IFERROR(__xludf.DUMMYFUNCTION("""COMPUTED_VALUE"""),"Equity")</f>
        <v>Equity</v>
      </c>
      <c r="C70" s="167" t="str">
        <f t="shared" si="4"/>
        <v>#N/A</v>
      </c>
      <c r="D70" s="167" t="str">
        <f t="shared" si="5"/>
        <v>#N/A</v>
      </c>
    </row>
    <row r="71" ht="15.75" customHeight="1">
      <c r="A71" s="166" t="str">
        <f>IFERROR(__xludf.DUMMYFUNCTION("""COMPUTED_VALUE"""),"30010-00")</f>
        <v>30010-00</v>
      </c>
      <c r="B71" s="166" t="str">
        <f>IFERROR(__xludf.DUMMYFUNCTION("""COMPUTED_VALUE"""),"Setoran Modal Romy Syaf Putra")</f>
        <v>Setoran Modal Romy Syaf Putra</v>
      </c>
      <c r="C71" s="167" t="str">
        <f t="shared" si="4"/>
        <v>#N/A</v>
      </c>
      <c r="D71" s="167" t="str">
        <f t="shared" si="5"/>
        <v>#N/A</v>
      </c>
    </row>
    <row r="72" ht="15.75" customHeight="1">
      <c r="A72" s="166" t="str">
        <f>IFERROR(__xludf.DUMMYFUNCTION("""COMPUTED_VALUE"""),"30020-00")</f>
        <v>30020-00</v>
      </c>
      <c r="B72" s="166" t="str">
        <f>IFERROR(__xludf.DUMMYFUNCTION("""COMPUTED_VALUE"""),"Setoran Modal Harun Alrasyid")</f>
        <v>Setoran Modal Harun Alrasyid</v>
      </c>
      <c r="C72" s="167" t="str">
        <f t="shared" si="4"/>
        <v>#N/A</v>
      </c>
      <c r="D72" s="167" t="str">
        <f t="shared" si="5"/>
        <v>#N/A</v>
      </c>
    </row>
    <row r="73" ht="15.75" customHeight="1">
      <c r="A73" s="166" t="str">
        <f>IFERROR(__xludf.DUMMYFUNCTION("""COMPUTED_VALUE"""),"32000-00")</f>
        <v>32000-00</v>
      </c>
      <c r="B73" s="166" t="str">
        <f>IFERROR(__xludf.DUMMYFUNCTION("""COMPUTED_VALUE"""),"Dividen Paid")</f>
        <v>Dividen Paid</v>
      </c>
      <c r="C73" s="167" t="str">
        <f t="shared" si="4"/>
        <v>#N/A</v>
      </c>
      <c r="D73" s="167" t="str">
        <f t="shared" si="5"/>
        <v>#N/A</v>
      </c>
    </row>
    <row r="74" ht="15.75" customHeight="1">
      <c r="A74" s="166" t="str">
        <f>IFERROR(__xludf.DUMMYFUNCTION("""COMPUTED_VALUE"""),"35000-00")</f>
        <v>35000-00</v>
      </c>
      <c r="B74" s="166" t="str">
        <f>IFERROR(__xludf.DUMMYFUNCTION("""COMPUTED_VALUE"""),"Retained Earning")</f>
        <v>Retained Earning</v>
      </c>
      <c r="C74" s="167" t="str">
        <f t="shared" si="4"/>
        <v>#N/A</v>
      </c>
      <c r="D74" s="167" t="str">
        <f t="shared" si="5"/>
        <v>#N/A</v>
      </c>
    </row>
    <row r="75" ht="15.75" customHeight="1">
      <c r="A75" s="166"/>
      <c r="B75" s="166"/>
      <c r="C75" s="167" t="str">
        <f t="shared" si="4"/>
        <v>#N/A</v>
      </c>
      <c r="D75" s="167" t="str">
        <f t="shared" si="5"/>
        <v>#N/A</v>
      </c>
    </row>
    <row r="76" ht="15.75" customHeight="1">
      <c r="A76" s="166" t="str">
        <f>IFERROR(__xludf.DUMMYFUNCTION("""COMPUTED_VALUE"""),"40010-00")</f>
        <v>40010-00</v>
      </c>
      <c r="B76" s="166" t="str">
        <f>IFERROR(__xludf.DUMMYFUNCTION("""COMPUTED_VALUE"""),"Revenue")</f>
        <v>Revenue</v>
      </c>
      <c r="C76" s="167" t="str">
        <f t="shared" si="4"/>
        <v>#N/A</v>
      </c>
      <c r="D76" s="167" t="str">
        <f t="shared" si="5"/>
        <v>#N/A</v>
      </c>
    </row>
    <row r="77" ht="15.75" customHeight="1">
      <c r="A77" s="163" t="str">
        <f>IFERROR(__xludf.DUMMYFUNCTION("""COMPUTED_VALUE"""),"40020-00")</f>
        <v>40020-00</v>
      </c>
      <c r="B77" s="163" t="str">
        <f>IFERROR(__xludf.DUMMYFUNCTION("""COMPUTED_VALUE"""),"Sales Project")</f>
        <v>Sales Project</v>
      </c>
      <c r="C77" s="167" t="str">
        <f t="shared" si="4"/>
        <v>#N/A</v>
      </c>
      <c r="D77" s="167" t="str">
        <f t="shared" si="5"/>
        <v>#N/A</v>
      </c>
    </row>
    <row r="78" ht="15.75" customHeight="1">
      <c r="A78" s="166" t="str">
        <f>IFERROR(__xludf.DUMMYFUNCTION("""COMPUTED_VALUE"""),"40030-00")</f>
        <v>40030-00</v>
      </c>
      <c r="B78" s="166" t="str">
        <f>IFERROR(__xludf.DUMMYFUNCTION("""COMPUTED_VALUE"""),"Pendapatan Jasa")</f>
        <v>Pendapatan Jasa</v>
      </c>
      <c r="C78" s="167" t="str">
        <f t="shared" si="4"/>
        <v>#N/A</v>
      </c>
      <c r="D78" s="167" t="str">
        <f t="shared" si="5"/>
        <v>#N/A</v>
      </c>
    </row>
    <row r="79" ht="15.75" customHeight="1">
      <c r="A79" s="166" t="str">
        <f>IFERROR(__xludf.DUMMYFUNCTION("""COMPUTED_VALUE"""),"40040-00")</f>
        <v>40040-00</v>
      </c>
      <c r="B79" s="166" t="str">
        <f>IFERROR(__xludf.DUMMYFUNCTION("""COMPUTED_VALUE"""),"Pendapatan Alkes")</f>
        <v>Pendapatan Alkes</v>
      </c>
      <c r="C79" s="167" t="str">
        <f t="shared" si="4"/>
        <v>#N/A</v>
      </c>
      <c r="D79" s="167" t="str">
        <f t="shared" si="5"/>
        <v>#N/A</v>
      </c>
    </row>
    <row r="80" ht="15.75" customHeight="1">
      <c r="A80" s="166" t="str">
        <f>IFERROR(__xludf.DUMMYFUNCTION("""COMPUTED_VALUE"""),"45100-00")</f>
        <v>45100-00</v>
      </c>
      <c r="B80" s="166" t="str">
        <f>IFERROR(__xludf.DUMMYFUNCTION("""COMPUTED_VALUE"""),"Sales discount")</f>
        <v>Sales discount</v>
      </c>
      <c r="C80" s="167" t="str">
        <f t="shared" si="4"/>
        <v>#N/A</v>
      </c>
      <c r="D80" s="167" t="str">
        <f t="shared" si="5"/>
        <v>#N/A</v>
      </c>
    </row>
    <row r="81" ht="15.75" customHeight="1">
      <c r="A81" s="166"/>
      <c r="B81" s="166"/>
      <c r="C81" s="167" t="str">
        <f t="shared" si="4"/>
        <v>#N/A</v>
      </c>
      <c r="D81" s="167" t="str">
        <f t="shared" si="5"/>
        <v>#N/A</v>
      </c>
    </row>
    <row r="82" ht="15.75" customHeight="1">
      <c r="A82" s="163" t="str">
        <f>IFERROR(__xludf.DUMMYFUNCTION("""COMPUTED_VALUE"""),"50000-00")</f>
        <v>50000-00</v>
      </c>
      <c r="B82" s="163" t="str">
        <f>IFERROR(__xludf.DUMMYFUNCTION("""COMPUTED_VALUE"""),"Cost of sales")</f>
        <v>Cost of sales</v>
      </c>
      <c r="C82" s="167" t="str">
        <f t="shared" si="4"/>
        <v>#N/A</v>
      </c>
      <c r="D82" s="167" t="str">
        <f t="shared" si="5"/>
        <v>#N/A</v>
      </c>
    </row>
    <row r="83" ht="15.75" customHeight="1">
      <c r="A83" s="166" t="str">
        <f>IFERROR(__xludf.DUMMYFUNCTION("""COMPUTED_VALUE"""),"50100-00")</f>
        <v>50100-00</v>
      </c>
      <c r="B83" s="166" t="str">
        <f>IFERROR(__xludf.DUMMYFUNCTION("""COMPUTED_VALUE"""),"Pembelian")</f>
        <v>Pembelian</v>
      </c>
      <c r="C83" s="167" t="str">
        <f t="shared" si="4"/>
        <v>#N/A</v>
      </c>
      <c r="D83" s="167" t="str">
        <f t="shared" si="5"/>
        <v>#N/A</v>
      </c>
    </row>
    <row r="84" ht="15.75" customHeight="1">
      <c r="A84" s="166" t="str">
        <f>IFERROR(__xludf.DUMMYFUNCTION("""COMPUTED_VALUE"""),"50200-00")</f>
        <v>50200-00</v>
      </c>
      <c r="B84" s="166" t="str">
        <f>IFERROR(__xludf.DUMMYFUNCTION("""COMPUTED_VALUE"""),"Ongkos Angkut Pembelian")</f>
        <v>Ongkos Angkut Pembelian</v>
      </c>
      <c r="C84" s="167" t="str">
        <f t="shared" si="4"/>
        <v>#N/A</v>
      </c>
      <c r="D84" s="167" t="str">
        <f t="shared" si="5"/>
        <v>#N/A</v>
      </c>
    </row>
    <row r="85" ht="15.75" customHeight="1">
      <c r="A85" s="166" t="str">
        <f>IFERROR(__xludf.DUMMYFUNCTION("""COMPUTED_VALUE"""),"50300-00")</f>
        <v>50300-00</v>
      </c>
      <c r="B85" s="166" t="str">
        <f>IFERROR(__xludf.DUMMYFUNCTION("""COMPUTED_VALUE"""),"Jasa Teknik")</f>
        <v>Jasa Teknik</v>
      </c>
      <c r="C85" s="167" t="str">
        <f t="shared" si="4"/>
        <v>#N/A</v>
      </c>
      <c r="D85" s="167" t="str">
        <f t="shared" si="5"/>
        <v>#N/A</v>
      </c>
    </row>
    <row r="86" ht="15.75" customHeight="1">
      <c r="A86" s="166" t="str">
        <f>IFERROR(__xludf.DUMMYFUNCTION("""COMPUTED_VALUE"""),"50400-00")</f>
        <v>50400-00</v>
      </c>
      <c r="B86" s="166" t="str">
        <f>IFERROR(__xludf.DUMMYFUNCTION("""COMPUTED_VALUE"""),"Perjalanan Dinas")</f>
        <v>Perjalanan Dinas</v>
      </c>
      <c r="C86" s="167" t="str">
        <f t="shared" si="4"/>
        <v>#N/A</v>
      </c>
      <c r="D86" s="167" t="str">
        <f t="shared" si="5"/>
        <v>#N/A</v>
      </c>
    </row>
    <row r="87" ht="15.75" customHeight="1">
      <c r="A87" s="166" t="str">
        <f>IFERROR(__xludf.DUMMYFUNCTION("""COMPUTED_VALUE"""),"50500-00")</f>
        <v>50500-00</v>
      </c>
      <c r="B87" s="166" t="str">
        <f>IFERROR(__xludf.DUMMYFUNCTION("""COMPUTED_VALUE"""),"Makan Project")</f>
        <v>Makan Project</v>
      </c>
      <c r="C87" s="167" t="str">
        <f t="shared" si="4"/>
        <v>#N/A</v>
      </c>
      <c r="D87" s="167" t="str">
        <f t="shared" si="5"/>
        <v>#N/A</v>
      </c>
    </row>
    <row r="88" ht="15.75" customHeight="1">
      <c r="A88" s="166" t="str">
        <f>IFERROR(__xludf.DUMMYFUNCTION("""COMPUTED_VALUE"""),"50600-00")</f>
        <v>50600-00</v>
      </c>
      <c r="B88" s="166" t="str">
        <f>IFERROR(__xludf.DUMMYFUNCTION("""COMPUTED_VALUE"""),"Transport Project")</f>
        <v>Transport Project</v>
      </c>
      <c r="C88" s="167" t="str">
        <f t="shared" si="4"/>
        <v>#N/A</v>
      </c>
      <c r="D88" s="167" t="str">
        <f t="shared" si="5"/>
        <v>#N/A</v>
      </c>
    </row>
    <row r="89" ht="15.75" customHeight="1">
      <c r="A89" s="166" t="str">
        <f>IFERROR(__xludf.DUMMYFUNCTION("""COMPUTED_VALUE"""),"50700-00")</f>
        <v>50700-00</v>
      </c>
      <c r="B89" s="166" t="str">
        <f>IFERROR(__xludf.DUMMYFUNCTION("""COMPUTED_VALUE"""),"Entertaint")</f>
        <v>Entertaint</v>
      </c>
      <c r="C89" s="167" t="str">
        <f t="shared" si="4"/>
        <v>#N/A</v>
      </c>
      <c r="D89" s="167" t="str">
        <f t="shared" si="5"/>
        <v>#N/A</v>
      </c>
    </row>
    <row r="90" ht="15.75" customHeight="1">
      <c r="A90" s="166" t="str">
        <f>IFERROR(__xludf.DUMMYFUNCTION("""COMPUTED_VALUE"""),"50800-00")</f>
        <v>50800-00</v>
      </c>
      <c r="B90" s="166" t="str">
        <f>IFERROR(__xludf.DUMMYFUNCTION("""COMPUTED_VALUE"""),"Sparepart")</f>
        <v>Sparepart</v>
      </c>
      <c r="C90" s="167" t="str">
        <f t="shared" si="4"/>
        <v>#N/A</v>
      </c>
      <c r="D90" s="167" t="str">
        <f t="shared" si="5"/>
        <v>#N/A</v>
      </c>
    </row>
    <row r="91" ht="15.75" customHeight="1">
      <c r="A91" s="166" t="str">
        <f>IFERROR(__xludf.DUMMYFUNCTION("""COMPUTED_VALUE"""),"50900-00")</f>
        <v>50900-00</v>
      </c>
      <c r="B91" s="166" t="str">
        <f>IFERROR(__xludf.DUMMYFUNCTION("""COMPUTED_VALUE"""),"Ongkos Kirim")</f>
        <v>Ongkos Kirim</v>
      </c>
      <c r="C91" s="167" t="str">
        <f t="shared" si="4"/>
        <v>#N/A</v>
      </c>
      <c r="D91" s="167" t="str">
        <f t="shared" si="5"/>
        <v>#N/A</v>
      </c>
    </row>
    <row r="92" ht="15.75" customHeight="1">
      <c r="A92" s="166" t="str">
        <f>IFERROR(__xludf.DUMMYFUNCTION("""COMPUTED_VALUE"""),"51000-00")</f>
        <v>51000-00</v>
      </c>
      <c r="B92" s="166" t="str">
        <f>IFERROR(__xludf.DUMMYFUNCTION("""COMPUTED_VALUE"""),"Biaya Marketing")</f>
        <v>Biaya Marketing</v>
      </c>
      <c r="C92" s="167" t="str">
        <f t="shared" si="4"/>
        <v>#N/A</v>
      </c>
      <c r="D92" s="167" t="str">
        <f t="shared" si="5"/>
        <v>#N/A</v>
      </c>
    </row>
    <row r="93" ht="15.75" customHeight="1">
      <c r="A93" s="166"/>
      <c r="B93" s="166"/>
      <c r="C93" s="167" t="str">
        <f t="shared" si="4"/>
        <v>#N/A</v>
      </c>
      <c r="D93" s="167" t="str">
        <f t="shared" si="5"/>
        <v>#N/A</v>
      </c>
    </row>
    <row r="94" ht="15.75" customHeight="1">
      <c r="A94" s="163" t="str">
        <f>IFERROR(__xludf.DUMMYFUNCTION("""COMPUTED_VALUE"""),"Beban Administrasi Umum")</f>
        <v>Beban Administrasi Umum</v>
      </c>
      <c r="B94" s="163"/>
      <c r="C94" s="167" t="str">
        <f t="shared" si="4"/>
        <v>#N/A</v>
      </c>
      <c r="D94" s="167" t="str">
        <f t="shared" si="5"/>
        <v>#N/A</v>
      </c>
    </row>
    <row r="95" ht="15.75" customHeight="1">
      <c r="A95" s="166" t="str">
        <f>IFERROR(__xludf.DUMMYFUNCTION("""COMPUTED_VALUE"""),"60010-00")</f>
        <v>60010-00</v>
      </c>
      <c r="B95" s="166" t="str">
        <f>IFERROR(__xludf.DUMMYFUNCTION("""COMPUTED_VALUE"""),"Salary")</f>
        <v>Salary</v>
      </c>
      <c r="C95" s="167" t="str">
        <f t="shared" si="4"/>
        <v>#N/A</v>
      </c>
      <c r="D95" s="167" t="str">
        <f t="shared" si="5"/>
        <v>#N/A</v>
      </c>
    </row>
    <row r="96" ht="15.75" customHeight="1">
      <c r="A96" s="166" t="str">
        <f>IFERROR(__xludf.DUMMYFUNCTION("""COMPUTED_VALUE"""),"60020-00")</f>
        <v>60020-00</v>
      </c>
      <c r="B96" s="166" t="str">
        <f>IFERROR(__xludf.DUMMYFUNCTION("""COMPUTED_VALUE"""),"Bonus&amp;THR")</f>
        <v>Bonus&amp;THR</v>
      </c>
      <c r="C96" s="167" t="str">
        <f t="shared" si="4"/>
        <v>#N/A</v>
      </c>
      <c r="D96" s="167" t="str">
        <f t="shared" si="5"/>
        <v>#N/A</v>
      </c>
    </row>
    <row r="97" ht="15.75" customHeight="1">
      <c r="A97" s="166" t="str">
        <f>IFERROR(__xludf.DUMMYFUNCTION("""COMPUTED_VALUE"""),"60030-00")</f>
        <v>60030-00</v>
      </c>
      <c r="B97" s="166" t="str">
        <f>IFERROR(__xludf.DUMMYFUNCTION("""COMPUTED_VALUE"""),"Overtime")</f>
        <v>Overtime</v>
      </c>
      <c r="C97" s="167" t="str">
        <f t="shared" si="4"/>
        <v>#N/A</v>
      </c>
      <c r="D97" s="167" t="str">
        <f t="shared" si="5"/>
        <v>#N/A</v>
      </c>
    </row>
    <row r="98" ht="15.75" customHeight="1">
      <c r="A98" s="166" t="str">
        <f>IFERROR(__xludf.DUMMYFUNCTION("""COMPUTED_VALUE"""),"60040-00")</f>
        <v>60040-00</v>
      </c>
      <c r="B98" s="166" t="str">
        <f>IFERROR(__xludf.DUMMYFUNCTION("""COMPUTED_VALUE"""),"Makan Kantor")</f>
        <v>Makan Kantor</v>
      </c>
      <c r="C98" s="167" t="str">
        <f t="shared" si="4"/>
        <v>#N/A</v>
      </c>
      <c r="D98" s="167" t="str">
        <f t="shared" si="5"/>
        <v>#N/A</v>
      </c>
    </row>
    <row r="99" ht="15.75" customHeight="1">
      <c r="A99" s="166" t="str">
        <f>IFERROR(__xludf.DUMMYFUNCTION("""COMPUTED_VALUE"""),"60050-00")</f>
        <v>60050-00</v>
      </c>
      <c r="B99" s="166" t="str">
        <f>IFERROR(__xludf.DUMMYFUNCTION("""COMPUTED_VALUE"""),"Asuransi")</f>
        <v>Asuransi</v>
      </c>
      <c r="C99" s="167" t="str">
        <f t="shared" si="4"/>
        <v>#N/A</v>
      </c>
      <c r="D99" s="167" t="str">
        <f t="shared" si="5"/>
        <v>#N/A</v>
      </c>
    </row>
    <row r="100" ht="15.75" customHeight="1">
      <c r="A100" s="166" t="str">
        <f>IFERROR(__xludf.DUMMYFUNCTION("""COMPUTED_VALUE"""),"60060-00")</f>
        <v>60060-00</v>
      </c>
      <c r="B100" s="166" t="str">
        <f>IFERROR(__xludf.DUMMYFUNCTION("""COMPUTED_VALUE"""),"Tunjangan PPh 21")</f>
        <v>Tunjangan PPh 21</v>
      </c>
      <c r="C100" s="167" t="str">
        <f t="shared" si="4"/>
        <v>#N/A</v>
      </c>
      <c r="D100" s="167" t="str">
        <f t="shared" si="5"/>
        <v>#N/A</v>
      </c>
    </row>
    <row r="101" ht="15.75" customHeight="1">
      <c r="A101" s="166" t="str">
        <f>IFERROR(__xludf.DUMMYFUNCTION("""COMPUTED_VALUE"""),"61000-00")</f>
        <v>61000-00</v>
      </c>
      <c r="B101" s="166" t="str">
        <f>IFERROR(__xludf.DUMMYFUNCTION("""COMPUTED_VALUE"""),"Office Expenses")</f>
        <v>Office Expenses</v>
      </c>
      <c r="C101" s="167" t="str">
        <f t="shared" si="4"/>
        <v>#N/A</v>
      </c>
      <c r="D101" s="167" t="str">
        <f t="shared" si="5"/>
        <v>#N/A</v>
      </c>
    </row>
    <row r="102" ht="15.75" customHeight="1">
      <c r="A102" s="166" t="str">
        <f>IFERROR(__xludf.DUMMYFUNCTION("""COMPUTED_VALUE"""),"61010-00")</f>
        <v>61010-00</v>
      </c>
      <c r="B102" s="166" t="str">
        <f>IFERROR(__xludf.DUMMYFUNCTION("""COMPUTED_VALUE"""),"Listrik")</f>
        <v>Listrik</v>
      </c>
      <c r="C102" s="167" t="str">
        <f t="shared" si="4"/>
        <v>#N/A</v>
      </c>
      <c r="D102" s="167" t="str">
        <f t="shared" si="5"/>
        <v>#N/A</v>
      </c>
    </row>
    <row r="103" ht="15.75" customHeight="1">
      <c r="A103" s="166" t="str">
        <f>IFERROR(__xludf.DUMMYFUNCTION("""COMPUTED_VALUE"""),"61020-00")</f>
        <v>61020-00</v>
      </c>
      <c r="B103" s="166" t="str">
        <f>IFERROR(__xludf.DUMMYFUNCTION("""COMPUTED_VALUE"""),"Telephone and internet")</f>
        <v>Telephone and internet</v>
      </c>
      <c r="C103" s="167" t="str">
        <f t="shared" si="4"/>
        <v>#N/A</v>
      </c>
      <c r="D103" s="167" t="str">
        <f t="shared" si="5"/>
        <v>#N/A</v>
      </c>
    </row>
    <row r="104" ht="15.75" customHeight="1">
      <c r="A104" s="166" t="str">
        <f>IFERROR(__xludf.DUMMYFUNCTION("""COMPUTED_VALUE"""),"61030-00")</f>
        <v>61030-00</v>
      </c>
      <c r="B104" s="166" t="str">
        <f>IFERROR(__xludf.DUMMYFUNCTION("""COMPUTED_VALUE"""),"ATK dan Printing ")</f>
        <v>ATK dan Printing </v>
      </c>
      <c r="C104" s="167" t="str">
        <f t="shared" si="4"/>
        <v>#N/A</v>
      </c>
      <c r="D104" s="167" t="str">
        <f t="shared" si="5"/>
        <v>#N/A</v>
      </c>
    </row>
    <row r="105" ht="15.75" customHeight="1">
      <c r="A105" s="166" t="str">
        <f>IFERROR(__xludf.DUMMYFUNCTION("""COMPUTED_VALUE"""),"61035-00")</f>
        <v>61035-00</v>
      </c>
      <c r="B105" s="166" t="str">
        <f>IFERROR(__xludf.DUMMYFUNCTION("""COMPUTED_VALUE"""),"Pos &amp; Meterai")</f>
        <v>Pos &amp; Meterai</v>
      </c>
      <c r="C105" s="167" t="str">
        <f t="shared" si="4"/>
        <v>#N/A</v>
      </c>
      <c r="D105" s="167" t="str">
        <f t="shared" si="5"/>
        <v>#N/A</v>
      </c>
    </row>
    <row r="106" ht="15.75" customHeight="1">
      <c r="A106" s="166" t="str">
        <f>IFERROR(__xludf.DUMMYFUNCTION("""COMPUTED_VALUE"""),"61040-00")</f>
        <v>61040-00</v>
      </c>
      <c r="B106" s="166" t="str">
        <f>IFERROR(__xludf.DUMMYFUNCTION("""COMPUTED_VALUE"""),"Perjalanan Dinas")</f>
        <v>Perjalanan Dinas</v>
      </c>
      <c r="C106" s="167" t="str">
        <f t="shared" si="4"/>
        <v>#N/A</v>
      </c>
      <c r="D106" s="167" t="str">
        <f t="shared" si="5"/>
        <v>#N/A</v>
      </c>
    </row>
    <row r="107" ht="15.75" customHeight="1">
      <c r="A107" s="166" t="str">
        <f>IFERROR(__xludf.DUMMYFUNCTION("""COMPUTED_VALUE"""),"61050-00")</f>
        <v>61050-00</v>
      </c>
      <c r="B107" s="166" t="str">
        <f>IFERROR(__xludf.DUMMYFUNCTION("""COMPUTED_VALUE"""),"Servise Mobil")</f>
        <v>Servise Mobil</v>
      </c>
      <c r="C107" s="167" t="str">
        <f t="shared" si="4"/>
        <v>#N/A</v>
      </c>
      <c r="D107" s="167" t="str">
        <f t="shared" si="5"/>
        <v>#N/A</v>
      </c>
    </row>
    <row r="108" ht="15.75" customHeight="1">
      <c r="A108" s="166" t="str">
        <f>IFERROR(__xludf.DUMMYFUNCTION("""COMPUTED_VALUE"""),"61060-00")</f>
        <v>61060-00</v>
      </c>
      <c r="B108" s="166" t="str">
        <f>IFERROR(__xludf.DUMMYFUNCTION("""COMPUTED_VALUE"""),"Perlengkapan Kantor")</f>
        <v>Perlengkapan Kantor</v>
      </c>
      <c r="C108" s="167" t="str">
        <f t="shared" si="4"/>
        <v>#N/A</v>
      </c>
      <c r="D108" s="167" t="str">
        <f t="shared" si="5"/>
        <v>#N/A</v>
      </c>
    </row>
    <row r="109" ht="15.75" customHeight="1">
      <c r="A109" s="166" t="str">
        <f>IFERROR(__xludf.DUMMYFUNCTION("""COMPUTED_VALUE"""),"61070-00")</f>
        <v>61070-00</v>
      </c>
      <c r="B109" s="166" t="str">
        <f>IFERROR(__xludf.DUMMYFUNCTION("""COMPUTED_VALUE"""),"Beban Perizinan &amp; Lisensi")</f>
        <v>Beban Perizinan &amp; Lisensi</v>
      </c>
      <c r="C109" s="167" t="str">
        <f t="shared" si="4"/>
        <v>#N/A</v>
      </c>
      <c r="D109" s="167" t="str">
        <f t="shared" si="5"/>
        <v>#N/A</v>
      </c>
    </row>
    <row r="110" ht="15.75" customHeight="1">
      <c r="A110" s="166" t="str">
        <f>IFERROR(__xludf.DUMMYFUNCTION("""COMPUTED_VALUE"""),"62000-00")</f>
        <v>62000-00</v>
      </c>
      <c r="B110" s="166" t="str">
        <f>IFERROR(__xludf.DUMMYFUNCTION("""COMPUTED_VALUE"""),"Biaya Sewa")</f>
        <v>Biaya Sewa</v>
      </c>
      <c r="C110" s="167" t="str">
        <f t="shared" si="4"/>
        <v>#N/A</v>
      </c>
      <c r="D110" s="167" t="str">
        <f t="shared" si="5"/>
        <v>#N/A</v>
      </c>
    </row>
    <row r="111" ht="15.75" customHeight="1">
      <c r="A111" s="166" t="str">
        <f>IFERROR(__xludf.DUMMYFUNCTION("""COMPUTED_VALUE"""),"62010-00")</f>
        <v>62010-00</v>
      </c>
      <c r="B111" s="166" t="str">
        <f>IFERROR(__xludf.DUMMYFUNCTION("""COMPUTED_VALUE"""),"Beban Pelatihan Karyawan")</f>
        <v>Beban Pelatihan Karyawan</v>
      </c>
      <c r="C111" s="167" t="str">
        <f t="shared" si="4"/>
        <v>#N/A</v>
      </c>
      <c r="D111" s="167" t="str">
        <f t="shared" si="5"/>
        <v>#N/A</v>
      </c>
    </row>
    <row r="112" ht="15.75" customHeight="1">
      <c r="A112" s="166" t="str">
        <f>IFERROR(__xludf.DUMMYFUNCTION("""COMPUTED_VALUE"""),"62020-00")</f>
        <v>62020-00</v>
      </c>
      <c r="B112" s="166" t="str">
        <f>IFERROR(__xludf.DUMMYFUNCTION("""COMPUTED_VALUE"""),"Transport")</f>
        <v>Transport</v>
      </c>
      <c r="C112" s="167" t="str">
        <f t="shared" si="4"/>
        <v>#N/A</v>
      </c>
      <c r="D112" s="167" t="str">
        <f t="shared" si="5"/>
        <v>#N/A</v>
      </c>
    </row>
    <row r="113" ht="15.75" customHeight="1">
      <c r="A113" s="166" t="str">
        <f>IFERROR(__xludf.DUMMYFUNCTION("""COMPUTED_VALUE"""),"62030-00")</f>
        <v>62030-00</v>
      </c>
      <c r="B113" s="166" t="str">
        <f>IFERROR(__xludf.DUMMYFUNCTION("""COMPUTED_VALUE"""),"beban profesional fee")</f>
        <v>beban profesional fee</v>
      </c>
      <c r="C113" s="167" t="str">
        <f t="shared" si="4"/>
        <v>#N/A</v>
      </c>
      <c r="D113" s="167" t="str">
        <f t="shared" si="5"/>
        <v>#N/A</v>
      </c>
    </row>
    <row r="114" ht="15.75" customHeight="1">
      <c r="A114" s="166" t="str">
        <f>IFERROR(__xludf.DUMMYFUNCTION("""COMPUTED_VALUE"""),"62040-00")</f>
        <v>62040-00</v>
      </c>
      <c r="B114" s="166" t="str">
        <f>IFERROR(__xludf.DUMMYFUNCTION("""COMPUTED_VALUE"""),"Donation")</f>
        <v>Donation</v>
      </c>
      <c r="C114" s="167" t="str">
        <f t="shared" si="4"/>
        <v>#N/A</v>
      </c>
      <c r="D114" s="167" t="str">
        <f t="shared" si="5"/>
        <v>#N/A</v>
      </c>
    </row>
    <row r="115" ht="15.75" customHeight="1">
      <c r="A115" s="166" t="str">
        <f>IFERROR(__xludf.DUMMYFUNCTION("""COMPUTED_VALUE"""),"63000-00")</f>
        <v>63000-00</v>
      </c>
      <c r="B115" s="166" t="str">
        <f>IFERROR(__xludf.DUMMYFUNCTION("""COMPUTED_VALUE"""),"Entertainment")</f>
        <v>Entertainment</v>
      </c>
      <c r="C115" s="167" t="str">
        <f t="shared" si="4"/>
        <v>#N/A</v>
      </c>
      <c r="D115" s="167" t="str">
        <f t="shared" si="5"/>
        <v>#N/A</v>
      </c>
    </row>
    <row r="116" ht="15.75" customHeight="1">
      <c r="A116" s="166" t="str">
        <f>IFERROR(__xludf.DUMMYFUNCTION("""COMPUTED_VALUE"""),"63010-00")</f>
        <v>63010-00</v>
      </c>
      <c r="B116" s="166" t="str">
        <f>IFERROR(__xludf.DUMMYFUNCTION("""COMPUTED_VALUE"""),"Repair &amp; Maintenance")</f>
        <v>Repair &amp; Maintenance</v>
      </c>
      <c r="C116" s="167" t="str">
        <f t="shared" si="4"/>
        <v>#N/A</v>
      </c>
      <c r="D116" s="167" t="str">
        <f t="shared" si="5"/>
        <v>#N/A</v>
      </c>
    </row>
    <row r="117" ht="15.75" customHeight="1">
      <c r="A117" s="166" t="str">
        <f>IFERROR(__xludf.DUMMYFUNCTION("""COMPUTED_VALUE"""),"63020-00")</f>
        <v>63020-00</v>
      </c>
      <c r="B117" s="166" t="str">
        <f>IFERROR(__xludf.DUMMYFUNCTION("""COMPUTED_VALUE"""),"Catering")</f>
        <v>Catering</v>
      </c>
      <c r="C117" s="167" t="str">
        <f t="shared" si="4"/>
        <v>#N/A</v>
      </c>
      <c r="D117" s="167" t="str">
        <f t="shared" si="5"/>
        <v>#N/A</v>
      </c>
    </row>
    <row r="118" ht="15.75" customHeight="1">
      <c r="A118" s="166" t="str">
        <f>IFERROR(__xludf.DUMMYFUNCTION("""COMPUTED_VALUE"""),"63030-00")</f>
        <v>63030-00</v>
      </c>
      <c r="B118" s="166" t="str">
        <f>IFERROR(__xludf.DUMMYFUNCTION("""COMPUTED_VALUE"""),"Biaya lain-lain")</f>
        <v>Biaya lain-lain</v>
      </c>
      <c r="C118" s="167" t="str">
        <f t="shared" si="4"/>
        <v>#N/A</v>
      </c>
      <c r="D118" s="167" t="str">
        <f t="shared" si="5"/>
        <v>#N/A</v>
      </c>
    </row>
    <row r="119" ht="15.75" customHeight="1">
      <c r="A119" s="166" t="str">
        <f>IFERROR(__xludf.DUMMYFUNCTION("""COMPUTED_VALUE"""),"64000-00")</f>
        <v>64000-00</v>
      </c>
      <c r="B119" s="166" t="str">
        <f>IFERROR(__xludf.DUMMYFUNCTION("""COMPUTED_VALUE"""),"Depreciation Expenses")</f>
        <v>Depreciation Expenses</v>
      </c>
      <c r="C119" s="167" t="str">
        <f t="shared" si="4"/>
        <v>#N/A</v>
      </c>
      <c r="D119" s="167" t="str">
        <f t="shared" si="5"/>
        <v>#N/A</v>
      </c>
    </row>
    <row r="120" ht="15.75" customHeight="1">
      <c r="A120" s="166" t="str">
        <f>IFERROR(__xludf.DUMMYFUNCTION("""COMPUTED_VALUE"""),"64010-00")</f>
        <v>64010-00</v>
      </c>
      <c r="B120" s="166" t="str">
        <f>IFERROR(__xludf.DUMMYFUNCTION("""COMPUTED_VALUE"""),"Depresiasi Bangunan")</f>
        <v>Depresiasi Bangunan</v>
      </c>
      <c r="C120" s="167" t="str">
        <f t="shared" si="4"/>
        <v>#N/A</v>
      </c>
      <c r="D120" s="167" t="str">
        <f t="shared" si="5"/>
        <v>#N/A</v>
      </c>
    </row>
    <row r="121" ht="15.75" customHeight="1">
      <c r="A121" s="166" t="str">
        <f>IFERROR(__xludf.DUMMYFUNCTION("""COMPUTED_VALUE"""),"64020-00")</f>
        <v>64020-00</v>
      </c>
      <c r="B121" s="166" t="str">
        <f>IFERROR(__xludf.DUMMYFUNCTION("""COMPUTED_VALUE"""),"Depresiasi Kendaraan")</f>
        <v>Depresiasi Kendaraan</v>
      </c>
      <c r="C121" s="167" t="str">
        <f t="shared" si="4"/>
        <v>#N/A</v>
      </c>
      <c r="D121" s="167" t="str">
        <f t="shared" si="5"/>
        <v>#N/A</v>
      </c>
    </row>
    <row r="122" ht="15.75" customHeight="1">
      <c r="A122" s="166" t="str">
        <f>IFERROR(__xludf.DUMMYFUNCTION("""COMPUTED_VALUE"""),"64030-00")</f>
        <v>64030-00</v>
      </c>
      <c r="B122" s="166" t="str">
        <f>IFERROR(__xludf.DUMMYFUNCTION("""COMPUTED_VALUE"""),"Depresiasi Inventaris")</f>
        <v>Depresiasi Inventaris</v>
      </c>
      <c r="C122" s="167" t="str">
        <f t="shared" si="4"/>
        <v>#N/A</v>
      </c>
      <c r="D122" s="167" t="str">
        <f t="shared" si="5"/>
        <v>#N/A</v>
      </c>
    </row>
    <row r="123" ht="15.75" customHeight="1">
      <c r="A123" s="166" t="str">
        <f>IFERROR(__xludf.DUMMYFUNCTION("""COMPUTED_VALUE"""),"64040-00")</f>
        <v>64040-00</v>
      </c>
      <c r="B123" s="166" t="str">
        <f>IFERROR(__xludf.DUMMYFUNCTION("""COMPUTED_VALUE"""),"Depresiasi Perlengkapan")</f>
        <v>Depresiasi Perlengkapan</v>
      </c>
      <c r="C123" s="167" t="str">
        <f t="shared" si="4"/>
        <v>#N/A</v>
      </c>
      <c r="D123" s="167" t="str">
        <f t="shared" si="5"/>
        <v>#N/A</v>
      </c>
    </row>
    <row r="124" ht="15.75" customHeight="1">
      <c r="A124" s="166" t="str">
        <f>IFERROR(__xludf.DUMMYFUNCTION("""COMPUTED_VALUE"""),"69000-00")</f>
        <v>69000-00</v>
      </c>
      <c r="B124" s="166" t="str">
        <f>IFERROR(__xludf.DUMMYFUNCTION("""COMPUTED_VALUE"""),"Marketing")</f>
        <v>Marketing</v>
      </c>
      <c r="C124" s="167" t="str">
        <f t="shared" si="4"/>
        <v>#N/A</v>
      </c>
      <c r="D124" s="167" t="str">
        <f t="shared" si="5"/>
        <v>#N/A</v>
      </c>
    </row>
    <row r="125" ht="15.75" customHeight="1">
      <c r="A125" s="166" t="str">
        <f>IFERROR(__xludf.DUMMYFUNCTION("""COMPUTED_VALUE"""),"79050-00")</f>
        <v>79050-00</v>
      </c>
      <c r="B125" s="166" t="str">
        <f>IFERROR(__xludf.DUMMYFUNCTION("""COMPUTED_VALUE"""),"Others Expenses")</f>
        <v>Others Expenses</v>
      </c>
      <c r="C125" s="167" t="str">
        <f t="shared" si="4"/>
        <v>#N/A</v>
      </c>
      <c r="D125" s="167" t="str">
        <f t="shared" si="5"/>
        <v>#N/A</v>
      </c>
    </row>
    <row r="126" ht="15.75" customHeight="1">
      <c r="A126" s="166" t="str">
        <f>IFERROR(__xludf.DUMMYFUNCTION("""COMPUTED_VALUE"""),"79060-00")</f>
        <v>79060-00</v>
      </c>
      <c r="B126" s="166" t="str">
        <f>IFERROR(__xludf.DUMMYFUNCTION("""COMPUTED_VALUE"""),"Licences")</f>
        <v>Licences</v>
      </c>
      <c r="C126" s="167" t="str">
        <f t="shared" si="4"/>
        <v>#N/A</v>
      </c>
      <c r="D126" s="167" t="str">
        <f t="shared" si="5"/>
        <v>#N/A</v>
      </c>
    </row>
    <row r="127" ht="15.75" customHeight="1">
      <c r="A127" s="166" t="str">
        <f>IFERROR(__xludf.DUMMYFUNCTION("""COMPUTED_VALUE"""),"79070-00")</f>
        <v>79070-00</v>
      </c>
      <c r="B127" s="166" t="str">
        <f>IFERROR(__xludf.DUMMYFUNCTION("""COMPUTED_VALUE"""),"manajemen fee")</f>
        <v>manajemen fee</v>
      </c>
      <c r="C127" s="167" t="str">
        <f t="shared" si="4"/>
        <v>#N/A</v>
      </c>
      <c r="D127" s="167" t="str">
        <f t="shared" si="5"/>
        <v>#N/A</v>
      </c>
    </row>
    <row r="128" ht="15.75" customHeight="1">
      <c r="A128" s="166" t="str">
        <f>IFERROR(__xludf.DUMMYFUNCTION("""COMPUTED_VALUE"""),"79080-00")</f>
        <v>79080-00</v>
      </c>
      <c r="B128" s="166" t="str">
        <f>IFERROR(__xludf.DUMMYFUNCTION("""COMPUTED_VALUE"""),"Bank Charges")</f>
        <v>Bank Charges</v>
      </c>
      <c r="C128" s="167" t="str">
        <f t="shared" si="4"/>
        <v>#N/A</v>
      </c>
      <c r="D128" s="167" t="str">
        <f t="shared" si="5"/>
        <v>#N/A</v>
      </c>
    </row>
    <row r="129" ht="15.75" customHeight="1">
      <c r="A129" s="166" t="str">
        <f>IFERROR(__xludf.DUMMYFUNCTION("""COMPUTED_VALUE"""),"79090-00")</f>
        <v>79090-00</v>
      </c>
      <c r="B129" s="166" t="str">
        <f>IFERROR(__xludf.DUMMYFUNCTION("""COMPUTED_VALUE"""),"Beban lain-lain")</f>
        <v>Beban lain-lain</v>
      </c>
      <c r="C129" s="167" t="str">
        <f t="shared" si="4"/>
        <v>#N/A</v>
      </c>
      <c r="D129" s="167" t="str">
        <f t="shared" si="5"/>
        <v>#N/A</v>
      </c>
    </row>
    <row r="130" ht="15.75" customHeight="1">
      <c r="A130" s="166" t="str">
        <f>IFERROR(__xludf.DUMMYFUNCTION("""COMPUTED_VALUE"""),"80000-00")</f>
        <v>80000-00</v>
      </c>
      <c r="B130" s="166" t="str">
        <f>IFERROR(__xludf.DUMMYFUNCTION("""COMPUTED_VALUE"""),"Others Income")</f>
        <v>Others Income</v>
      </c>
      <c r="C130" s="167" t="str">
        <f t="shared" si="4"/>
        <v>#N/A</v>
      </c>
      <c r="D130" s="167" t="str">
        <f t="shared" si="5"/>
        <v>#N/A</v>
      </c>
    </row>
    <row r="131" ht="15.75" customHeight="1">
      <c r="A131" s="166" t="str">
        <f>IFERROR(__xludf.DUMMYFUNCTION("""COMPUTED_VALUE"""),"80010-00")</f>
        <v>80010-00</v>
      </c>
      <c r="B131" s="166" t="str">
        <f>IFERROR(__xludf.DUMMYFUNCTION("""COMPUTED_VALUE"""),"Interest Income Deposit")</f>
        <v>Interest Income Deposit</v>
      </c>
      <c r="C131" s="167" t="str">
        <f t="shared" si="4"/>
        <v>#N/A</v>
      </c>
      <c r="D131" s="167" t="str">
        <f t="shared" si="5"/>
        <v>#N/A</v>
      </c>
    </row>
    <row r="132" ht="15.75" customHeight="1">
      <c r="A132" s="166" t="str">
        <f>IFERROR(__xludf.DUMMYFUNCTION("""COMPUTED_VALUE"""),"80020-00")</f>
        <v>80020-00</v>
      </c>
      <c r="B132" s="166" t="str">
        <f>IFERROR(__xludf.DUMMYFUNCTION("""COMPUTED_VALUE"""),"Interest Expenses")</f>
        <v>Interest Expenses</v>
      </c>
      <c r="C132" s="167" t="str">
        <f t="shared" si="4"/>
        <v>#N/A</v>
      </c>
      <c r="D132" s="167" t="str">
        <f t="shared" si="5"/>
        <v>#N/A</v>
      </c>
    </row>
    <row r="133" ht="15.75" customHeight="1">
      <c r="A133" s="166" t="str">
        <f>IFERROR(__xludf.DUMMYFUNCTION("""COMPUTED_VALUE"""),"80030-00")</f>
        <v>80030-00</v>
      </c>
      <c r="B133" s="166" t="str">
        <f>IFERROR(__xludf.DUMMYFUNCTION("""COMPUTED_VALUE"""),"Pendapatan lain-lain")</f>
        <v>Pendapatan lain-lain</v>
      </c>
      <c r="C133" s="167" t="str">
        <f t="shared" si="4"/>
        <v>#N/A</v>
      </c>
      <c r="D133" s="167" t="str">
        <f t="shared" si="5"/>
        <v>#N/A</v>
      </c>
    </row>
    <row r="134" ht="15.75" customHeight="1">
      <c r="A134" s="166" t="str">
        <f>IFERROR(__xludf.DUMMYFUNCTION("""COMPUTED_VALUE"""),"85010-00")</f>
        <v>85010-00</v>
      </c>
      <c r="B134" s="166" t="str">
        <f>IFERROR(__xludf.DUMMYFUNCTION("""COMPUTED_VALUE"""),"PL Forex")</f>
        <v>PL Forex</v>
      </c>
      <c r="C134" s="167" t="str">
        <f t="shared" si="4"/>
        <v>#N/A</v>
      </c>
      <c r="D134" s="167" t="str">
        <f t="shared" si="5"/>
        <v>#N/A</v>
      </c>
    </row>
    <row r="135" ht="15.75" customHeight="1">
      <c r="A135" s="166" t="str">
        <f>IFERROR(__xludf.DUMMYFUNCTION("""COMPUTED_VALUE"""),"85020-00")</f>
        <v>85020-00</v>
      </c>
      <c r="B135" s="166" t="str">
        <f>IFERROR(__xludf.DUMMYFUNCTION("""COMPUTED_VALUE"""),"PL of Disposal FA")</f>
        <v>PL of Disposal FA</v>
      </c>
      <c r="C135" s="167" t="str">
        <f t="shared" si="4"/>
        <v>#N/A</v>
      </c>
      <c r="D135" s="167" t="str">
        <f t="shared" si="5"/>
        <v>#N/A</v>
      </c>
    </row>
    <row r="136" ht="15.75" customHeight="1">
      <c r="A136" s="166" t="str">
        <f>IFERROR(__xludf.DUMMYFUNCTION("""COMPUTED_VALUE"""),"85025-00")</f>
        <v>85025-00</v>
      </c>
      <c r="B136" s="166" t="str">
        <f>IFERROR(__xludf.DUMMYFUNCTION("""COMPUTED_VALUE"""),"Tax Pinalty")</f>
        <v>Tax Pinalty</v>
      </c>
      <c r="C136" s="167" t="str">
        <f t="shared" si="4"/>
        <v>#N/A</v>
      </c>
      <c r="D136" s="167" t="str">
        <f t="shared" si="5"/>
        <v>#N/A</v>
      </c>
    </row>
    <row r="137" ht="15.75" customHeight="1">
      <c r="A137" s="166" t="str">
        <f>IFERROR(__xludf.DUMMYFUNCTION("""COMPUTED_VALUE"""),"85040-00")</f>
        <v>85040-00</v>
      </c>
      <c r="B137" s="166" t="str">
        <f>IFERROR(__xludf.DUMMYFUNCTION("""COMPUTED_VALUE"""),"Rounding")</f>
        <v>Rounding</v>
      </c>
      <c r="C137" s="167" t="str">
        <f t="shared" si="4"/>
        <v>#N/A</v>
      </c>
      <c r="D137" s="167" t="str">
        <f t="shared" si="5"/>
        <v>#N/A</v>
      </c>
    </row>
    <row r="138" ht="15.75" customHeight="1">
      <c r="A138" s="166" t="str">
        <f>IFERROR(__xludf.DUMMYFUNCTION("""COMPUTED_VALUE"""),"90010-00")</f>
        <v>90010-00</v>
      </c>
      <c r="B138" s="166" t="str">
        <f>IFERROR(__xludf.DUMMYFUNCTION("""COMPUTED_VALUE"""),"Provision for income Tax")</f>
        <v>Provision for income Tax</v>
      </c>
      <c r="C138" s="167" t="str">
        <f t="shared" si="4"/>
        <v>#N/A</v>
      </c>
      <c r="D138" s="167" t="str">
        <f t="shared" si="5"/>
        <v>#N/A</v>
      </c>
    </row>
    <row r="139" ht="15.75" customHeight="1">
      <c r="A139" s="166"/>
      <c r="B139" s="166"/>
      <c r="C139" s="167" t="str">
        <f t="shared" si="4"/>
        <v>#N/A</v>
      </c>
      <c r="D139" s="167" t="str">
        <f t="shared" si="5"/>
        <v>#N/A</v>
      </c>
    </row>
    <row r="140" ht="15.75" customHeight="1">
      <c r="A140" s="166"/>
      <c r="B140" s="166"/>
      <c r="C140" s="167" t="str">
        <f t="shared" si="4"/>
        <v>#N/A</v>
      </c>
      <c r="D140" s="167" t="str">
        <f t="shared" si="5"/>
        <v>#N/A</v>
      </c>
    </row>
    <row r="141" ht="15.75" customHeight="1">
      <c r="A141" s="166"/>
      <c r="B141" s="166"/>
      <c r="C141" s="167" t="str">
        <f t="shared" si="4"/>
        <v>#N/A</v>
      </c>
      <c r="D141" s="167" t="str">
        <f t="shared" si="5"/>
        <v>#N/A</v>
      </c>
    </row>
    <row r="142" ht="15.75" customHeight="1">
      <c r="A142" s="163"/>
      <c r="B142" s="163"/>
      <c r="C142" s="167"/>
      <c r="D142" s="167"/>
    </row>
    <row r="143" ht="15.75" customHeight="1">
      <c r="A143" s="163"/>
      <c r="B143" s="163"/>
      <c r="C143" s="167"/>
      <c r="D143" s="167"/>
    </row>
    <row r="144" ht="15.75" customHeight="1">
      <c r="A144" s="163"/>
      <c r="B144" s="168"/>
      <c r="C144" s="167"/>
      <c r="D144" s="167"/>
    </row>
    <row r="145" ht="15.75" customHeight="1">
      <c r="A145" s="163"/>
      <c r="B145" s="168"/>
      <c r="C145" s="169" t="str">
        <f t="shared" ref="C145:D145" si="6">SUM(C5:C143)</f>
        <v>#N/A</v>
      </c>
      <c r="D145" s="169" t="str">
        <f t="shared" si="6"/>
        <v>#N/A</v>
      </c>
    </row>
    <row r="146" ht="15.75" customHeight="1">
      <c r="A146" s="163"/>
      <c r="B146" s="168"/>
      <c r="C146" s="165"/>
      <c r="D146" s="165"/>
    </row>
    <row r="147" ht="15.75" customHeight="1">
      <c r="A147" s="170"/>
      <c r="B147" s="171"/>
      <c r="C147" s="169" t="str">
        <f t="shared" ref="C147:D147" si="7">SUM(C145,#REF!)</f>
        <v>#N/A</v>
      </c>
      <c r="D147" s="169" t="str">
        <f t="shared" si="7"/>
        <v>#N/A</v>
      </c>
    </row>
    <row r="148" ht="15.75" customHeight="1">
      <c r="A148" s="29"/>
      <c r="B148" s="29"/>
      <c r="C148" s="172" t="str">
        <f>C147-D147</f>
        <v>#N/A</v>
      </c>
      <c r="D148" s="29"/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>
      <c r="E296" s="173">
        <f>C296-D296</f>
        <v>0</v>
      </c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</sheetData>
  <drawing r:id="rId1"/>
</worksheet>
</file>