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PURCHASES" sheetId="2" r:id="rId5"/>
    <sheet state="visible" name="Sheet3" sheetId="3" r:id="rId6"/>
    <sheet state="visible" name="APOutstanding" sheetId="4" r:id="rId7"/>
    <sheet state="visible" name="JE" sheetId="5" r:id="rId8"/>
    <sheet state="visible" name="Margin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danismutiaraanggraeni@gmail.com tolong dirubah sesuai PO ke supplier
	-rifqi ardian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1">
      <text>
        <t xml:space="preserve">yani: nanti utk payment termin 3 dibuat tambahan coloum date and other</t>
      </text>
    </comment>
  </commentList>
</comments>
</file>

<file path=xl/sharedStrings.xml><?xml version="1.0" encoding="utf-8"?>
<sst xmlns="http://schemas.openxmlformats.org/spreadsheetml/2006/main" count="859" uniqueCount="486">
  <si>
    <t>1. Data laporan Stcok Alkes</t>
  </si>
  <si>
    <t>MPG BCA</t>
  </si>
  <si>
    <t>Barang dan Jasa</t>
  </si>
  <si>
    <t>Jasa</t>
  </si>
  <si>
    <t>lampirkan link filenya disini</t>
  </si>
  <si>
    <t>Code</t>
  </si>
  <si>
    <t>Suppliers</t>
  </si>
  <si>
    <t>Item</t>
  </si>
  <si>
    <t>Date</t>
  </si>
  <si>
    <t>Sales Order</t>
  </si>
  <si>
    <t>PO No.</t>
  </si>
  <si>
    <t>Date Inv.</t>
  </si>
  <si>
    <t>Invoice</t>
  </si>
  <si>
    <t>Amount</t>
  </si>
  <si>
    <t>VAT</t>
  </si>
  <si>
    <t>PPH 23</t>
  </si>
  <si>
    <t>A/P</t>
  </si>
  <si>
    <t>Date Invoice</t>
  </si>
  <si>
    <t>Link Document</t>
  </si>
  <si>
    <t>Status</t>
  </si>
  <si>
    <t>Remark</t>
  </si>
  <si>
    <t>Tokopedia</t>
  </si>
  <si>
    <t>Pembelian Termometer PKM Balekambang</t>
  </si>
  <si>
    <t>Pembelian Termometer PKM</t>
  </si>
  <si>
    <t>Approved</t>
  </si>
  <si>
    <t>Shopee</t>
  </si>
  <si>
    <t xml:space="preserve">Pembelian Kursi, Meja dan Lemari PKM Gandoang </t>
  </si>
  <si>
    <t>Pembelian Pesanan PKM Gandoang.pdf</t>
  </si>
  <si>
    <t>Pembelian Composit Resin, Umblical, Bonding, Gludaten, Bisturi PKM DPT Saketi</t>
  </si>
  <si>
    <t>SURAT PESANAN PKM DPT SAKETI.jpeg</t>
  </si>
  <si>
    <t>PKM DPT SAKETI.pdf</t>
  </si>
  <si>
    <t>PT. Top Point Medical</t>
  </si>
  <si>
    <t>TP Infusion Set Advance</t>
  </si>
  <si>
    <t>Surat Pesanan RSPP</t>
  </si>
  <si>
    <t>PO Infusion Set - Top Point</t>
  </si>
  <si>
    <t>Invoice Top Point</t>
  </si>
  <si>
    <t>FP Infusion Set - Top Point</t>
  </si>
  <si>
    <t>Pembelian Gludenta DPT Saketi</t>
  </si>
  <si>
    <t>part of SO no.3</t>
  </si>
  <si>
    <t>Gludenta</t>
  </si>
  <si>
    <t>Top Point</t>
  </si>
  <si>
    <t>Pembelian Suntikan DPT Saketi</t>
  </si>
  <si>
    <t>22-08-1015 (pembelian top point)</t>
  </si>
  <si>
    <t>FP - Top Point.pdf</t>
  </si>
  <si>
    <t>Sarana Megamedilab Sejahtera (SMS)</t>
  </si>
  <si>
    <t xml:space="preserve">Pembelian Lampu </t>
  </si>
  <si>
    <t>RSUD Cibinong</t>
  </si>
  <si>
    <t>Invoice SMS</t>
  </si>
  <si>
    <t>FP - PT. SMS</t>
  </si>
  <si>
    <t>Pembelian Pesanan Plastik (PKM Cimandala)</t>
  </si>
  <si>
    <t>-Menyusul-</t>
  </si>
  <si>
    <t>Pesanan PKM Cimandala</t>
  </si>
  <si>
    <t>Pembelian Yellow dan Blue Tip (PKM Cangkurawok)</t>
  </si>
  <si>
    <t>surat-pesanan-EP-01K387EQ0896Y44BX6R9RSJ2FA (Pkm Cangkurawok)</t>
  </si>
  <si>
    <t>Pembelanjaan yellow dan blue tip (pkm cangkurawok) 26/8/25</t>
  </si>
  <si>
    <t>Pembelanjaan Pesanan  (PKM Pasir Angin)</t>
  </si>
  <si>
    <t>surat-pesanan-EP-01K381B70E6329EG57Q86XG5DH.pdf (PKM Pasir angin) 27-08-25</t>
  </si>
  <si>
    <t>Pembelanjaan Pesanan PKM Pasir Angin 27-08-25</t>
  </si>
  <si>
    <t>Pembelian TP Infusion Set Advance (RSPP)</t>
  </si>
  <si>
    <t>Surat Pesanan RSPP PO 2 (20-08-25)</t>
  </si>
  <si>
    <t>PO ke Top Point (20-08-25)</t>
  </si>
  <si>
    <t>Invoice TP (21-08-25)</t>
  </si>
  <si>
    <t>FP - Top Point (21-08-25)</t>
  </si>
  <si>
    <t>PT Demaz Noer Abadi</t>
  </si>
  <si>
    <t>Pembelian Pesanan (PKM Karyamekar) Test Strip</t>
  </si>
  <si>
    <t>Pesanan PKM Karya Mekar (28-08-25)</t>
  </si>
  <si>
    <t>PO MPG-270825008 Biosensor.pdf</t>
  </si>
  <si>
    <t>inv biosensor</t>
  </si>
  <si>
    <t xml:space="preserve">follow up FPnya danis </t>
  </si>
  <si>
    <t>PT. Elba Lab Medika</t>
  </si>
  <si>
    <t>Pembelian Pesanan (PKM Ciawi ) Uric acid dan Glucose</t>
  </si>
  <si>
    <t>surat-pesanan-EP-01K3Q5WHEXQ3VZNQBKWARSAMDH Pkm Ciawi Erba.pdf</t>
  </si>
  <si>
    <t>PO MPG-270825006 Elba Medika Revisi.pdf</t>
  </si>
  <si>
    <t>Inv Elba</t>
  </si>
  <si>
    <t>Pembelian Pesanan (PKM Karyamekar) Alcohol swab, blue dan yellow tip</t>
  </si>
  <si>
    <t>part of SO no.15</t>
  </si>
  <si>
    <t>Pembelanjaan PKM Karyamekar (sp 27-08-25)</t>
  </si>
  <si>
    <t xml:space="preserve">Shopee </t>
  </si>
  <si>
    <t>Pembelian Pesanan (PKM Pasir Angin) Apar 3kg</t>
  </si>
  <si>
    <t>surat-pesanan-EP-01K3T38R3TQ03RS3GZPYQRVWJ9 PKM Pasir Angin (Apar)</t>
  </si>
  <si>
    <t>PKM Pasir Angin - Apar 3kg</t>
  </si>
  <si>
    <t>PT. Burhan Sejahtera Mulia</t>
  </si>
  <si>
    <t>Pembelian Pesanan (PKM Karyamekar) Vacum Tube Plain</t>
  </si>
  <si>
    <t>Patt of SO np.15</t>
  </si>
  <si>
    <t>PO ke PT. BSM (vacum tube)</t>
  </si>
  <si>
    <t>inv bsm (vacume tube)</t>
  </si>
  <si>
    <t>fp akan di fu setelah barang tiba</t>
  </si>
  <si>
    <t>Pembelian Pesanan (PKM Bojong) cover glass dan bisturi</t>
  </si>
  <si>
    <t>Surat Pesanan PKM Bojong (3 Sep 2025)</t>
  </si>
  <si>
    <t>Bisturi dan Cover glass PKM Bojong</t>
  </si>
  <si>
    <t>Pembelian Pesanan (PKM Bojong) kassa steril</t>
  </si>
  <si>
    <t>Kassa Steril PKM Bojong</t>
  </si>
  <si>
    <t>Toko Pramuka</t>
  </si>
  <si>
    <t>Pembelian Pesanan (PKM Sentul) 10box Safeguard</t>
  </si>
  <si>
    <t>Safeguard PKM Sentul</t>
  </si>
  <si>
    <t>ditunda dl</t>
  </si>
  <si>
    <t xml:space="preserve">Pembelian Pesanan (RSPP) PO ke 3 </t>
  </si>
  <si>
    <t>Surat Pesanan RSPP (PO 3)</t>
  </si>
  <si>
    <t>PO ke Top Point (Pesanan RSPP PO 3)</t>
  </si>
  <si>
    <t>Inv TP (PO 3 RSPP)</t>
  </si>
  <si>
    <t>FP - Top Point (PO 3 RSPP)</t>
  </si>
  <si>
    <t>Pembelian Kekurangan Stock Suntikan RSUD</t>
  </si>
  <si>
    <t>Surat Pesanan Suntikan RSUD Cibinong</t>
  </si>
  <si>
    <t>PO ke TOP POINT (stok suntikan rsud)</t>
  </si>
  <si>
    <t>Inv TP (stok suntikan rsud)</t>
  </si>
  <si>
    <t>FP TP (stok suntikan rsud)</t>
  </si>
  <si>
    <t>Pembelian Reagen RSUD Cibinong (Nodin 15)</t>
  </si>
  <si>
    <t>SPH RSUD CIBINONG NODIN 15 (1).pdf</t>
  </si>
  <si>
    <t>nodin 15 rsud cibinong</t>
  </si>
  <si>
    <t>PO ke SMS (nodin 15 RSUD Cibinong)</t>
  </si>
  <si>
    <t xml:space="preserve">inv sms </t>
  </si>
  <si>
    <t>FP SMS (nodin 15 RSUD Cibinong)</t>
  </si>
  <si>
    <t>Pembelian Pesanan (PKM Bojong) Reagen Asam Urat</t>
  </si>
  <si>
    <t>part of SO no.20</t>
  </si>
  <si>
    <t>PO MPG-080925003 BSM.pdf</t>
  </si>
  <si>
    <t>Inv BSM</t>
  </si>
  <si>
    <t>akan di follow up</t>
  </si>
  <si>
    <t>Pembelanjaan Pesanan Tambahan (PKM Bojong) Carpule dan Plastik Sampah Medis</t>
  </si>
  <si>
    <t>Pesanan Tambahan PKM Bojong</t>
  </si>
  <si>
    <t>PT. Tirta Investama</t>
  </si>
  <si>
    <t>Pembaayaran Aqua Galon Gedung</t>
  </si>
  <si>
    <t>inv aqua</t>
  </si>
  <si>
    <t>fp aqua</t>
  </si>
  <si>
    <t>Pembellian Pesanan (RSPP) PO ke 4</t>
  </si>
  <si>
    <t>PO KE 4 RSPP</t>
  </si>
  <si>
    <t>po ke tp (rspp ke 4)</t>
  </si>
  <si>
    <t>INV TP : 034/TPM/IX/2025</t>
  </si>
  <si>
    <t>FP TP : 04002500280251436</t>
  </si>
  <si>
    <t>Gedung</t>
  </si>
  <si>
    <t>Pembayaran Listrik dan Parkir Gedung (pemakaian agustus)</t>
  </si>
  <si>
    <t>listrik parkir agustus.pdf</t>
  </si>
  <si>
    <t>Pembelian Kekurangan Plastik Sampah Medis (PKM Bojong)</t>
  </si>
  <si>
    <t>NOTA PERABOT KANTOR MATA PENSIL 09 25.pdf</t>
  </si>
  <si>
    <t>Pembelian Kekurangan Plastik PKM Bojong</t>
  </si>
  <si>
    <t>Pembelian Kontrol Kimia (PKM Balekambang)</t>
  </si>
  <si>
    <t xml:space="preserve">Pesanan Balekambang </t>
  </si>
  <si>
    <t>Kontrol Kimia</t>
  </si>
  <si>
    <t>Pembelian Pesanan (PKM Cipeucang)</t>
  </si>
  <si>
    <t>Surat Pesanan  BMHP PKM Cipeucang.pdf</t>
  </si>
  <si>
    <t>Pembelanjaan Pesanan PKM Cipeucang.pdf</t>
  </si>
  <si>
    <t>Pembelian Pesanan (PKM Kelapa Dua) Plastik Sampah</t>
  </si>
  <si>
    <t>SP Belanja Kebersihan Puskesmas Kelapa Dua September 2025.pdf</t>
  </si>
  <si>
    <t>plastik sampah pkm kelapa dua.pdf</t>
  </si>
  <si>
    <t>Pembelian Pesanan (PKM Kelapa Dua) Pengharum Ruangan spray dan gantung dahlia</t>
  </si>
  <si>
    <t>Pengahrum spray dan gantung Dahlia</t>
  </si>
  <si>
    <t>Pembelian Pesanan (PKM Kelapa Dua) tissue livi dan paseo</t>
  </si>
  <si>
    <t>tissue livi dan paseo.pdf</t>
  </si>
  <si>
    <t>Pembelian Pesanan (PKM Kelapa Dua) Baygon</t>
  </si>
  <si>
    <t>baygon.pdf</t>
  </si>
  <si>
    <t>Pembelian Pesanan (PKM Kelapa Dua) switzal dan minyak telon</t>
  </si>
  <si>
    <t>switzal dan minyak telon.pdf</t>
  </si>
  <si>
    <t>Pembelian Pesanan (PKM Kelapa Dua) kamper</t>
  </si>
  <si>
    <t>kamper dan pewangi kopi.pdf</t>
  </si>
  <si>
    <t>Pembelian Pesanan (PKM Kelapa Dua) tempat sampah</t>
  </si>
  <si>
    <t>tempat sampah shinpo</t>
  </si>
  <si>
    <t>Pembelian Pesanan (PKM Kelapa Dua) sapu,ember,sikat,keset,sapu plafon,air spray</t>
  </si>
  <si>
    <t>sikat,sapu,ember,keset,sapu plafon,automatic spray.pdf</t>
  </si>
  <si>
    <t>PT. Top Point</t>
  </si>
  <si>
    <t>Pembelian Pesanan RSPP PO ke 5</t>
  </si>
  <si>
    <t>Surat Pesanan RSPP Po 5</t>
  </si>
  <si>
    <t>PO ke TP RSPP PO 5</t>
  </si>
  <si>
    <t>RSPP PO 5</t>
  </si>
  <si>
    <t>FP TP PO 5</t>
  </si>
  <si>
    <t>PT. Sangiang Karya Mandiri</t>
  </si>
  <si>
    <t>Pembelian Pesanan Dinkes Tasikmalaya</t>
  </si>
  <si>
    <t>SP 46 Genta (1).pdf</t>
  </si>
  <si>
    <t>po ke pt.sangiang</t>
  </si>
  <si>
    <t>inv</t>
  </si>
  <si>
    <t>Pembelian Pesanan (PKM Kelapa Dua) mop pel, kain lap, sikat gagang</t>
  </si>
  <si>
    <t>mop pel, kain lap, sikat gagang.pdf</t>
  </si>
  <si>
    <t>Pembelian Pesanan (PKM Kelapa Dua) pembersih kaca</t>
  </si>
  <si>
    <t>Pembersih Kaca</t>
  </si>
  <si>
    <t>Pembelian Pesanan (PKM Kelapa Dua) hand sanitizer</t>
  </si>
  <si>
    <t>hand sanitizer</t>
  </si>
  <si>
    <t>Pembelian Pesanan (PKM Kelapa Dua) karbol, cuci tangan, cuci piring</t>
  </si>
  <si>
    <t>karbol,cucitangan,cucipiring</t>
  </si>
  <si>
    <t>Pembelian Pesanan (PKM Kelapa Dua) byclin</t>
  </si>
  <si>
    <t>byclin</t>
  </si>
  <si>
    <t>Pembelian Pesanan (PKM Kelapa Dua) porstex</t>
  </si>
  <si>
    <t>porstex</t>
  </si>
  <si>
    <t>Nama Barang</t>
  </si>
  <si>
    <t>Satuan/volume</t>
  </si>
  <si>
    <t>Banyaknya</t>
  </si>
  <si>
    <t>Sales</t>
  </si>
  <si>
    <t>PPN</t>
  </si>
  <si>
    <t>beli</t>
  </si>
  <si>
    <t>Harga</t>
  </si>
  <si>
    <t>Pembelian Pesanan (PKM Bojong Gede) Spons Sapu Lidi Sapu lantai kain pel</t>
  </si>
  <si>
    <t>surat-pesanan-EP-01K64RKYR001N8JKV3440C0J3N Pkm Bojong Gede (1).pdf</t>
  </si>
  <si>
    <t>Pembelanjaan PKM Bojong Gede (Spons^J Sapu Lidi^J Sapu lantai^J Pel).pdf</t>
  </si>
  <si>
    <t>egens</t>
  </si>
  <si>
    <t>25 pack</t>
  </si>
  <si>
    <t>Pembelian Pesanan (PKM Bojong Gede) Karbol dan Sabun cuci tangan</t>
  </si>
  <si>
    <t>Pembelanjaan PKM Bojong Gede (Karbol dan Sabun Cuci Tangan).pdf</t>
  </si>
  <si>
    <t>safety box</t>
  </si>
  <si>
    <t xml:space="preserve">5L </t>
  </si>
  <si>
    <t>Pembelian Pesanan (PKM Bojong Gede) Tissue</t>
  </si>
  <si>
    <t>Pembelian Pesanan PKM Bojong Gede (Tissue)</t>
  </si>
  <si>
    <t>bimaxima</t>
  </si>
  <si>
    <t>4x5ml</t>
  </si>
  <si>
    <t>PT. Bintang Setya Media</t>
  </si>
  <si>
    <t>Pembayaran Service Printer</t>
  </si>
  <si>
    <t>Service Printer</t>
  </si>
  <si>
    <t>SALES</t>
  </si>
  <si>
    <t>Pembelian Tinta Printer</t>
  </si>
  <si>
    <t>Pembelian Pesanan RS Suyoto</t>
  </si>
  <si>
    <t>Pesanan RS Suyoto</t>
  </si>
  <si>
    <t>PO ke TP (Pesanan RS Suyoto)</t>
  </si>
  <si>
    <t>inv TP (RS Suyoto)</t>
  </si>
  <si>
    <t>FP - Top Point (RS Suyoto)</t>
  </si>
  <si>
    <t>PT. Whira Pitoe Usaha Bersama</t>
  </si>
  <si>
    <t>Pembelian Biomaxima Biopath (Dinkes Tasikmalaya)</t>
  </si>
  <si>
    <t>Pembelian Barang ke PT.Whira</t>
  </si>
  <si>
    <t>Pembelian Egens Combo Diagnostic Kit Multi Drug Panel (Dinkes Tasikmalaya)</t>
  </si>
  <si>
    <t>Pembelian ke PT. Sangiang</t>
  </si>
  <si>
    <t>PT. BSM</t>
  </si>
  <si>
    <t xml:space="preserve">Pembelian Monetes </t>
  </si>
  <si>
    <t>Pembelian Pesanan Dinkes Tasik (PT BSM)</t>
  </si>
  <si>
    <t>Pramuka</t>
  </si>
  <si>
    <t xml:space="preserve">Pembelian 70 Box sarung tangan (Pesanan PKM Sentul) </t>
  </si>
  <si>
    <t>BMHP Sentul.pdf</t>
  </si>
  <si>
    <t>Sarung Tangan Latex</t>
  </si>
  <si>
    <t>Alcohol Swab (PKM SENTUL) 50 Box</t>
  </si>
  <si>
    <t>Alcohol swab</t>
  </si>
  <si>
    <t>Masker 50 Box (PKM Sentul)</t>
  </si>
  <si>
    <t>Masker Baymed Hijab</t>
  </si>
  <si>
    <t>Pembelian Spuit 3cc</t>
  </si>
  <si>
    <t>MPG-021025003 - Top Point (PKM Sentul).pdf</t>
  </si>
  <si>
    <t>tempo</t>
  </si>
  <si>
    <t>INV TP (6 okt 2025).pdf</t>
  </si>
  <si>
    <t>FP TP (6 okt 2025).pdf</t>
  </si>
  <si>
    <t>BSM</t>
  </si>
  <si>
    <t>Pembelian Tabung Plan Merah, Stik Asam Urat, Stik Kolestrol, EDTA 3ML (PKM CIAWI)</t>
  </si>
  <si>
    <t>surat-pesanan-EP-01K6M1B6X4Q02429HWGQBC58JY PKM CIAWI.pdf</t>
  </si>
  <si>
    <t>MPG-031025005 - PT. BSM ...pdf</t>
  </si>
  <si>
    <t>INV BSM 7/10/25</t>
  </si>
  <si>
    <t>shopee</t>
  </si>
  <si>
    <t>Pembelian Yellow Tip (PKM CIAWI)</t>
  </si>
  <si>
    <t>yellow tip pkm ciawi</t>
  </si>
  <si>
    <t>Pembelian Kartu Goldar (PKM CIAWI)</t>
  </si>
  <si>
    <t>Kartu Goldar PKM ciawi</t>
  </si>
  <si>
    <t>Pembelian Pot Urine (PKM CIAWI)</t>
  </si>
  <si>
    <t>Pot urine pkm ciawi</t>
  </si>
  <si>
    <t>Cashback pkm cihideng udik2, cogrek,cangkurawok</t>
  </si>
  <si>
    <t>PT. Wira Pithoe</t>
  </si>
  <si>
    <t>Pembelian Reagen Cholestrol (Dinkes Tasik)</t>
  </si>
  <si>
    <t>SP Dinkes Tasikmalaya</t>
  </si>
  <si>
    <t>INV - PT. WHIRA</t>
  </si>
  <si>
    <t>Pembelian Edta (Dinkes Tasik) dan untuk stock</t>
  </si>
  <si>
    <t>PO - BSM (dinkes tasik).pdf</t>
  </si>
  <si>
    <t>Inv BSM - 8/10/25</t>
  </si>
  <si>
    <t>Cover glass (Dinkes Tasik)</t>
  </si>
  <si>
    <t>cover glass (dinkes tasik).pdf</t>
  </si>
  <si>
    <t>PT. Biosensor</t>
  </si>
  <si>
    <t>Pembelian Stik Codefree (PKM CIAWI)</t>
  </si>
  <si>
    <t>MPG-031025004 - PO BIOSENSOR.pdf</t>
  </si>
  <si>
    <t>4356 - INV BIOSENSOR.pdf</t>
  </si>
  <si>
    <t>Cashback PKM Kelapa 2</t>
  </si>
  <si>
    <t>cashback pkm kelapa 2.pdf</t>
  </si>
  <si>
    <t>PT. Klipindo Plastik Pratama</t>
  </si>
  <si>
    <t>Pesanan Plastik (RSUD Ps.Minggu) 1.000 Pack dan pkm sentul 300 pack</t>
  </si>
  <si>
    <t>Rsud Pasar Minggu.pdf</t>
  </si>
  <si>
    <t>MPG-101025010 - PT. Klipindo Plastik Pratama.pdf</t>
  </si>
  <si>
    <t>Plastik Klip.pdf</t>
  </si>
  <si>
    <t>Pembelian Pesanan APAR 3.5 KG (PKM Bojong)</t>
  </si>
  <si>
    <t>surat-pesanan-EP-01K6M7R46NK0HCYZ9GCCRKJKVV Pkm Bojong.pdf</t>
  </si>
  <si>
    <t>apar 3,5 kg.pdf</t>
  </si>
  <si>
    <t>Pembelian Feeding Tube (RSUD DR. ADJIDARMO)</t>
  </si>
  <si>
    <t>SP RSUD Adjidarmo.pdf</t>
  </si>
  <si>
    <t>MPG-081025007 - Top Point (Feeding Tube).pdf</t>
  </si>
  <si>
    <t>Tempo</t>
  </si>
  <si>
    <t>PT Wira Pithoe</t>
  </si>
  <si>
    <t>Pesanan Dinkes Tasik (koletsrol,trigiliserida,sgot,sgpt,ureum,kreatinin)</t>
  </si>
  <si>
    <t>Surat Pesanan Dinkes Tasikmalaya</t>
  </si>
  <si>
    <t>MPG-131025012 - PT WIRA PITHOE (dinkes tasik).pdf</t>
  </si>
  <si>
    <t>WPUB3523 PT MATA PENSIL GLOBALINDO (1).pdf</t>
  </si>
  <si>
    <t>PT. Dhyas Mitra Usaha</t>
  </si>
  <si>
    <t>Pesanan Dinkes Tasik (Pot urine, Alcohol swab, sarung tangan s/m)</t>
  </si>
  <si>
    <t>MPG-131025013 - PT. DHYAS (Dinkes Tasikmalaya).pdf</t>
  </si>
  <si>
    <t>024_ INV  PT MATA PENSIL GLOBALINDO.pdf</t>
  </si>
  <si>
    <t>PT. SGM</t>
  </si>
  <si>
    <t>Pesanan Dinkes Tasik (Goldar Set)</t>
  </si>
  <si>
    <t>MPG-131025015 - PT.SGM.pdf</t>
  </si>
  <si>
    <t>inv SGM (dinkes tasik)</t>
  </si>
  <si>
    <t>Pesanan Dinkes Tasik (Tes kehamilan,tabung edta,tabung gel,yellow white tip,urine p,led)</t>
  </si>
  <si>
    <t>MPG-131025014 -BSM (Dinkes Tasik).pdf</t>
  </si>
  <si>
    <t>Inv BSM (Pesanan Dinkes)</t>
  </si>
  <si>
    <t>Pesanan Dinkes Tasik (Kartu Goldar)</t>
  </si>
  <si>
    <t>Kartu Golongan Darah (Dinkes Tasik)</t>
  </si>
  <si>
    <t>Pesanan Dinkes Tasik (Rak Tabung)</t>
  </si>
  <si>
    <t>Rak Tabung ESR</t>
  </si>
  <si>
    <t>Pesanan Dinkes Tasik ( Tourniquet)</t>
  </si>
  <si>
    <t>Tourniquet (Dinkes Tasik)</t>
  </si>
  <si>
    <t>Pesanan Dinkes Tasik (Okplast)</t>
  </si>
  <si>
    <t>Okplast (Dinkes Tasik)</t>
  </si>
  <si>
    <t>Pesanan Dinkes Tasik (Masker)</t>
  </si>
  <si>
    <t>Masker (Dinkes Tasik)</t>
  </si>
  <si>
    <t>PT.Top Point</t>
  </si>
  <si>
    <t xml:space="preserve">Pesanan RSPP </t>
  </si>
  <si>
    <t>po rspp (6)</t>
  </si>
  <si>
    <t>MPG-011025001 - TOP POINT (Pesanan RSPP) ..pdf</t>
  </si>
  <si>
    <t>Inv TP (Po 6 RSPP).pdf</t>
  </si>
  <si>
    <t>FP - TP (po 6 rspp).pdf</t>
  </si>
  <si>
    <t>Galon Kantor (Pemakaian September)</t>
  </si>
  <si>
    <t>Galon Kantor (pemakaian september).pdf</t>
  </si>
  <si>
    <t>FP Galon Sept.pdf</t>
  </si>
  <si>
    <t>Pesanan Tambahan (Dinkes Tasik) Safety Box</t>
  </si>
  <si>
    <t>SP 53 mata pensil susulan add.jpg</t>
  </si>
  <si>
    <t>MPG-141025016 - PT. BSM (Safety Box).pdf</t>
  </si>
  <si>
    <t>Invoice BSM (Safety Box)</t>
  </si>
  <si>
    <t>PT Bintang Setya Media</t>
  </si>
  <si>
    <t>Tinta Printer (9-oct-25).pdf</t>
  </si>
  <si>
    <t>Tinta Printer (13-oct-25).pdf</t>
  </si>
  <si>
    <t>Pembelian Deckglass (Dinkes Tasik)</t>
  </si>
  <si>
    <t>MPG-141025017 - PT BSM (deckglass).pdf</t>
  </si>
  <si>
    <t xml:space="preserve">Deckglass </t>
  </si>
  <si>
    <t xml:space="preserve">Listrik dan Parkir Gedung </t>
  </si>
  <si>
    <t>tagihan listrik (pemakaian sept).pdf</t>
  </si>
  <si>
    <t>Pengajuan dinas tasik pa agus</t>
  </si>
  <si>
    <t>pengajuan dinas tasik.pdf</t>
  </si>
  <si>
    <t>Pembayaran CDAKB</t>
  </si>
  <si>
    <t>TRIDIA_SPB-DK-251423548NOJhF0707 (2).pdf</t>
  </si>
  <si>
    <t>Pemesanan PO Ke 8 (RSPP)</t>
  </si>
  <si>
    <t>sp rspp (po 8)</t>
  </si>
  <si>
    <t>MPG-131025011 - Top Point (RSPP).pdf</t>
  </si>
  <si>
    <t>Stock suntikan rspp</t>
  </si>
  <si>
    <t>RSPP - (PO KE 9)</t>
  </si>
  <si>
    <t>MPG-141025019 - Top Point (Stock RSPP).pdf</t>
  </si>
  <si>
    <t>Lalamove antar barang pesanan rs adjidarmo</t>
  </si>
  <si>
    <t>Lalamove antar pesanan rs adjidarmo.pdf</t>
  </si>
  <si>
    <t>Advance rizky bertemu kepala pkm pasir angin</t>
  </si>
  <si>
    <t>pengajuan advance kibo.pdf</t>
  </si>
  <si>
    <t>Pembelian pesanan (UPK KEMENKES)</t>
  </si>
  <si>
    <t>surat-pesanan-EP-01K7DPKYXJ1AF4X8HQ0MZ3N8DV UPK KEMENKES.pdf</t>
  </si>
  <si>
    <t>Oral Gel (Pesanan UPK Kemenkes).pdf</t>
  </si>
  <si>
    <t>PT. MBC</t>
  </si>
  <si>
    <t>Pembelian ganti barang rusak (pkm balekambang)</t>
  </si>
  <si>
    <t>16-Okt-25</t>
  </si>
  <si>
    <t>MBC (kontrol hema).pdf</t>
  </si>
  <si>
    <t>FP MBC.pdf</t>
  </si>
  <si>
    <t>Reimburse Kibo (17 okt 25)</t>
  </si>
  <si>
    <t>17-okt-25</t>
  </si>
  <si>
    <t>reimburse pengiriman barang Rizky.pdf</t>
  </si>
  <si>
    <t>Pembelian GC Fuji ix 5 Pack (Pesanan PKM Cileungsi)</t>
  </si>
  <si>
    <t>sp gigi.pdf</t>
  </si>
  <si>
    <t>20-okt-25</t>
  </si>
  <si>
    <t>pkm cileungsi (gc fuji 5 pack).pdf</t>
  </si>
  <si>
    <t>PT. WHIRA PITOE</t>
  </si>
  <si>
    <t>Pembelian Reagen Asam urat (pesanan dinkes tasik)</t>
  </si>
  <si>
    <t>SP dinkes tasik (po 4).jpg</t>
  </si>
  <si>
    <t>MPG-211025023 - PT. WHIRA PITOE (URIC ACID BIOMAXIMA).pdf</t>
  </si>
  <si>
    <t>22-okt-25</t>
  </si>
  <si>
    <t>WPUB3702 PT MATA PENSIL GLOBALINDO.pdf</t>
  </si>
  <si>
    <t>Pembelian Spuit BD 5cc (pesanan dinkes tasik)</t>
  </si>
  <si>
    <t>MPG-221025025 - PT. BSM (SPUIT BD 5CC).pdf</t>
  </si>
  <si>
    <t>inv BSM Spuit BD 5cc.pdf</t>
  </si>
  <si>
    <t>PT. DHYAS MITRA USAHA</t>
  </si>
  <si>
    <t>Pembelian Okplast dan Alcohol Swab (Pesanan Dinkes tasik)</t>
  </si>
  <si>
    <t>MPG-221025024 - PT DHYAS MITRA USAHA (ALCOHOL SWAB DAN OKPLAST).pdf</t>
  </si>
  <si>
    <t>029_ INV PT MATA PENSIL GLOBALINDO.pdf</t>
  </si>
  <si>
    <t>029_  FP PT MATA PENSIL GLOBALINDO PT DHYAS.pdf</t>
  </si>
  <si>
    <t>Top Up petty cash</t>
  </si>
  <si>
    <t>Uang kecelakaan ka yudith</t>
  </si>
  <si>
    <t>Uang kecelakaan ka yudith.pdf</t>
  </si>
  <si>
    <t>Kasbon Oprasional Pak Nasir</t>
  </si>
  <si>
    <t>22-Okt-25</t>
  </si>
  <si>
    <t>PT. Tripatria</t>
  </si>
  <si>
    <t>Pembelian pesanan Dinkes Bogor</t>
  </si>
  <si>
    <t>surat-pesanan-EP-01K6WCTJWYE165YPZMK0EMZMER (1).pdf</t>
  </si>
  <si>
    <t>TEMPO</t>
  </si>
  <si>
    <t>MPG-231025027 - PT. Tripatria.pdf</t>
  </si>
  <si>
    <t>PT. SMS</t>
  </si>
  <si>
    <t>MPG-231025028 - PT. SMS.pdf</t>
  </si>
  <si>
    <t>INV SMS (DINKES BOGOR).pdf</t>
  </si>
  <si>
    <t>MPG-231025026 - PT. ELBA LAB MEDIKA.pdf</t>
  </si>
  <si>
    <t>PI MATA PENSIL 241025.pdf</t>
  </si>
  <si>
    <t>Reimburse ops yoga (23 okt 2025)</t>
  </si>
  <si>
    <t>Reimburse yoga 23 okt.pdf</t>
  </si>
  <si>
    <t>Cashback pkm gandoang3,pasir angin4,bojong2,bojong gede, karyamekar</t>
  </si>
  <si>
    <t>cashback pkm (23 agt 25).pdf</t>
  </si>
  <si>
    <t>wifi kantor sentul okt 25</t>
  </si>
  <si>
    <t>wifi sentul okt 25.pdf</t>
  </si>
  <si>
    <t>kasbon pak adrian adek kayu</t>
  </si>
  <si>
    <t>Pembayaran Eranya Cloud</t>
  </si>
  <si>
    <t>EAD.INV.1745.X.2025 (1).pdf</t>
  </si>
  <si>
    <t>Entertain Pak romi dan client</t>
  </si>
  <si>
    <t>Entertain Pak Romi &amp; Client.pdf</t>
  </si>
  <si>
    <t>Pembelian rinso 10 pack (pkm cileungsi)</t>
  </si>
  <si>
    <t>surat-pesanan-EP-01K7E2XN5Q0J6QA4FPP2GF0YT2 PKM CILEUNGSI (2).pdf</t>
  </si>
  <si>
    <t>Rinso 10 pack.pdf</t>
  </si>
  <si>
    <t>Pembelian tissue jolly 120 pack (pkm cileungsi)</t>
  </si>
  <si>
    <t>Tissue Jolly 120 pack.pdf</t>
  </si>
  <si>
    <t>Pembelian sapu dragon 4 (pkm cileungsi)</t>
  </si>
  <si>
    <t>Sapu Dragon 4.pdf</t>
  </si>
  <si>
    <t>Pembelian sapu plafon 2 (pkm cileungsi)</t>
  </si>
  <si>
    <t>Sapu Plafon 2.pdf</t>
  </si>
  <si>
    <t>Pembelian karbol 20 pacl (pkm cileungsi)</t>
  </si>
  <si>
    <t>Karbol 20 Pack.pdf</t>
  </si>
  <si>
    <t>Pembelian alat pel mop 4 (pkm cileungsi)</t>
  </si>
  <si>
    <t>alat pel mop.pdf</t>
  </si>
  <si>
    <t>Pembelian sabun cuci tangan 5 botol (pkm cileungsi)</t>
  </si>
  <si>
    <t>Sabun Cuci Tangan 5 Liter (5 Botol).pdf</t>
  </si>
  <si>
    <t>Pembelian sabun cuci piring 3 botol (pkm cileungsi)</t>
  </si>
  <si>
    <t>Sabun Cuci Piring 5 Liter (3 botol).pdf</t>
  </si>
  <si>
    <t>PT. Klipindo</t>
  </si>
  <si>
    <t>Pembelian Plastik Klip (pesanan rsud ciawi)</t>
  </si>
  <si>
    <t>SPK Plastik Obat RSUD Ciawi.pdf</t>
  </si>
  <si>
    <t>MPG-211025021 - PT. Klipindo Plastik (7x10).pdf</t>
  </si>
  <si>
    <t>INV 20 DUS PLASTIK KLIP (KLIPINDO PLASTIK).pdf</t>
  </si>
  <si>
    <t>Pembelian Plastik Klip (pesanan pkm jagakarsa)</t>
  </si>
  <si>
    <t>surat-pesanan-EP-01K88294HVAWHWZJHHEJQJR81J PKM Jagakarsa.pdf</t>
  </si>
  <si>
    <t>MPG-271025031 - PT KLIPINDO PLASTIK PRATAMA.pdf</t>
  </si>
  <si>
    <t>Reimburse Ops Ali</t>
  </si>
  <si>
    <t>Reimburse Ali 27 okt.pdf</t>
  </si>
  <si>
    <t>Reimbuse Ops Kibo</t>
  </si>
  <si>
    <t>Reimbursw Kibo 27 Okt.pdf</t>
  </si>
  <si>
    <t>Top Up Petty Cash</t>
  </si>
  <si>
    <t>Pemerintah</t>
  </si>
  <si>
    <t>Pemungut</t>
  </si>
  <si>
    <t>laptop</t>
  </si>
  <si>
    <t>mouse</t>
  </si>
  <si>
    <t>Total</t>
  </si>
  <si>
    <t>DPP</t>
  </si>
  <si>
    <t>ini setara nilai invoice</t>
  </si>
  <si>
    <t>PPH</t>
  </si>
  <si>
    <t>NET RECEIPT</t>
  </si>
  <si>
    <t>DPP LAIINYA</t>
  </si>
  <si>
    <t>OTOMATIS DARI SHEET PURCHASE</t>
  </si>
  <si>
    <t xml:space="preserve">Lampirkan BUKTI BAYAR </t>
  </si>
  <si>
    <t>Payment</t>
  </si>
  <si>
    <t>Link</t>
  </si>
  <si>
    <t>Date PO</t>
  </si>
  <si>
    <t>Rp</t>
  </si>
  <si>
    <t>By</t>
  </si>
  <si>
    <t>Other</t>
  </si>
  <si>
    <t>Outstanding</t>
  </si>
  <si>
    <t>Document</t>
  </si>
  <si>
    <t>BCA MPG</t>
  </si>
  <si>
    <t>-</t>
  </si>
  <si>
    <t>13/8/2025</t>
  </si>
  <si>
    <t>13/8/12025</t>
  </si>
  <si>
    <t>15/8/2025</t>
  </si>
  <si>
    <t>15/8/25</t>
  </si>
  <si>
    <t>Bukti TF Pesanan PKM DPT Saketi.pdf</t>
  </si>
  <si>
    <t>19/8/2025</t>
  </si>
  <si>
    <t>Pembayaran ke Top Point</t>
  </si>
  <si>
    <t>Bukti Bayar Gludenta</t>
  </si>
  <si>
    <t>22/8/2025</t>
  </si>
  <si>
    <t>Bukti Bayar Top Point</t>
  </si>
  <si>
    <t>26/8/2025</t>
  </si>
  <si>
    <t>27/8/2025</t>
  </si>
  <si>
    <t>28/8/2025</t>
  </si>
  <si>
    <t>29/8/2025</t>
  </si>
  <si>
    <t>WhatsApp Image 2025-09-03 at 17.05.49.jpeg</t>
  </si>
  <si>
    <t>WhatsApp Image 2025-09-03 at 17.04.58.jpeg</t>
  </si>
  <si>
    <t>ditunda</t>
  </si>
  <si>
    <t>WhatsApp Image 2025-09-03 at 17.04.35.jpeg</t>
  </si>
  <si>
    <t>WhatsApp Image 2025-09-03 at 17.04.23.jpeg</t>
  </si>
  <si>
    <t>control</t>
  </si>
  <si>
    <t>AR</t>
  </si>
  <si>
    <t>CB</t>
  </si>
  <si>
    <t>TB</t>
  </si>
  <si>
    <t>A/P 2024</t>
  </si>
  <si>
    <t>Cash Rp</t>
  </si>
  <si>
    <t>A/P 2025</t>
  </si>
  <si>
    <t>BII</t>
  </si>
  <si>
    <t>BCA</t>
  </si>
  <si>
    <t>total</t>
  </si>
  <si>
    <t>List</t>
  </si>
  <si>
    <t>Adj</t>
  </si>
  <si>
    <t>Client</t>
  </si>
  <si>
    <t>Diff.</t>
  </si>
  <si>
    <t>AC No.</t>
  </si>
  <si>
    <t>Account Name</t>
  </si>
  <si>
    <t>Dr.</t>
  </si>
  <si>
    <t>Cr.</t>
  </si>
  <si>
    <t>Purchases Journal</t>
  </si>
  <si>
    <t>50100-00</t>
  </si>
  <si>
    <t>Pembelian</t>
  </si>
  <si>
    <t>22104-00</t>
  </si>
  <si>
    <t>Hutang PPh 23</t>
  </si>
  <si>
    <t>Value added tax-input</t>
  </si>
  <si>
    <t>Trade payables-Rp</t>
  </si>
  <si>
    <t>Pada saat beli</t>
  </si>
  <si>
    <t>hutang</t>
  </si>
  <si>
    <t xml:space="preserve">Hutang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</si>
</sst>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[$-409]d\-mmm\-yy"/>
    <numFmt numFmtId="165" formatCode="[$-409]mmm\-yy"/>
    <numFmt numFmtId="166" formatCode="m/d/yy"/>
    <numFmt numFmtId="167" formatCode="d-mmm-yy"/>
    <numFmt numFmtId="168" formatCode="m-d-yy"/>
    <numFmt numFmtId="169" formatCode="d-mmm-yyyy"/>
    <numFmt numFmtId="170" formatCode="_(* #,##0_);_(* \(#,##0\);_(* &quot;-&quot;??_);_(@_)"/>
    <numFmt numFmtId="171" formatCode="M/d/yyyy"/>
    <numFmt numFmtId="172" formatCode="_(* #,##0_);_(* \(#,##0\);_(* &quot;-&quot;_);_(@_)"/>
    <numFmt numFmtId="173" formatCode="mm/dd/yy"/>
    <numFmt numFmtId="174" formatCode="[$-409]dd\-mmm\-yy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11.0"/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Arial"/>
      <scheme val="minor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11.0"/>
      <color rgb="FFFF0000"/>
      <name val="Calibri"/>
    </font>
    <font>
      <sz val="11.0"/>
      <color rgb="FF0000FF"/>
      <name val="Calibri"/>
    </font>
    <font/>
    <font>
      <b/>
      <sz val="11.0"/>
      <color rgb="FF0000FF"/>
      <name val="Calibri"/>
    </font>
    <font>
      <sz val="11.0"/>
      <color rgb="FF6D9EEB"/>
      <name val="Calibri"/>
    </font>
    <font>
      <sz val="11.0"/>
      <color rgb="FF3C78D8"/>
      <name val="Calibri"/>
    </font>
    <font>
      <u/>
      <color theme="1"/>
      <name val="Arial"/>
      <scheme val="minor"/>
    </font>
    <font>
      <sz val="11.0"/>
      <color rgb="FF000000"/>
      <name val="Calibri"/>
    </font>
    <font>
      <sz val="11.0"/>
      <color rgb="FF1155CC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8.0"/>
      <color theme="1"/>
      <name val="Arial"/>
    </font>
    <font>
      <sz val="8.0"/>
      <color theme="1"/>
      <name val="Century Gothic"/>
    </font>
    <font>
      <i/>
      <u/>
      <sz val="8.0"/>
      <color theme="1"/>
      <name val="Arial"/>
    </font>
    <font>
      <sz val="8.0"/>
      <color rgb="FF0000FF"/>
      <name val="Arial"/>
    </font>
    <font>
      <sz val="8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vertical="bottom"/>
    </xf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horizontal="center" readingOrder="0" vertical="bottom"/>
    </xf>
    <xf borderId="1" fillId="2" fontId="4" numFmtId="164" xfId="0" applyAlignment="1" applyBorder="1" applyFont="1" applyNumberFormat="1">
      <alignment horizontal="center" vertical="bottom"/>
    </xf>
    <xf borderId="1" fillId="2" fontId="4" numFmtId="3" xfId="0" applyAlignment="1" applyBorder="1" applyFont="1" applyNumberFormat="1">
      <alignment horizontal="center" vertical="bottom"/>
    </xf>
    <xf borderId="2" fillId="2" fontId="4" numFmtId="165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15" xfId="0" applyAlignment="1" applyBorder="1" applyFont="1" applyNumberFormat="1">
      <alignment horizontal="center" readingOrder="0" vertical="bottom"/>
    </xf>
    <xf borderId="3" fillId="0" fontId="2" numFmtId="4" xfId="0" applyAlignment="1" applyBorder="1" applyFont="1" applyNumberFormat="1">
      <alignment horizontal="right" readingOrder="0" vertical="bottom"/>
    </xf>
    <xf borderId="3" fillId="0" fontId="2" numFmtId="3" xfId="0" applyAlignment="1" applyBorder="1" applyFont="1" applyNumberFormat="1">
      <alignment vertical="bottom"/>
    </xf>
    <xf borderId="3" fillId="0" fontId="2" numFmtId="3" xfId="0" applyAlignment="1" applyBorder="1" applyFont="1" applyNumberFormat="1">
      <alignment horizontal="right" vertical="bottom"/>
    </xf>
    <xf borderId="0" fillId="0" fontId="2" numFmtId="3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3" fillId="0" fontId="2" numFmtId="166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readingOrder="0"/>
    </xf>
    <xf borderId="3" fillId="0" fontId="7" numFmtId="0" xfId="0" applyAlignment="1" applyBorder="1" applyFont="1">
      <alignment horizontal="center" readingOrder="0" vertical="bottom"/>
    </xf>
    <xf borderId="3" fillId="0" fontId="2" numFmtId="37" xfId="0" applyAlignment="1" applyBorder="1" applyFont="1" applyNumberFormat="1">
      <alignment readingOrder="0" vertical="bottom"/>
    </xf>
    <xf borderId="3" fillId="0" fontId="2" numFmtId="15" xfId="0" applyAlignment="1" applyBorder="1" applyFont="1" applyNumberFormat="1">
      <alignment horizontal="center" vertical="bottom"/>
    </xf>
    <xf borderId="3" fillId="0" fontId="2" numFmtId="164" xfId="0" applyAlignment="1" applyBorder="1" applyFont="1" applyNumberForma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3" fillId="0" fontId="2" numFmtId="3" xfId="0" applyAlignment="1" applyBorder="1" applyFont="1" applyNumberFormat="1">
      <alignment horizontal="right" readingOrder="0" vertical="bottom"/>
    </xf>
    <xf borderId="3" fillId="0" fontId="2" numFmtId="167" xfId="0" applyAlignment="1" applyBorder="1" applyFont="1" applyNumberFormat="1">
      <alignment horizontal="center" readingOrder="0" vertical="bottom"/>
    </xf>
    <xf borderId="3" fillId="0" fontId="2" numFmtId="37" xfId="0" applyAlignment="1" applyBorder="1" applyFont="1" applyNumberFormat="1">
      <alignment readingOrder="0" vertical="top"/>
    </xf>
    <xf borderId="3" fillId="0" fontId="2" numFmtId="3" xfId="0" applyAlignment="1" applyBorder="1" applyFont="1" applyNumberFormat="1">
      <alignment readingOrder="0" vertical="bottom"/>
    </xf>
    <xf borderId="3" fillId="0" fontId="2" numFmtId="1" xfId="0" applyAlignment="1" applyBorder="1" applyFont="1" applyNumberFormat="1">
      <alignment vertical="bottom"/>
    </xf>
    <xf borderId="3" fillId="0" fontId="2" numFmtId="4" xfId="0" applyAlignment="1" applyBorder="1" applyFont="1" applyNumberFormat="1">
      <alignment readingOrder="0" vertical="bottom"/>
    </xf>
    <xf borderId="3" fillId="0" fontId="4" numFmtId="3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3" fillId="3" fontId="2" numFmtId="0" xfId="0" applyAlignment="1" applyBorder="1" applyFill="1" applyFont="1">
      <alignment readingOrder="0" vertical="bottom"/>
    </xf>
    <xf borderId="3" fillId="4" fontId="2" numFmtId="37" xfId="0" applyAlignment="1" applyBorder="1" applyFill="1" applyFont="1" applyNumberFormat="1">
      <alignment readingOrder="0" vertical="bottom"/>
    </xf>
    <xf borderId="3" fillId="5" fontId="2" numFmtId="4" xfId="0" applyAlignment="1" applyBorder="1" applyFill="1" applyFont="1" applyNumberFormat="1">
      <alignment horizontal="right" readingOrder="0" vertical="bottom"/>
    </xf>
    <xf borderId="3" fillId="5" fontId="2" numFmtId="3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15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37" xfId="0" applyAlignment="1" applyFont="1" applyNumberFormat="1">
      <alignment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/>
    </xf>
    <xf borderId="0" fillId="0" fontId="4" numFmtId="4" xfId="0" applyFont="1" applyNumberFormat="1"/>
    <xf borderId="0" fillId="0" fontId="2" numFmtId="168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5" xfId="0" applyAlignment="1" applyFont="1" applyNumberFormat="1">
      <alignment vertical="bottom"/>
    </xf>
    <xf borderId="0" fillId="0" fontId="10" numFmtId="0" xfId="0" applyAlignment="1" applyFont="1">
      <alignment readingOrder="0" vertical="bottom"/>
    </xf>
    <xf borderId="0" fillId="0" fontId="2" numFmtId="169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 vertical="bottom"/>
    </xf>
    <xf borderId="3" fillId="0" fontId="11" numFmtId="0" xfId="0" applyAlignment="1" applyBorder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12" numFmtId="3" xfId="0" applyAlignment="1" applyFont="1" applyNumberFormat="1">
      <alignment horizontal="center" readingOrder="0" vertical="bottom"/>
    </xf>
    <xf borderId="0" fillId="0" fontId="2" numFmtId="37" xfId="0" applyAlignment="1" applyFont="1" applyNumberFormat="1">
      <alignment vertical="bottom"/>
    </xf>
    <xf borderId="4" fillId="2" fontId="2" numFmtId="0" xfId="0" applyAlignment="1" applyBorder="1" applyFont="1">
      <alignment vertical="bottom"/>
    </xf>
    <xf borderId="4" fillId="2" fontId="2" numFmtId="15" xfId="0" applyAlignment="1" applyBorder="1" applyFont="1" applyNumberFormat="1">
      <alignment vertical="bottom"/>
    </xf>
    <xf borderId="4" fillId="2" fontId="2" numFmtId="37" xfId="0" applyAlignment="1" applyBorder="1" applyFont="1" applyNumberFormat="1">
      <alignment vertical="bottom"/>
    </xf>
    <xf borderId="4" fillId="2" fontId="2" numFmtId="164" xfId="0" applyAlignment="1" applyBorder="1" applyFont="1" applyNumberFormat="1">
      <alignment vertical="bottom"/>
    </xf>
    <xf borderId="5" fillId="2" fontId="2" numFmtId="3" xfId="0" applyAlignment="1" applyBorder="1" applyFont="1" applyNumberFormat="1">
      <alignment vertical="bottom"/>
    </xf>
    <xf borderId="5" fillId="2" fontId="2" numFmtId="165" xfId="0" applyAlignment="1" applyBorder="1" applyFont="1" applyNumberFormat="1">
      <alignment vertical="bottom"/>
    </xf>
    <xf borderId="6" fillId="2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7" fillId="2" fontId="2" numFmtId="164" xfId="0" applyAlignment="1" applyBorder="1" applyFont="1" applyNumberFormat="1">
      <alignment vertical="bottom"/>
    </xf>
    <xf borderId="8" fillId="2" fontId="4" numFmtId="3" xfId="0" applyAlignment="1" applyBorder="1" applyFont="1" applyNumberFormat="1">
      <alignment horizontal="right" vertical="bottom"/>
    </xf>
    <xf borderId="9" fillId="2" fontId="2" numFmtId="165" xfId="0" applyAlignment="1" applyBorder="1" applyFont="1" applyNumberFormat="1">
      <alignment vertical="bottom"/>
    </xf>
    <xf borderId="0" fillId="0" fontId="8" numFmtId="4" xfId="0" applyFont="1" applyNumberFormat="1"/>
    <xf borderId="0" fillId="0" fontId="8" numFmtId="4" xfId="0" applyAlignment="1" applyFont="1" applyNumberFormat="1">
      <alignment readingOrder="0"/>
    </xf>
    <xf borderId="0" fillId="0" fontId="8" numFmtId="9" xfId="0" applyAlignment="1" applyFont="1" applyNumberFormat="1">
      <alignment readingOrder="0"/>
    </xf>
    <xf borderId="0" fillId="0" fontId="1" numFmtId="4" xfId="0" applyFont="1" applyNumberFormat="1"/>
    <xf borderId="0" fillId="0" fontId="8" numFmtId="10" xfId="0" applyAlignment="1" applyFont="1" applyNumberFormat="1">
      <alignment readingOrder="0"/>
    </xf>
    <xf borderId="0" fillId="6" fontId="4" numFmtId="0" xfId="0" applyAlignment="1" applyFill="1" applyFont="1">
      <alignment horizontal="center" readingOrder="0"/>
    </xf>
    <xf borderId="0" fillId="0" fontId="13" numFmtId="0" xfId="0" applyAlignment="1" applyFont="1">
      <alignment readingOrder="0"/>
    </xf>
    <xf borderId="5" fillId="2" fontId="2" numFmtId="0" xfId="0" applyAlignment="1" applyBorder="1" applyFont="1">
      <alignment vertical="bottom"/>
    </xf>
    <xf borderId="5" fillId="2" fontId="2" numFmtId="0" xfId="0" applyAlignment="1" applyBorder="1" applyFont="1">
      <alignment horizontal="left" vertical="bottom"/>
    </xf>
    <xf borderId="5" fillId="2" fontId="2" numFmtId="0" xfId="0" applyAlignment="1" applyBorder="1" applyFont="1">
      <alignment horizontal="center" vertical="bottom"/>
    </xf>
    <xf borderId="10" fillId="2" fontId="14" numFmtId="164" xfId="0" applyAlignment="1" applyBorder="1" applyFont="1" applyNumberFormat="1">
      <alignment horizontal="center" vertical="bottom"/>
    </xf>
    <xf borderId="11" fillId="2" fontId="14" numFmtId="164" xfId="0" applyAlignment="1" applyBorder="1" applyFont="1" applyNumberFormat="1">
      <alignment horizontal="center" vertical="bottom"/>
    </xf>
    <xf borderId="12" fillId="0" fontId="15" numFmtId="0" xfId="0" applyBorder="1" applyFont="1"/>
    <xf borderId="13" fillId="0" fontId="15" numFmtId="0" xfId="0" applyBorder="1" applyFont="1"/>
    <xf borderId="14" fillId="2" fontId="2" numFmtId="0" xfId="0" applyAlignment="1" applyBorder="1" applyFont="1">
      <alignment horizontal="center" vertical="bottom"/>
    </xf>
    <xf borderId="15" fillId="2" fontId="2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horizontal="center" readingOrder="0" vertical="bottom"/>
    </xf>
    <xf borderId="16" fillId="2" fontId="4" numFmtId="0" xfId="0" applyAlignment="1" applyBorder="1" applyFont="1">
      <alignment horizontal="center" vertical="bottom"/>
    </xf>
    <xf borderId="16" fillId="2" fontId="4" numFmtId="0" xfId="0" applyAlignment="1" applyBorder="1" applyFont="1">
      <alignment horizontal="center" readingOrder="0" vertical="bottom"/>
    </xf>
    <xf borderId="17" fillId="2" fontId="16" numFmtId="164" xfId="0" applyAlignment="1" applyBorder="1" applyFont="1" applyNumberFormat="1">
      <alignment horizontal="center" vertical="bottom"/>
    </xf>
    <xf borderId="18" fillId="2" fontId="16" numFmtId="170" xfId="0" applyAlignment="1" applyBorder="1" applyFont="1" applyNumberFormat="1">
      <alignment horizontal="center" vertical="bottom"/>
    </xf>
    <xf borderId="19" fillId="2" fontId="16" numFmtId="0" xfId="0" applyAlignment="1" applyBorder="1" applyFont="1">
      <alignment horizontal="center" vertical="bottom"/>
    </xf>
    <xf borderId="20" fillId="2" fontId="16" numFmtId="0" xfId="0" applyAlignment="1" applyBorder="1" applyFont="1">
      <alignment horizontal="center" vertical="bottom"/>
    </xf>
    <xf borderId="16" fillId="2" fontId="16" numFmtId="0" xfId="0" applyAlignment="1" applyBorder="1" applyFont="1">
      <alignment horizontal="center" vertical="bottom"/>
    </xf>
    <xf borderId="16" fillId="2" fontId="2" numFmtId="0" xfId="0" applyAlignment="1" applyBorder="1" applyFont="1">
      <alignment vertical="bottom"/>
    </xf>
    <xf borderId="21" fillId="2" fontId="2" numFmtId="0" xfId="0" applyAlignment="1" applyBorder="1" applyFont="1">
      <alignment horizontal="center" shrinkToFit="0" vertical="bottom" wrapText="0"/>
    </xf>
    <xf borderId="3" fillId="0" fontId="2" numFmtId="15" xfId="0" applyAlignment="1" applyBorder="1" applyFont="1" applyNumberFormat="1">
      <alignment vertical="bottom"/>
    </xf>
    <xf borderId="3" fillId="0" fontId="2" numFmtId="0" xfId="0" applyAlignment="1" applyBorder="1" applyFont="1">
      <alignment horizontal="left" readingOrder="0" vertical="bottom"/>
    </xf>
    <xf borderId="3" fillId="0" fontId="2" numFmtId="15" xfId="0" applyAlignment="1" applyBorder="1" applyFont="1" applyNumberFormat="1">
      <alignment readingOrder="0" vertical="bottom"/>
    </xf>
    <xf borderId="3" fillId="0" fontId="17" numFmtId="171" xfId="0" applyAlignment="1" applyBorder="1" applyFont="1" applyNumberFormat="1">
      <alignment horizontal="center" readingOrder="0" vertical="bottom"/>
    </xf>
    <xf borderId="3" fillId="0" fontId="17" numFmtId="0" xfId="0" applyAlignment="1" applyBorder="1" applyFont="1">
      <alignment horizontal="center" readingOrder="0" vertical="bottom"/>
    </xf>
    <xf borderId="3" fillId="0" fontId="2" numFmtId="172" xfId="0" applyAlignment="1" applyBorder="1" applyFont="1" applyNumberFormat="1">
      <alignment horizontal="right" readingOrder="0" vertical="bottom"/>
    </xf>
    <xf borderId="3" fillId="0" fontId="2" numFmtId="173" xfId="0" applyAlignment="1" applyBorder="1" applyFont="1" applyNumberFormat="1">
      <alignment horizontal="center" readingOrder="0"/>
    </xf>
    <xf borderId="3" fillId="0" fontId="2" numFmtId="172" xfId="0" applyBorder="1" applyFont="1" applyNumberFormat="1"/>
    <xf borderId="3" fillId="0" fontId="2" numFmtId="172" xfId="0" applyAlignment="1" applyBorder="1" applyFont="1" applyNumberFormat="1">
      <alignment horizontal="right" vertical="bottom"/>
    </xf>
    <xf borderId="3" fillId="0" fontId="2" numFmtId="3" xfId="0" applyAlignment="1" applyBorder="1" applyFont="1" applyNumberFormat="1">
      <alignment horizontal="center" vertical="bottom"/>
    </xf>
    <xf borderId="22" fillId="0" fontId="2" numFmtId="0" xfId="0" applyAlignment="1" applyBorder="1" applyFont="1">
      <alignment horizontal="center" shrinkToFit="0" vertical="bottom" wrapText="0"/>
    </xf>
    <xf borderId="3" fillId="0" fontId="17" numFmtId="3" xfId="0" applyAlignment="1" applyBorder="1" applyFont="1" applyNumberFormat="1">
      <alignment horizontal="center" readingOrder="0" vertical="bottom"/>
    </xf>
    <xf borderId="3" fillId="0" fontId="2" numFmtId="172" xfId="0" applyAlignment="1" applyBorder="1" applyFont="1" applyNumberFormat="1">
      <alignment horizontal="center" readingOrder="0"/>
    </xf>
    <xf borderId="3" fillId="0" fontId="18" numFmtId="3" xfId="0" applyAlignment="1" applyBorder="1" applyFont="1" applyNumberFormat="1">
      <alignment horizontal="center" readingOrder="0" vertical="bottom"/>
    </xf>
    <xf borderId="3" fillId="0" fontId="18" numFmtId="0" xfId="0" applyAlignment="1" applyBorder="1" applyFont="1">
      <alignment horizontal="center" readingOrder="0" vertical="bottom"/>
    </xf>
    <xf borderId="0" fillId="0" fontId="19" numFmtId="0" xfId="0" applyAlignment="1" applyFont="1">
      <alignment readingOrder="0"/>
    </xf>
    <xf borderId="3" fillId="0" fontId="20" numFmtId="172" xfId="0" applyAlignment="1" applyBorder="1" applyFont="1" applyNumberFormat="1">
      <alignment horizontal="right" readingOrder="0" vertical="bottom"/>
    </xf>
    <xf borderId="3" fillId="0" fontId="21" numFmtId="3" xfId="0" applyAlignment="1" applyBorder="1" applyFont="1" applyNumberFormat="1">
      <alignment horizontal="center" readingOrder="0" vertical="bottom"/>
    </xf>
    <xf borderId="3" fillId="0" fontId="21" numFmtId="0" xfId="0" applyAlignment="1" applyBorder="1" applyFont="1">
      <alignment horizontal="center" readingOrder="0" vertical="bottom"/>
    </xf>
    <xf borderId="3" fillId="0" fontId="2" numFmtId="174" xfId="0" applyAlignment="1" applyBorder="1" applyFont="1" applyNumberFormat="1">
      <alignment horizontal="center" readingOrder="0" vertical="bottom"/>
    </xf>
    <xf borderId="3" fillId="0" fontId="18" numFmtId="174" xfId="0" applyAlignment="1" applyBorder="1" applyFont="1" applyNumberFormat="1">
      <alignment horizontal="center" readingOrder="0" vertical="bottom"/>
    </xf>
    <xf borderId="3" fillId="0" fontId="22" numFmtId="15" xfId="0" applyAlignment="1" applyBorder="1" applyFont="1" applyNumberFormat="1">
      <alignment horizontal="left" vertical="bottom"/>
    </xf>
    <xf borderId="3" fillId="0" fontId="23" numFmtId="15" xfId="0" applyAlignment="1" applyBorder="1" applyFont="1" applyNumberFormat="1">
      <alignment horizontal="center" vertical="bottom"/>
    </xf>
    <xf borderId="3" fillId="0" fontId="2" numFmtId="15" xfId="0" applyAlignment="1" applyBorder="1" applyFont="1" applyNumberFormat="1">
      <alignment horizontal="left" vertical="bottom"/>
    </xf>
    <xf borderId="3" fillId="0" fontId="2" numFmtId="172" xfId="0" applyAlignment="1" applyBorder="1" applyFont="1" applyNumberFormat="1">
      <alignment vertical="bottom"/>
    </xf>
    <xf borderId="3" fillId="0" fontId="4" numFmtId="172" xfId="0" applyAlignment="1" applyBorder="1" applyFont="1" applyNumberFormat="1">
      <alignment horizontal="right" vertical="bottom"/>
    </xf>
    <xf borderId="3" fillId="0" fontId="18" numFmtId="172" xfId="0" applyAlignment="1" applyBorder="1" applyFont="1" applyNumberFormat="1">
      <alignment horizontal="right" vertical="bottom"/>
    </xf>
    <xf borderId="3" fillId="0" fontId="21" numFmtId="174" xfId="0" applyAlignment="1" applyBorder="1" applyFont="1" applyNumberFormat="1">
      <alignment horizontal="center" readingOrder="0" vertical="bottom"/>
    </xf>
    <xf borderId="3" fillId="7" fontId="2" numFmtId="15" xfId="0" applyAlignment="1" applyBorder="1" applyFill="1" applyFont="1" applyNumberFormat="1">
      <alignment vertical="bottom"/>
    </xf>
    <xf borderId="3" fillId="7" fontId="2" numFmtId="0" xfId="0" applyAlignment="1" applyBorder="1" applyFont="1">
      <alignment readingOrder="0" vertical="bottom"/>
    </xf>
    <xf borderId="3" fillId="0" fontId="21" numFmtId="174" xfId="0" applyAlignment="1" applyBorder="1" applyFont="1" applyNumberFormat="1">
      <alignment horizontal="center" vertical="bottom"/>
    </xf>
    <xf borderId="3" fillId="0" fontId="21" numFmtId="0" xfId="0" applyAlignment="1" applyBorder="1" applyFont="1">
      <alignment horizontal="center" vertical="bottom"/>
    </xf>
    <xf borderId="3" fillId="0" fontId="2" numFmtId="173" xfId="0" applyAlignment="1" applyBorder="1" applyFont="1" applyNumberFormat="1">
      <alignment vertical="bottom"/>
    </xf>
    <xf borderId="23" fillId="2" fontId="2" numFmtId="16" xfId="0" applyAlignment="1" applyBorder="1" applyFont="1" applyNumberFormat="1">
      <alignment vertical="bottom"/>
    </xf>
    <xf borderId="4" fillId="2" fontId="2" numFmtId="0" xfId="0" applyAlignment="1" applyBorder="1" applyFont="1">
      <alignment horizontal="left" vertical="bottom"/>
    </xf>
    <xf borderId="4" fillId="2" fontId="2" numFmtId="0" xfId="0" applyAlignment="1" applyBorder="1" applyFont="1">
      <alignment horizontal="center" vertical="bottom"/>
    </xf>
    <xf borderId="4" fillId="2" fontId="2" numFmtId="16" xfId="0" applyAlignment="1" applyBorder="1" applyFont="1" applyNumberFormat="1">
      <alignment vertical="bottom"/>
    </xf>
    <xf borderId="24" fillId="2" fontId="2" numFmtId="0" xfId="0" applyAlignment="1" applyBorder="1" applyFont="1">
      <alignment vertical="bottom"/>
    </xf>
    <xf borderId="5" fillId="2" fontId="2" numFmtId="164" xfId="0" applyAlignment="1" applyBorder="1" applyFont="1" applyNumberFormat="1">
      <alignment vertical="bottom"/>
    </xf>
    <xf borderId="5" fillId="2" fontId="2" numFmtId="172" xfId="0" applyAlignment="1" applyBorder="1" applyFont="1" applyNumberFormat="1">
      <alignment vertical="bottom"/>
    </xf>
    <xf borderId="19" fillId="2" fontId="2" numFmtId="0" xfId="0" applyAlignment="1" applyBorder="1" applyFont="1">
      <alignment vertical="bottom"/>
    </xf>
    <xf borderId="18" fillId="2" fontId="2" numFmtId="0" xfId="0" applyAlignment="1" applyBorder="1" applyFont="1">
      <alignment vertical="bottom"/>
    </xf>
    <xf borderId="18" fillId="2" fontId="2" numFmtId="0" xfId="0" applyAlignment="1" applyBorder="1" applyFont="1">
      <alignment horizontal="left" vertical="bottom"/>
    </xf>
    <xf borderId="18" fillId="2" fontId="2" numFmtId="0" xfId="0" applyAlignment="1" applyBorder="1" applyFont="1">
      <alignment horizontal="center" vertical="bottom"/>
    </xf>
    <xf borderId="16" fillId="2" fontId="2" numFmtId="170" xfId="0" applyAlignment="1" applyBorder="1" applyFont="1" applyNumberFormat="1">
      <alignment horizontal="right" vertical="bottom"/>
    </xf>
    <xf borderId="16" fillId="2" fontId="2" numFmtId="164" xfId="0" applyAlignment="1" applyBorder="1" applyFont="1" applyNumberFormat="1">
      <alignment vertical="bottom"/>
    </xf>
    <xf borderId="16" fillId="2" fontId="2" numFmtId="170" xfId="0" applyAlignment="1" applyBorder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2" numFmtId="170" xfId="0" applyAlignment="1" applyFont="1" applyNumberFormat="1">
      <alignment horizontal="right" vertical="bottom"/>
    </xf>
    <xf borderId="0" fillId="0" fontId="2" numFmtId="170" xfId="0" applyAlignment="1" applyFont="1" applyNumberFormat="1">
      <alignment vertical="bottom"/>
    </xf>
    <xf borderId="23" fillId="8" fontId="2" numFmtId="0" xfId="0" applyAlignment="1" applyBorder="1" applyFill="1" applyFont="1">
      <alignment vertical="bottom"/>
    </xf>
    <xf borderId="24" fillId="8" fontId="2" numFmtId="172" xfId="0" applyAlignment="1" applyBorder="1" applyFont="1" applyNumberFormat="1">
      <alignment horizontal="right" vertical="bottom"/>
    </xf>
    <xf borderId="0" fillId="0" fontId="2" numFmtId="172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1" fillId="2" fontId="2" numFmtId="172" xfId="0" applyAlignment="1" applyBorder="1" applyFont="1" applyNumberFormat="1">
      <alignment horizontal="right" vertical="bottom"/>
    </xf>
    <xf borderId="25" fillId="8" fontId="2" numFmtId="0" xfId="0" applyAlignment="1" applyBorder="1" applyFont="1">
      <alignment readingOrder="0" vertical="bottom"/>
    </xf>
    <xf borderId="26" fillId="8" fontId="2" numFmtId="172" xfId="0" applyAlignment="1" applyBorder="1" applyFont="1" applyNumberFormat="1">
      <alignment horizontal="right" vertical="bottom"/>
    </xf>
    <xf borderId="0" fillId="0" fontId="2" numFmtId="172" xfId="0" applyAlignment="1" applyFont="1" applyNumberFormat="1">
      <alignment horizontal="right" vertical="bottom"/>
    </xf>
    <xf borderId="17" fillId="8" fontId="2" numFmtId="172" xfId="0" applyAlignment="1" applyBorder="1" applyFont="1" applyNumberFormat="1">
      <alignment horizontal="right" vertical="bottom"/>
    </xf>
    <xf borderId="19" fillId="8" fontId="2" numFmtId="0" xfId="0" applyAlignment="1" applyBorder="1" applyFont="1">
      <alignment vertical="bottom"/>
    </xf>
    <xf borderId="27" fillId="0" fontId="2" numFmtId="172" xfId="0" applyAlignment="1" applyBorder="1" applyFont="1" applyNumberFormat="1">
      <alignment horizontal="right" vertical="bottom"/>
    </xf>
    <xf borderId="28" fillId="7" fontId="2" numFmtId="172" xfId="0" applyAlignment="1" applyBorder="1" applyFont="1" applyNumberFormat="1">
      <alignment horizontal="right" vertical="bottom"/>
    </xf>
    <xf borderId="28" fillId="7" fontId="2" numFmtId="172" xfId="0" applyAlignment="1" applyBorder="1" applyFont="1" applyNumberFormat="1">
      <alignment vertical="bottom"/>
    </xf>
    <xf borderId="1" fillId="7" fontId="2" numFmtId="170" xfId="0" applyAlignment="1" applyBorder="1" applyFont="1" applyNumberFormat="1">
      <alignment vertical="bottom"/>
    </xf>
    <xf borderId="12" fillId="0" fontId="2" numFmtId="164" xfId="0" applyAlignment="1" applyBorder="1" applyFont="1" applyNumberFormat="1">
      <alignment vertical="bottom"/>
    </xf>
    <xf borderId="28" fillId="7" fontId="2" numFmtId="170" xfId="0" applyAlignment="1" applyBorder="1" applyFont="1" applyNumberFormat="1">
      <alignment horizontal="right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1" fillId="0" fontId="24" numFmtId="0" xfId="0" applyAlignment="1" applyBorder="1" applyFont="1">
      <alignment horizontal="center" vertical="bottom"/>
    </xf>
    <xf borderId="13" fillId="0" fontId="24" numFmtId="0" xfId="0" applyAlignment="1" applyBorder="1" applyFont="1">
      <alignment horizontal="center" vertical="bottom"/>
    </xf>
    <xf borderId="3" fillId="0" fontId="25" numFmtId="0" xfId="0" applyAlignment="1" applyBorder="1" applyFont="1">
      <alignment vertical="bottom"/>
    </xf>
    <xf borderId="22" fillId="0" fontId="26" numFmtId="0" xfId="0" applyAlignment="1" applyBorder="1" applyFont="1">
      <alignment vertical="bottom"/>
    </xf>
    <xf borderId="3" fillId="0" fontId="27" numFmtId="0" xfId="0" applyAlignment="1" applyBorder="1" applyFont="1">
      <alignment horizontal="center" vertical="bottom"/>
    </xf>
    <xf borderId="3" fillId="0" fontId="27" numFmtId="0" xfId="0" applyAlignment="1" applyBorder="1" applyFont="1">
      <alignment vertical="bottom"/>
    </xf>
    <xf borderId="22" fillId="0" fontId="27" numFmtId="170" xfId="0" applyAlignment="1" applyBorder="1" applyFont="1" applyNumberFormat="1">
      <alignment horizontal="right" vertical="bottom"/>
    </xf>
    <xf borderId="3" fillId="0" fontId="25" numFmtId="170" xfId="0" applyAlignment="1" applyBorder="1" applyFont="1" applyNumberFormat="1">
      <alignment vertical="bottom"/>
    </xf>
    <xf borderId="0" fillId="0" fontId="25" numFmtId="170" xfId="0" applyAlignment="1" applyFont="1" applyNumberFormat="1">
      <alignment vertical="bottom"/>
    </xf>
    <xf borderId="3" fillId="0" fontId="24" numFmtId="170" xfId="0" applyAlignment="1" applyBorder="1" applyFont="1" applyNumberFormat="1">
      <alignment horizontal="right" vertical="bottom"/>
    </xf>
    <xf borderId="3" fillId="0" fontId="28" numFmtId="0" xfId="0" applyAlignment="1" applyBorder="1" applyFont="1">
      <alignment horizontal="center" vertical="bottom"/>
    </xf>
    <xf borderId="3" fillId="0" fontId="28" numFmtId="0" xfId="0" applyAlignment="1" applyBorder="1" applyFont="1">
      <alignment vertical="bottom"/>
    </xf>
    <xf borderId="0" fillId="0" fontId="24" numFmtId="170" xfId="0" applyAlignment="1" applyFont="1" applyNumberFormat="1">
      <alignment horizontal="right" vertical="bottom"/>
    </xf>
    <xf borderId="3" fillId="0" fontId="28" numFmtId="170" xfId="0" applyAlignment="1" applyBorder="1" applyFont="1" applyNumberFormat="1">
      <alignment shrinkToFit="0" vertical="bottom" wrapText="0"/>
    </xf>
    <xf borderId="22" fillId="0" fontId="25" numFmtId="0" xfId="0" applyAlignment="1" applyBorder="1" applyFont="1">
      <alignment vertical="bottom"/>
    </xf>
    <xf borderId="29" fillId="0" fontId="25" numFmtId="0" xfId="0" applyAlignment="1" applyBorder="1" applyFont="1">
      <alignment vertical="bottom"/>
    </xf>
    <xf borderId="29" fillId="0" fontId="25" numFmtId="170" xfId="0" applyAlignment="1" applyBorder="1" applyFont="1" applyNumberFormat="1">
      <alignment vertical="bottom"/>
    </xf>
    <xf borderId="11" fillId="0" fontId="25" numFmtId="0" xfId="0" applyAlignment="1" applyBorder="1" applyFont="1">
      <alignment vertical="bottom"/>
    </xf>
    <xf borderId="12" fillId="0" fontId="25" numFmtId="0" xfId="0" applyAlignment="1" applyBorder="1" applyFont="1">
      <alignment vertical="bottom"/>
    </xf>
    <xf borderId="1" fillId="0" fontId="24" numFmtId="17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P2m4FHEv7xHDjC1Aq53_iR2MK-tUf2K0/view?usp=drive_link" TargetMode="External"/><Relationship Id="rId190" Type="http://schemas.openxmlformats.org/officeDocument/2006/relationships/hyperlink" Target="https://drive.google.com/file/d/16PdGK8vhw8fTxS9M91zBrRDaTk6Mj9jC/view?usp=drive_link" TargetMode="External"/><Relationship Id="rId42" Type="http://schemas.openxmlformats.org/officeDocument/2006/relationships/hyperlink" Target="https://drive.google.com/file/d/1znp-UFcoBIn7GidiCy1dUALfcnJLvf4D/view?usp=drive_link" TargetMode="External"/><Relationship Id="rId41" Type="http://schemas.openxmlformats.org/officeDocument/2006/relationships/hyperlink" Target="https://drive.google.com/file/d/17KjXXjX8jzN68qVw5KMYkF3Ju3w-a7dN/view?usp=drive_link" TargetMode="External"/><Relationship Id="rId44" Type="http://schemas.openxmlformats.org/officeDocument/2006/relationships/hyperlink" Target="https://drive.google.com/file/d/1Y5VlPrh2E3t_EdUh_RpHPU6gUPl4XoLv/view?usp=drive_link" TargetMode="External"/><Relationship Id="rId194" Type="http://schemas.openxmlformats.org/officeDocument/2006/relationships/hyperlink" Target="https://drive.google.com/file/d/18bwtFn3cvl4giHo30ZoKcNoCDl3wlcp2/view?usp=drive_link" TargetMode="External"/><Relationship Id="rId43" Type="http://schemas.openxmlformats.org/officeDocument/2006/relationships/hyperlink" Target="https://drive.google.com/file/d/126fyke7LMa3NiWfym92fTbPYubAHF7s5/view?usp=drive_link" TargetMode="External"/><Relationship Id="rId193" Type="http://schemas.openxmlformats.org/officeDocument/2006/relationships/hyperlink" Target="https://drive.google.com/file/d/1YANXQTjFAl0BotdWZGzq2cs9w_wq-yJ3/view?usp=drive_link" TargetMode="External"/><Relationship Id="rId46" Type="http://schemas.openxmlformats.org/officeDocument/2006/relationships/hyperlink" Target="https://drive.google.com/file/d/1MULRUlqC0_8cafGpMM4loaV38jRUcxr0/view?usp=drive_link" TargetMode="External"/><Relationship Id="rId192" Type="http://schemas.openxmlformats.org/officeDocument/2006/relationships/hyperlink" Target="https://drive.google.com/file/d/1z3-WLTR8wpeX8327-noi6zdShIsBB1fr/view?usp=drive_link" TargetMode="External"/><Relationship Id="rId45" Type="http://schemas.openxmlformats.org/officeDocument/2006/relationships/hyperlink" Target="https://drive.google.com/file/d/1tLvo2QbrILywzWQRrotNV8a47em2f8q2/view?usp=drive_link" TargetMode="External"/><Relationship Id="rId191" Type="http://schemas.openxmlformats.org/officeDocument/2006/relationships/hyperlink" Target="https://drive.google.com/file/d/1sIB1UNxTut9qbJEvjUktTfcBJ4-rfFQ2/view?usp=drive_link" TargetMode="External"/><Relationship Id="rId48" Type="http://schemas.openxmlformats.org/officeDocument/2006/relationships/hyperlink" Target="https://drive.google.com/file/d/1LDngfXayJXpdOrissdqbrcjIjCg01Fnn/view?usp=drive_link" TargetMode="External"/><Relationship Id="rId187" Type="http://schemas.openxmlformats.org/officeDocument/2006/relationships/hyperlink" Target="https://drive.google.com/file/d/16-r0rGBkgfDD0WBL-DMse2H5WGmtKdun/view?usp=drive_link" TargetMode="External"/><Relationship Id="rId47" Type="http://schemas.openxmlformats.org/officeDocument/2006/relationships/hyperlink" Target="https://drive.google.com/file/d/1BcdbJcm_LjYTPKkw-EEZxwdpgsNXZl0n/view?usp=drive_link" TargetMode="External"/><Relationship Id="rId186" Type="http://schemas.openxmlformats.org/officeDocument/2006/relationships/hyperlink" Target="https://drive.google.com/file/d/1njwbkx6NoibCJoXTzWoP-pUe1XJ4wsXP/view?usp=drive_link" TargetMode="External"/><Relationship Id="rId185" Type="http://schemas.openxmlformats.org/officeDocument/2006/relationships/hyperlink" Target="https://drive.google.com/file/d/19zPICBVC0jMR2ZCme11JDHDGdK6L3xCL/view?usp=drive_link" TargetMode="External"/><Relationship Id="rId49" Type="http://schemas.openxmlformats.org/officeDocument/2006/relationships/hyperlink" Target="https://drive.google.com/file/d/1RB_N9gluNC5nwBLCerzs037gcWVBE2mB/view?usp=drive_link" TargetMode="External"/><Relationship Id="rId184" Type="http://schemas.openxmlformats.org/officeDocument/2006/relationships/hyperlink" Target="https://drive.google.com/file/d/185qFJz2pih89XQ7cvzqe4ddEXnMtYhFj/view?usp=drive_link" TargetMode="External"/><Relationship Id="rId189" Type="http://schemas.openxmlformats.org/officeDocument/2006/relationships/hyperlink" Target="https://drive.google.com/file/d/1W5AB4OX-Loiyqoj47A2plmrKtZr7zryV/view?usp=drive_link" TargetMode="External"/><Relationship Id="rId188" Type="http://schemas.openxmlformats.org/officeDocument/2006/relationships/hyperlink" Target="https://drive.google.com/file/d/16jE_T8HyllmY6qDtmOwbzfReVxgiVwMo/view?usp=drive_link" TargetMode="External"/><Relationship Id="rId31" Type="http://schemas.openxmlformats.org/officeDocument/2006/relationships/hyperlink" Target="https://drive.google.com/file/d/1wGQwdo_NVJnHib8I_5oox-eL0P6RMXVc/view?usp=drive_link" TargetMode="External"/><Relationship Id="rId30" Type="http://schemas.openxmlformats.org/officeDocument/2006/relationships/hyperlink" Target="https://drive.google.com/file/d/1rlgBB2UuOocPWDXNhW8dhFe6-0j5nsjX/view?usp=drive_link" TargetMode="External"/><Relationship Id="rId33" Type="http://schemas.openxmlformats.org/officeDocument/2006/relationships/hyperlink" Target="https://drive.google.com/file/d/1wmQNhtiym6EUZd9Y-it1YElnqSeEQfSB/view?usp=drive_link" TargetMode="External"/><Relationship Id="rId183" Type="http://schemas.openxmlformats.org/officeDocument/2006/relationships/hyperlink" Target="https://drive.google.com/file/d/1UEY-d7QRRSiPLxj-jUVYLCUJxcPK19E9/view?usp=drive_link" TargetMode="External"/><Relationship Id="rId32" Type="http://schemas.openxmlformats.org/officeDocument/2006/relationships/hyperlink" Target="https://drive.google.com/file/d/1RP2RE2NcFU5yyLK65UG8FjDbP2HJ_gYj/view?usp=drive_link" TargetMode="External"/><Relationship Id="rId182" Type="http://schemas.openxmlformats.org/officeDocument/2006/relationships/hyperlink" Target="https://drive.google.com/file/d/1BtnzoaYnAQHIAPFHsfg1cLbI9hsAbZ70/view?usp=drive_link" TargetMode="External"/><Relationship Id="rId35" Type="http://schemas.openxmlformats.org/officeDocument/2006/relationships/hyperlink" Target="https://drive.google.com/file/d/1FvLFz3BpNMlmeNqZ5rxKRxDy_EbQThlf/view?usp=drive_link" TargetMode="External"/><Relationship Id="rId181" Type="http://schemas.openxmlformats.org/officeDocument/2006/relationships/hyperlink" Target="https://drive.google.com/file/d/1lLn9SYJMTqcPQ51fOX15L8UT4LXxcf5A/view?usp=drive_link" TargetMode="External"/><Relationship Id="rId34" Type="http://schemas.openxmlformats.org/officeDocument/2006/relationships/hyperlink" Target="https://drive.google.com/file/d/1MnV4Yo99_5vW2YWDccIOU6x2J2hFJnS2/view?usp=drive_link" TargetMode="External"/><Relationship Id="rId180" Type="http://schemas.openxmlformats.org/officeDocument/2006/relationships/hyperlink" Target="https://drive.google.com/file/d/1E5KetbQ-UhPBE4C6s5p1ZMIn0Ct6W_XC/view?usp=drive_link" TargetMode="External"/><Relationship Id="rId37" Type="http://schemas.openxmlformats.org/officeDocument/2006/relationships/hyperlink" Target="https://drive.google.com/file/d/1FvLFz3BpNMlmeNqZ5rxKRxDy_EbQThlf/view?usp=drive_link" TargetMode="External"/><Relationship Id="rId176" Type="http://schemas.openxmlformats.org/officeDocument/2006/relationships/hyperlink" Target="https://drive.google.com/file/d/1E5KetbQ-UhPBE4C6s5p1ZMIn0Ct6W_XC/view?usp=drive_link" TargetMode="External"/><Relationship Id="rId36" Type="http://schemas.openxmlformats.org/officeDocument/2006/relationships/hyperlink" Target="https://drive.google.com/file/d/1nQoarXZUf6mPS1lo3fFN-h0vij1Kijv-/view?usp=drive_link" TargetMode="External"/><Relationship Id="rId175" Type="http://schemas.openxmlformats.org/officeDocument/2006/relationships/hyperlink" Target="https://drive.google.com/file/d/1EETeKOb446VdmaB_pBHXqjo-AuSjA3Ch/view?usp=drive_link" TargetMode="External"/><Relationship Id="rId39" Type="http://schemas.openxmlformats.org/officeDocument/2006/relationships/hyperlink" Target="https://drive.google.com/file/d/1Zduyvn7YUrgOBgnsLvQSQ9nHUMlMaYBe/view?usp=drive_link" TargetMode="External"/><Relationship Id="rId174" Type="http://schemas.openxmlformats.org/officeDocument/2006/relationships/hyperlink" Target="https://drive.google.com/file/d/1E5KetbQ-UhPBE4C6s5p1ZMIn0Ct6W_XC/view?usp=drive_link" TargetMode="External"/><Relationship Id="rId38" Type="http://schemas.openxmlformats.org/officeDocument/2006/relationships/hyperlink" Target="https://drive.google.com/file/d/1nT0j9nFTecMGDyaF2ogSd82DV_sT6m5a/view?usp=drive_link" TargetMode="External"/><Relationship Id="rId173" Type="http://schemas.openxmlformats.org/officeDocument/2006/relationships/hyperlink" Target="https://drive.google.com/file/d/1UtVnMN8MRTBPN23GMJOCfgMiChAgsA2R/view?usp=drive_link" TargetMode="External"/><Relationship Id="rId179" Type="http://schemas.openxmlformats.org/officeDocument/2006/relationships/hyperlink" Target="https://drive.google.com/file/d/1XAgYi5GTX_JzBdj18CJr982NMozLpSRK/view?usp=drive_link" TargetMode="External"/><Relationship Id="rId178" Type="http://schemas.openxmlformats.org/officeDocument/2006/relationships/hyperlink" Target="https://drive.google.com/file/d/1E5KetbQ-UhPBE4C6s5p1ZMIn0Ct6W_XC/view?usp=drive_link" TargetMode="External"/><Relationship Id="rId177" Type="http://schemas.openxmlformats.org/officeDocument/2006/relationships/hyperlink" Target="https://drive.google.com/file/d/1itM6mulXTZeaHAH0sj62nih-q8qtlkTY/view?usp=drive_link" TargetMode="External"/><Relationship Id="rId20" Type="http://schemas.openxmlformats.org/officeDocument/2006/relationships/hyperlink" Target="https://drive.google.com/file/d/1ySRnKyR0Co3blFiDU-ULSrIYFztqc8e-/view?usp=drive_link" TargetMode="External"/><Relationship Id="rId22" Type="http://schemas.openxmlformats.org/officeDocument/2006/relationships/hyperlink" Target="https://drive.google.com/file/d/1O5oEzhnEu1LfsA_UJuXTlSZhnonJrA1r/view?usp=drive_link" TargetMode="External"/><Relationship Id="rId21" Type="http://schemas.openxmlformats.org/officeDocument/2006/relationships/hyperlink" Target="https://drive.google.com/file/d/1ZEXPQmvTgehTZoZHTCsyfpxl7cJda2la/view?usp=drive_link" TargetMode="External"/><Relationship Id="rId24" Type="http://schemas.openxmlformats.org/officeDocument/2006/relationships/hyperlink" Target="https://drive.google.com/file/d/1soCQxnEFf1h3U_K5SGAabnm37nJI9csB/view?usp=drive_link" TargetMode="External"/><Relationship Id="rId23" Type="http://schemas.openxmlformats.org/officeDocument/2006/relationships/hyperlink" Target="https://drive.google.com/file/d/1Ol2k0qMjOJ_CcpFNZBAWJiv1caXNt7U4/view?usp=drive_link" TargetMode="External"/><Relationship Id="rId26" Type="http://schemas.openxmlformats.org/officeDocument/2006/relationships/hyperlink" Target="https://drive.google.com/file/d/13xbMuoOc1Rtr8l4OG7-GWA15M2Z3513z/view?usp=drive_link" TargetMode="External"/><Relationship Id="rId25" Type="http://schemas.openxmlformats.org/officeDocument/2006/relationships/hyperlink" Target="https://drive.google.com/file/d/1JnrEzltsRhDFBs1yjQI3-T49A3J9yVPe/view?usp=drive_link" TargetMode="External"/><Relationship Id="rId28" Type="http://schemas.openxmlformats.org/officeDocument/2006/relationships/hyperlink" Target="https://drive.google.com/file/d/1jGaFPTI5ddWLySc4j4EUI-a5qa0oPnsv/view?usp=drive_link" TargetMode="External"/><Relationship Id="rId27" Type="http://schemas.openxmlformats.org/officeDocument/2006/relationships/hyperlink" Target="https://drive.google.com/file/d/1_hDNZ5vaYUO2IrPQoIHOph_i_3ObdXWM/view?usp=drive_link" TargetMode="External"/><Relationship Id="rId29" Type="http://schemas.openxmlformats.org/officeDocument/2006/relationships/hyperlink" Target="https://drive.google.com/file/d/1o-v9ECdWQlzqtH10ORT6N-no8cGhkKXL/view?usp=drive_link" TargetMode="External"/><Relationship Id="rId11" Type="http://schemas.openxmlformats.org/officeDocument/2006/relationships/hyperlink" Target="https://drive.google.com/file/d/107efXxA_nPUTAPPwc7yrSlyEhqvwYtm5/view?usp=drive_link" TargetMode="External"/><Relationship Id="rId10" Type="http://schemas.openxmlformats.org/officeDocument/2006/relationships/hyperlink" Target="https://drive.google.com/file/d/1DmvtXWqylNHOeNIP73qVY_J8vgZVPmZn/view?usp=drive_link" TargetMode="External"/><Relationship Id="rId13" Type="http://schemas.openxmlformats.org/officeDocument/2006/relationships/hyperlink" Target="https://drive.google.com/file/d/1k4LHtvFxz3WiBcfqyLhH3_DDg-d5bcww/view?usp=drive_link" TargetMode="External"/><Relationship Id="rId12" Type="http://schemas.openxmlformats.org/officeDocument/2006/relationships/hyperlink" Target="https://drive.google.com/file/d/1Qod-KmmZMp4Cbe-dZr6h6PuA6nEPBGA1/view?usp=drive_link" TargetMode="External"/><Relationship Id="rId15" Type="http://schemas.openxmlformats.org/officeDocument/2006/relationships/hyperlink" Target="https://drive.google.com/file/d/1GGHKpEx-r2TgqXv2txJGk5_aK-o2ZSrw/view?usp=drive_link" TargetMode="External"/><Relationship Id="rId198" Type="http://schemas.openxmlformats.org/officeDocument/2006/relationships/hyperlink" Target="https://drive.google.com/file/d/1IzoJqa35-SXPMobJXCts9HJqzxB0Ytsx/view?usp=drive_link" TargetMode="External"/><Relationship Id="rId14" Type="http://schemas.openxmlformats.org/officeDocument/2006/relationships/hyperlink" Target="https://drive.google.com/file/d/1tUA9M0edqHzotCRUhEfyB7iZS5_EKBEG/view?usp=drive_link" TargetMode="External"/><Relationship Id="rId197" Type="http://schemas.openxmlformats.org/officeDocument/2006/relationships/hyperlink" Target="https://drive.google.com/file/d/1ezDa8ZxkyKObfyP9xIGV_ZzPwKJLwSBJ/view?usp=drive_link" TargetMode="External"/><Relationship Id="rId17" Type="http://schemas.openxmlformats.org/officeDocument/2006/relationships/hyperlink" Target="https://drive.google.com/file/d/1oB9GlmBvGr0TloOdATdshZiXDaeT71rp/view?usp=drive_link" TargetMode="External"/><Relationship Id="rId196" Type="http://schemas.openxmlformats.org/officeDocument/2006/relationships/hyperlink" Target="https://drive.google.com/file/d/1DYoD4WYJB-9ysvTmL9o0DXbssds6_w1Y/view?usp=drive_link" TargetMode="External"/><Relationship Id="rId16" Type="http://schemas.openxmlformats.org/officeDocument/2006/relationships/hyperlink" Target="https://drive.google.com/file/d/1wvlm5vWDGLeaoaP0a5XmKLNE15s1a_ZT/view?usp=drive_link" TargetMode="External"/><Relationship Id="rId195" Type="http://schemas.openxmlformats.org/officeDocument/2006/relationships/hyperlink" Target="https://drive.google.com/file/d/1Rl9qaYJCEVharEp_vKaLyokuyqq-5zi4/view?usp=drive_link" TargetMode="External"/><Relationship Id="rId19" Type="http://schemas.openxmlformats.org/officeDocument/2006/relationships/hyperlink" Target="https://drive.google.com/file/d/1Tc9gLGoWtCix8bIq1RWMgPqUd75JfS8E/view?usp=drive_link" TargetMode="External"/><Relationship Id="rId18" Type="http://schemas.openxmlformats.org/officeDocument/2006/relationships/hyperlink" Target="https://drive.google.com/file/d/1jXzpwCn0HPwWpjX3zuLbZDrcP72IyoPx/view?usp=drive_link" TargetMode="External"/><Relationship Id="rId199" Type="http://schemas.openxmlformats.org/officeDocument/2006/relationships/hyperlink" Target="https://drive.google.com/file/d/1CERun3araXXzHjoHsJ8hOhnPkbB_seFN/view?usp=drive_link" TargetMode="External"/><Relationship Id="rId84" Type="http://schemas.openxmlformats.org/officeDocument/2006/relationships/hyperlink" Target="https://drive.google.com/file/d/1e4aSINa8GnWhRoqILIYyE9-ypeKBnhuL/view?usp=drive_link" TargetMode="External"/><Relationship Id="rId83" Type="http://schemas.openxmlformats.org/officeDocument/2006/relationships/hyperlink" Target="https://drive.google.com/file/d/1_mVpCWtll4ZqhBOD48UIGbJFHwgsFKlZ/view?usp=drive_link" TargetMode="External"/><Relationship Id="rId86" Type="http://schemas.openxmlformats.org/officeDocument/2006/relationships/hyperlink" Target="https://drive.google.com/file/d/1ao0vLqbUvkCQBoe_NipC0nS5QdcfRnKH/view?usp=drive_link" TargetMode="External"/><Relationship Id="rId85" Type="http://schemas.openxmlformats.org/officeDocument/2006/relationships/hyperlink" Target="https://drive.google.com/file/d/16Put7VWtmF2imo4OOHUm4035Q8ZeDayC/view?usp=drive_link" TargetMode="External"/><Relationship Id="rId88" Type="http://schemas.openxmlformats.org/officeDocument/2006/relationships/hyperlink" Target="https://drive.google.com/file/d/10hMu0PjqAOuYSd1abXVH3setQMYzgSig/view?usp=drive_link" TargetMode="External"/><Relationship Id="rId150" Type="http://schemas.openxmlformats.org/officeDocument/2006/relationships/hyperlink" Target="https://drive.google.com/file/d/1P6s1nRjJ0LeHrRpBxg1QpcUomc7r5duM/view?usp=drive_link" TargetMode="External"/><Relationship Id="rId87" Type="http://schemas.openxmlformats.org/officeDocument/2006/relationships/hyperlink" Target="https://drive.google.com/file/d/11KykzspZAseVpQh5Yk48cOzY8DfDygqh/view?usp=drive_link" TargetMode="External"/><Relationship Id="rId89" Type="http://schemas.openxmlformats.org/officeDocument/2006/relationships/hyperlink" Target="https://drive.google.com/file/d/1mtGceB1x02d5N_peUStW1Zk4ig79wwHm/view?usp=drive_link" TargetMode="External"/><Relationship Id="rId80" Type="http://schemas.openxmlformats.org/officeDocument/2006/relationships/hyperlink" Target="https://drive.google.com/file/d/16QCZ8uuxsURYtzHYTEWMyzuWQOk-4jLT/view?usp=drive_link" TargetMode="External"/><Relationship Id="rId82" Type="http://schemas.openxmlformats.org/officeDocument/2006/relationships/hyperlink" Target="https://drive.google.com/file/d/1jTxAKtRI57mjj5Aw4PMWN4wDxyFsPj6-/view?usp=drive_link" TargetMode="External"/><Relationship Id="rId81" Type="http://schemas.openxmlformats.org/officeDocument/2006/relationships/hyperlink" Target="https://drive.google.com/file/d/1_mVpCWtll4ZqhBOD48UIGbJFHwgsFKlZ/view?usp=driv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2wPyYUvQnEdQpuOUewE0D14ehtZDFAGy/view?usp=sharing" TargetMode="External"/><Relationship Id="rId3" Type="http://schemas.openxmlformats.org/officeDocument/2006/relationships/hyperlink" Target="https://drive.google.com/file/d/1mG5k4VYuL81Sd73bhxbQUh_DqLKygciX/view?usp=drive_link" TargetMode="External"/><Relationship Id="rId149" Type="http://schemas.openxmlformats.org/officeDocument/2006/relationships/hyperlink" Target="https://drive.google.com/file/d/1lBLv6JfRQLMvkssO4qsPWAKoswqBcBbY/view?usp=drive_link" TargetMode="External"/><Relationship Id="rId4" Type="http://schemas.openxmlformats.org/officeDocument/2006/relationships/hyperlink" Target="https://drive.google.com/file/d/1bAk-6vZN6zqBNZiQvRywtU1qUuasN6B4/view?usp=drive_link" TargetMode="External"/><Relationship Id="rId148" Type="http://schemas.openxmlformats.org/officeDocument/2006/relationships/hyperlink" Target="https://drive.google.com/file/d/16MLIrTMt24MmA29Icu3QR7L4PfqkH1B2/view?usp=drive_link" TargetMode="External"/><Relationship Id="rId9" Type="http://schemas.openxmlformats.org/officeDocument/2006/relationships/hyperlink" Target="https://drive.google.com/file/d/1DCvUZbF1WitzqfcrriTkwUg85Ammaako/view?usp=drive_link" TargetMode="External"/><Relationship Id="rId143" Type="http://schemas.openxmlformats.org/officeDocument/2006/relationships/hyperlink" Target="https://drive.google.com/file/d/1YANXQTjFAl0BotdWZGzq2cs9w_wq-yJ3/view?usp=drive_link" TargetMode="External"/><Relationship Id="rId142" Type="http://schemas.openxmlformats.org/officeDocument/2006/relationships/hyperlink" Target="https://drive.google.com/file/d/1NGjuu9xjdNwVZOIk_-RgAYNPN6TDBEGK/view?usp=drive_link" TargetMode="External"/><Relationship Id="rId141" Type="http://schemas.openxmlformats.org/officeDocument/2006/relationships/hyperlink" Target="https://drive.google.com/file/d/1YANXQTjFAl0BotdWZGzq2cs9w_wq-yJ3/view?usp=drive_link" TargetMode="External"/><Relationship Id="rId140" Type="http://schemas.openxmlformats.org/officeDocument/2006/relationships/hyperlink" Target="https://drive.google.com/file/d/17klrZ-7aNDKwXKGRnETnbsIPTfr0TbSK/view?usp=drive_link" TargetMode="External"/><Relationship Id="rId261" Type="http://schemas.openxmlformats.org/officeDocument/2006/relationships/vmlDrawing" Target="../drawings/vmlDrawing1.vml"/><Relationship Id="rId5" Type="http://schemas.openxmlformats.org/officeDocument/2006/relationships/hyperlink" Target="https://drive.google.com/file/d/1VXS-4rkTszMr-cstBaOmKa17-e9oNEBO/view?usp=drive_link" TargetMode="External"/><Relationship Id="rId147" Type="http://schemas.openxmlformats.org/officeDocument/2006/relationships/hyperlink" Target="https://drive.google.com/file/d/1cVQCKyKQm9aWQcRl4gIqW2CA71I59ZaE/view?usp=drive_link" TargetMode="External"/><Relationship Id="rId6" Type="http://schemas.openxmlformats.org/officeDocument/2006/relationships/hyperlink" Target="https://drive.google.com/file/d/17RmHovk8f5wKuPGuP6GP4NEEQaEFWRXX/view?usp=drive_link" TargetMode="External"/><Relationship Id="rId146" Type="http://schemas.openxmlformats.org/officeDocument/2006/relationships/hyperlink" Target="https://drive.google.com/file/d/1YANXQTjFAl0BotdWZGzq2cs9w_wq-yJ3/view?usp=drive_link" TargetMode="External"/><Relationship Id="rId7" Type="http://schemas.openxmlformats.org/officeDocument/2006/relationships/hyperlink" Target="https://drive.google.com/file/d/1UsZOjIsESnV7W2MvwNLEQDroUFK3FnT3/view?usp=drive_link" TargetMode="External"/><Relationship Id="rId145" Type="http://schemas.openxmlformats.org/officeDocument/2006/relationships/hyperlink" Target="https://drive.google.com/file/d/1M-Np8Z5Y3-UDbKyMw5fv29AVOm3qQrye/view?usp=drive_link" TargetMode="External"/><Relationship Id="rId8" Type="http://schemas.openxmlformats.org/officeDocument/2006/relationships/hyperlink" Target="https://drive.google.com/file/d/1S8FgmcFbdrmICLdXo3w9tuBrC-suSxKB/view?usp=drive_link" TargetMode="External"/><Relationship Id="rId144" Type="http://schemas.openxmlformats.org/officeDocument/2006/relationships/hyperlink" Target="https://drive.google.com/file/d/1RDD_9ixmpov9wXE57QGYoblgwmsRUaGk/view?usp=drive_link" TargetMode="External"/><Relationship Id="rId73" Type="http://schemas.openxmlformats.org/officeDocument/2006/relationships/hyperlink" Target="https://drive.google.com/file/d/1_mVpCWtll4ZqhBOD48UIGbJFHwgsFKlZ/view?usp=drive_link" TargetMode="External"/><Relationship Id="rId72" Type="http://schemas.openxmlformats.org/officeDocument/2006/relationships/hyperlink" Target="https://drive.google.com/file/d/1bNFhl64p1F_mkD773_QY7PE33vxcMRJl/view?usp=drive_link" TargetMode="External"/><Relationship Id="rId75" Type="http://schemas.openxmlformats.org/officeDocument/2006/relationships/hyperlink" Target="https://drive.google.com/file/d/1_mVpCWtll4ZqhBOD48UIGbJFHwgsFKlZ/view?usp=drive_link" TargetMode="External"/><Relationship Id="rId74" Type="http://schemas.openxmlformats.org/officeDocument/2006/relationships/hyperlink" Target="https://drive.google.com/file/d/1LYgG0hqYd4Bjhx0cl1d1vmgvOt770_Wb/view?usp=drive_link" TargetMode="External"/><Relationship Id="rId77" Type="http://schemas.openxmlformats.org/officeDocument/2006/relationships/hyperlink" Target="https://drive.google.com/file/d/1_mVpCWtll4ZqhBOD48UIGbJFHwgsFKlZ/view?usp=drive_link" TargetMode="External"/><Relationship Id="rId260" Type="http://schemas.openxmlformats.org/officeDocument/2006/relationships/drawing" Target="../drawings/drawing2.xml"/><Relationship Id="rId76" Type="http://schemas.openxmlformats.org/officeDocument/2006/relationships/hyperlink" Target="https://drive.google.com/file/d/1gAxjmuR68VUHpw1fFvkr5uBUwcuwpcX6/view?usp=drive_link" TargetMode="External"/><Relationship Id="rId79" Type="http://schemas.openxmlformats.org/officeDocument/2006/relationships/hyperlink" Target="https://drive.google.com/file/d/1_mVpCWtll4ZqhBOD48UIGbJFHwgsFKlZ/view?usp=drive_link" TargetMode="External"/><Relationship Id="rId78" Type="http://schemas.openxmlformats.org/officeDocument/2006/relationships/hyperlink" Target="https://drive.google.com/file/d/1TW70igaVrajiCG9HImBvK2QBeML2yGKp/view?usp=drive_link" TargetMode="External"/><Relationship Id="rId71" Type="http://schemas.openxmlformats.org/officeDocument/2006/relationships/hyperlink" Target="https://drive.google.com/file/d/1_mVpCWtll4ZqhBOD48UIGbJFHwgsFKlZ/view?usp=drive_link" TargetMode="External"/><Relationship Id="rId70" Type="http://schemas.openxmlformats.org/officeDocument/2006/relationships/hyperlink" Target="https://drive.google.com/file/d/1DZUa-H-EpyI4hWgZ3NAQsINwWu9NDMb5/view?usp=drive_link" TargetMode="External"/><Relationship Id="rId139" Type="http://schemas.openxmlformats.org/officeDocument/2006/relationships/hyperlink" Target="https://drive.google.com/file/d/16MLIrTMt24MmA29Icu3QR7L4PfqkH1B2/view?usp=drive_link" TargetMode="External"/><Relationship Id="rId138" Type="http://schemas.openxmlformats.org/officeDocument/2006/relationships/hyperlink" Target="https://drive.google.com/file/d/1tliDP740Jfh8nPWN9eIIu7MJ29otO7mO/view?usp=drive_link" TargetMode="External"/><Relationship Id="rId259" Type="http://schemas.openxmlformats.org/officeDocument/2006/relationships/hyperlink" Target="https://drive.google.com/file/d/1gcxAKWaPKGKmDPl9DPTOCC0tPcFtdbPs/view?usp=drive_link" TargetMode="External"/><Relationship Id="rId137" Type="http://schemas.openxmlformats.org/officeDocument/2006/relationships/hyperlink" Target="https://drive.google.com/file/d/16MLIrTMt24MmA29Icu3QR7L4PfqkH1B2/view?usp=drive_link" TargetMode="External"/><Relationship Id="rId258" Type="http://schemas.openxmlformats.org/officeDocument/2006/relationships/hyperlink" Target="https://drive.google.com/file/d/1ceikKjzC2B9cmaUWzZ1qvAyTCVfHb9Ep/view?usp=drive_link" TargetMode="External"/><Relationship Id="rId132" Type="http://schemas.openxmlformats.org/officeDocument/2006/relationships/hyperlink" Target="https://drive.google.com/file/d/16MLIrTMt24MmA29Icu3QR7L4PfqkH1B2/view?usp=drive_link" TargetMode="External"/><Relationship Id="rId253" Type="http://schemas.openxmlformats.org/officeDocument/2006/relationships/hyperlink" Target="https://drive.google.com/file/d/1MKVmp1g8MPZ-78AwHctCZocAMrMg6WZ8/view?usp=drive_link" TargetMode="External"/><Relationship Id="rId131" Type="http://schemas.openxmlformats.org/officeDocument/2006/relationships/hyperlink" Target="https://drive.google.com/file/d/1jwnfgdTRcPHY-b4oGFtBe9Yfs5PpNRF4/view?usp=drive_link" TargetMode="External"/><Relationship Id="rId252" Type="http://schemas.openxmlformats.org/officeDocument/2006/relationships/hyperlink" Target="https://drive.google.com/file/d/1XEPHo9gBaGUNxRGdEOXaFx13xvbr_wXL/view?usp=drive_link" TargetMode="External"/><Relationship Id="rId130" Type="http://schemas.openxmlformats.org/officeDocument/2006/relationships/hyperlink" Target="https://drive.google.com/file/d/1gjO8Cs9ScFoRTYunvCWGnsCnCgLqqB84/view?usp=drive_link" TargetMode="External"/><Relationship Id="rId251" Type="http://schemas.openxmlformats.org/officeDocument/2006/relationships/hyperlink" Target="https://drive.google.com/file/d/1yokOFlQPwQRRxrGGqqACBJ6L6jMBt-m6/view?usp=drive_link" TargetMode="External"/><Relationship Id="rId250" Type="http://schemas.openxmlformats.org/officeDocument/2006/relationships/hyperlink" Target="https://drive.google.com/file/d/15Rcx9UZE_lt_DuNvlfLkquQ17dOx0YPE/view?usp=drive_link" TargetMode="External"/><Relationship Id="rId136" Type="http://schemas.openxmlformats.org/officeDocument/2006/relationships/hyperlink" Target="https://drive.google.com/file/d/1BJjb4ku1s5uIsuerJGT2orIuC9u1ZUUB/view?usp=drive_link" TargetMode="External"/><Relationship Id="rId257" Type="http://schemas.openxmlformats.org/officeDocument/2006/relationships/hyperlink" Target="https://drive.google.com/file/d/1A5ksQ-FW9IzGcU2MqlmgfCynqTFush9w/view?usp=drive_link" TargetMode="External"/><Relationship Id="rId135" Type="http://schemas.openxmlformats.org/officeDocument/2006/relationships/hyperlink" Target="https://drive.google.com/file/d/16MLIrTMt24MmA29Icu3QR7L4PfqkH1B2/view?usp=drive_link" TargetMode="External"/><Relationship Id="rId256" Type="http://schemas.openxmlformats.org/officeDocument/2006/relationships/hyperlink" Target="https://drive.google.com/file/d/1K8slF3oyCGZBOGqwQUdf0_b34wpx_2A9/view?usp=drive_link" TargetMode="External"/><Relationship Id="rId134" Type="http://schemas.openxmlformats.org/officeDocument/2006/relationships/hyperlink" Target="https://drive.google.com/file/d/1bY4D7eNebnqd0hDQtK727E3nMcBs93vF/view?usp=drive_link" TargetMode="External"/><Relationship Id="rId255" Type="http://schemas.openxmlformats.org/officeDocument/2006/relationships/hyperlink" Target="https://drive.google.com/file/d/1feHcq4n8EK2TYEsuWsylZ5RWbZWDn5rV/view?usp=drive_link" TargetMode="External"/><Relationship Id="rId133" Type="http://schemas.openxmlformats.org/officeDocument/2006/relationships/hyperlink" Target="https://drive.google.com/file/d/1SAnKWTI6mRumA-hrXfegpV33XUCjq_M5/view?usp=drive_link" TargetMode="External"/><Relationship Id="rId254" Type="http://schemas.openxmlformats.org/officeDocument/2006/relationships/hyperlink" Target="https://drive.google.com/file/d/1PFUrD24_El0FVSmqEnZQHi2hxCcVSj_F/view?usp=drive_link" TargetMode="External"/><Relationship Id="rId62" Type="http://schemas.openxmlformats.org/officeDocument/2006/relationships/hyperlink" Target="https://drive.google.com/file/d/14YbElHkleGVJ-bK0jxEA7Q7YlXzglXvx/view?usp=drive_link" TargetMode="External"/><Relationship Id="rId61" Type="http://schemas.openxmlformats.org/officeDocument/2006/relationships/hyperlink" Target="https://drive.google.com/file/d/1d0K-UIn2i1BVN_rd9mmtJdpEEVmUL5Ic/view?usp=drive_link" TargetMode="External"/><Relationship Id="rId64" Type="http://schemas.openxmlformats.org/officeDocument/2006/relationships/hyperlink" Target="https://drive.google.com/file/d/15oRbTJAQXMrZhKnkmkq-yjEGLrkV8xAz/view?usp=drive_link" TargetMode="External"/><Relationship Id="rId63" Type="http://schemas.openxmlformats.org/officeDocument/2006/relationships/hyperlink" Target="https://drive.google.com/file/d/1z76eoWSzlOnCZFmnb2REN8hwxskqHlS6/view?usp=drive_link" TargetMode="External"/><Relationship Id="rId66" Type="http://schemas.openxmlformats.org/officeDocument/2006/relationships/hyperlink" Target="https://drive.google.com/file/d/1TGoa_Lv2H8aG26rut_faO7ja8aW794te/view?usp=drive_link" TargetMode="External"/><Relationship Id="rId172" Type="http://schemas.openxmlformats.org/officeDocument/2006/relationships/hyperlink" Target="https://drive.google.com/file/d/1E5KetbQ-UhPBE4C6s5p1ZMIn0Ct6W_XC/view?usp=drive_link" TargetMode="External"/><Relationship Id="rId65" Type="http://schemas.openxmlformats.org/officeDocument/2006/relationships/hyperlink" Target="https://drive.google.com/file/d/12HVKRRuT14ph3tOBRSQr0hL80vran5Fk/view?usp=drive_link" TargetMode="External"/><Relationship Id="rId171" Type="http://schemas.openxmlformats.org/officeDocument/2006/relationships/hyperlink" Target="https://drive.google.com/file/d/1zyB2oT5A2aJKd42RsOIHAAOWlrKyPaWy/view?usp=drive_link" TargetMode="External"/><Relationship Id="rId68" Type="http://schemas.openxmlformats.org/officeDocument/2006/relationships/hyperlink" Target="https://drive.google.com/file/d/1ZPzWDCYmXoQvgzNsId7ObnvNgU1c6vhB/view?usp=drive_link" TargetMode="External"/><Relationship Id="rId170" Type="http://schemas.openxmlformats.org/officeDocument/2006/relationships/hyperlink" Target="https://drive.google.com/file/d/1wRlza8KVS2F_wZL8-7eCfVdHfl1-Rtz0/view?usp=drive_link" TargetMode="External"/><Relationship Id="rId67" Type="http://schemas.openxmlformats.org/officeDocument/2006/relationships/hyperlink" Target="https://drive.google.com/file/d/17EUG4Yry7j5-9WTDKvn8MRU6acleACAk/view?usp=drive_link" TargetMode="External"/><Relationship Id="rId60" Type="http://schemas.openxmlformats.org/officeDocument/2006/relationships/hyperlink" Target="https://drive.google.com/file/d/1ZC2NSi21zwH-Z_GSbNHwhlw3rKUZOXmA/view?usp=drive_link" TargetMode="External"/><Relationship Id="rId165" Type="http://schemas.openxmlformats.org/officeDocument/2006/relationships/hyperlink" Target="https://drive.google.com/file/d/1jbOArXCnhfs_Xc36UZ9cIFC5EyXFnfQp/view?usp=drive_link" TargetMode="External"/><Relationship Id="rId69" Type="http://schemas.openxmlformats.org/officeDocument/2006/relationships/hyperlink" Target="https://drive.google.com/file/d/1_mVpCWtll4ZqhBOD48UIGbJFHwgsFKlZ/view?usp=drive_link" TargetMode="External"/><Relationship Id="rId164" Type="http://schemas.openxmlformats.org/officeDocument/2006/relationships/hyperlink" Target="https://drive.google.com/file/d/1FM6FfENDBydaoCDfrkmv5hvWMuvuGrAj/view?usp=drive_link" TargetMode="External"/><Relationship Id="rId163" Type="http://schemas.openxmlformats.org/officeDocument/2006/relationships/hyperlink" Target="https://drive.google.com/file/d/1E5KetbQ-UhPBE4C6s5p1ZMIn0Ct6W_XC/view?usp=drive_link" TargetMode="External"/><Relationship Id="rId162" Type="http://schemas.openxmlformats.org/officeDocument/2006/relationships/hyperlink" Target="https://drive.google.com/file/d/1VQqbhzprO7DWYW0hZv01niXQbFZk9iw0/view?usp=drive_link" TargetMode="External"/><Relationship Id="rId169" Type="http://schemas.openxmlformats.org/officeDocument/2006/relationships/hyperlink" Target="https://drive.google.com/file/d/1E5KetbQ-UhPBE4C6s5p1ZMIn0Ct6W_XC/view?usp=drive_link" TargetMode="External"/><Relationship Id="rId168" Type="http://schemas.openxmlformats.org/officeDocument/2006/relationships/hyperlink" Target="https://drive.google.com/file/d/10XB1geP_CNV-u3_FWXB6J9eKQl0YJXeb/view?usp=drive_link" TargetMode="External"/><Relationship Id="rId167" Type="http://schemas.openxmlformats.org/officeDocument/2006/relationships/hyperlink" Target="https://drive.google.com/file/d/18XSC1IF_ixx_x1mr6lY-heXKPwMe4j-d/view?usp=drive_link" TargetMode="External"/><Relationship Id="rId166" Type="http://schemas.openxmlformats.org/officeDocument/2006/relationships/hyperlink" Target="https://drive.google.com/file/d/1E5KetbQ-UhPBE4C6s5p1ZMIn0Ct6W_XC/view?usp=drive_link" TargetMode="External"/><Relationship Id="rId51" Type="http://schemas.openxmlformats.org/officeDocument/2006/relationships/hyperlink" Target="https://drive.google.com/file/d/17MuFggac765-RYYcCQQqZynmzu3gHfvK/view?usp=drive_link" TargetMode="External"/><Relationship Id="rId50" Type="http://schemas.openxmlformats.org/officeDocument/2006/relationships/hyperlink" Target="https://drive.google.com/file/d/1ES6rmQ5uPqIyof3F_CCIHBVpU7MJXSSC/view?usp=drive_link" TargetMode="External"/><Relationship Id="rId53" Type="http://schemas.openxmlformats.org/officeDocument/2006/relationships/hyperlink" Target="https://drive.google.com/file/d/1_oEwTPBo38lvurd4EWfQ0c5-IPy0E5mU/view?usp=drive_link" TargetMode="External"/><Relationship Id="rId52" Type="http://schemas.openxmlformats.org/officeDocument/2006/relationships/hyperlink" Target="https://drive.google.com/file/d/1ChpxraX_rYC9zklrIwvFI1ye7D2neQz3/view?usp=drive_link" TargetMode="External"/><Relationship Id="rId55" Type="http://schemas.openxmlformats.org/officeDocument/2006/relationships/hyperlink" Target="https://drive.google.com/file/d/1w5zm_DxMS24ObfUynNPgMdz-ccqZ21r6/view?usp=drive_link" TargetMode="External"/><Relationship Id="rId161" Type="http://schemas.openxmlformats.org/officeDocument/2006/relationships/hyperlink" Target="https://drive.google.com/file/d/1HfDJDZi6M9RIOSMmFLeSvpFF7cKpHTyW/view?usp=drive_link" TargetMode="External"/><Relationship Id="rId54" Type="http://schemas.openxmlformats.org/officeDocument/2006/relationships/hyperlink" Target="https://drive.google.com/file/d/1PAylOOm5YiqUCX6cBscCK1uYsHoYmy3A/view?usp=drive_link" TargetMode="External"/><Relationship Id="rId160" Type="http://schemas.openxmlformats.org/officeDocument/2006/relationships/hyperlink" Target="https://drive.google.com/file/d/1E5KetbQ-UhPBE4C6s5p1ZMIn0Ct6W_XC/view?usp=drive_link" TargetMode="External"/><Relationship Id="rId57" Type="http://schemas.openxmlformats.org/officeDocument/2006/relationships/hyperlink" Target="https://drive.google.com/file/d/1a9JgvkTdijhJwhwZFERB8layFEe0wfv9/view?usp=drive_link" TargetMode="External"/><Relationship Id="rId56" Type="http://schemas.openxmlformats.org/officeDocument/2006/relationships/hyperlink" Target="https://drive.google.com/file/d/1_QYRJSCXz8_uD2MTFHWeSf7Dx8MI-Jvx/view?usp=drive_link" TargetMode="External"/><Relationship Id="rId159" Type="http://schemas.openxmlformats.org/officeDocument/2006/relationships/hyperlink" Target="https://drive.google.com/file/d/1LXfTB2uJ7gRH-6Tm70FeVTz3YNC1PCF4/view?usp=drive_link" TargetMode="External"/><Relationship Id="rId59" Type="http://schemas.openxmlformats.org/officeDocument/2006/relationships/hyperlink" Target="https://drive.google.com/file/d/1DZe78ibrqrWyi1EF3LlntD6u970J4_yB/view?usp=drive_link" TargetMode="External"/><Relationship Id="rId154" Type="http://schemas.openxmlformats.org/officeDocument/2006/relationships/hyperlink" Target="https://drive.google.com/file/d/1bPp7sj3zEr3HYld1G_2IAKnnQ5e_2NV7/view?usp=drive_link" TargetMode="External"/><Relationship Id="rId58" Type="http://schemas.openxmlformats.org/officeDocument/2006/relationships/hyperlink" Target="https://drive.google.com/file/d/1tRUcfOZf6PQDtj5PoHBds66OR8HQ9Wup/view?usp=drive_link" TargetMode="External"/><Relationship Id="rId153" Type="http://schemas.openxmlformats.org/officeDocument/2006/relationships/hyperlink" Target="https://drive.google.com/file/d/18TFn-2wAXmwnBhY_bFQDHFjIjmjgNLf1/view?usp=drive_link" TargetMode="External"/><Relationship Id="rId152" Type="http://schemas.openxmlformats.org/officeDocument/2006/relationships/hyperlink" Target="https://drive.google.com/file/d/1noClORGnVQSv7k8G5KV1FKTWeSb8GjGp/view?usp=drive_link" TargetMode="External"/><Relationship Id="rId151" Type="http://schemas.openxmlformats.org/officeDocument/2006/relationships/hyperlink" Target="https://drive.google.com/file/d/1_mVpCWtll4ZqhBOD48UIGbJFHwgsFKlZ/view?usp=drive_link" TargetMode="External"/><Relationship Id="rId158" Type="http://schemas.openxmlformats.org/officeDocument/2006/relationships/hyperlink" Target="https://drive.google.com/file/d/1N4DC6CP78ybtuTm3i5GQtvfgMV4EMHYm/view?usp=drive_link" TargetMode="External"/><Relationship Id="rId157" Type="http://schemas.openxmlformats.org/officeDocument/2006/relationships/hyperlink" Target="https://drive.google.com/file/d/1xKpkDjlUEuihjm50PRXEh89YyhXsPRoN/view?usp=drive_link" TargetMode="External"/><Relationship Id="rId156" Type="http://schemas.openxmlformats.org/officeDocument/2006/relationships/hyperlink" Target="https://drive.google.com/file/d/155sy_PbauRZl_boz3yJVlk-ee3oZIqNQ/view?usp=drive_link" TargetMode="External"/><Relationship Id="rId155" Type="http://schemas.openxmlformats.org/officeDocument/2006/relationships/hyperlink" Target="https://drive.google.com/file/d/1LFEkOgGG75VfiNIGSxkiZtnkcOz555xD/view?usp=drive_link" TargetMode="External"/><Relationship Id="rId107" Type="http://schemas.openxmlformats.org/officeDocument/2006/relationships/hyperlink" Target="https://drive.google.com/file/d/1s_utB90C5tgWQyn4BrADsv5w2v7lCfJq/view?usp=drive_link" TargetMode="External"/><Relationship Id="rId228" Type="http://schemas.openxmlformats.org/officeDocument/2006/relationships/hyperlink" Target="https://drive.google.com/file/d/1y7hidEQ9yJnAAPkF2MGJI-irEbwn9ImB/view?usp=drive_link" TargetMode="External"/><Relationship Id="rId106" Type="http://schemas.openxmlformats.org/officeDocument/2006/relationships/hyperlink" Target="https://drive.google.com/file/d/1yMAaums-ujyP9eCtMwg4PPG0CDgOAiPX/view?usp=drive_link" TargetMode="External"/><Relationship Id="rId227" Type="http://schemas.openxmlformats.org/officeDocument/2006/relationships/hyperlink" Target="https://drive.google.com/file/d/1QQK6PcnoAaUFcwPZRFnsUDQzTevCQ-MY/view?usp=drive_link" TargetMode="External"/><Relationship Id="rId105" Type="http://schemas.openxmlformats.org/officeDocument/2006/relationships/hyperlink" Target="https://drive.google.com/file/d/1rIkRyNVQQL6pwsk3h4XyzyiHZS92HsCC/view?usp=drive_link" TargetMode="External"/><Relationship Id="rId226" Type="http://schemas.openxmlformats.org/officeDocument/2006/relationships/hyperlink" Target="https://drive.google.com/file/d/10jucGeJcd-woX_wSglMNQ2J7ypDZjx0M/view?usp=drive_link" TargetMode="External"/><Relationship Id="rId104" Type="http://schemas.openxmlformats.org/officeDocument/2006/relationships/hyperlink" Target="https://drive.google.com/file/d/1yMAaums-ujyP9eCtMwg4PPG0CDgOAiPX/view?usp=drive_link" TargetMode="External"/><Relationship Id="rId225" Type="http://schemas.openxmlformats.org/officeDocument/2006/relationships/hyperlink" Target="https://drive.google.com/file/d/1MvlKQcYL9R0WdUi9La_cCCitpME_KbQZ/view?usp=drive_link" TargetMode="External"/><Relationship Id="rId109" Type="http://schemas.openxmlformats.org/officeDocument/2006/relationships/hyperlink" Target="https://drive.google.com/file/d/1Q9dUc4tzB9sfHt_stYrl9t4kXN-slUAb/view?usp=drive_link" TargetMode="External"/><Relationship Id="rId108" Type="http://schemas.openxmlformats.org/officeDocument/2006/relationships/hyperlink" Target="https://drive.google.com/file/d/1yMAaums-ujyP9eCtMwg4PPG0CDgOAiPX/view?usp=drive_link" TargetMode="External"/><Relationship Id="rId229" Type="http://schemas.openxmlformats.org/officeDocument/2006/relationships/hyperlink" Target="https://drive.google.com/file/d/10jucGeJcd-woX_wSglMNQ2J7ypDZjx0M/view?usp=drive_link" TargetMode="External"/><Relationship Id="rId220" Type="http://schemas.openxmlformats.org/officeDocument/2006/relationships/hyperlink" Target="https://drive.google.com/file/d/1D_pTQqDhHQF_eOmmWhVt8JoGu3eyGFoz/view?usp=drive_link" TargetMode="External"/><Relationship Id="rId103" Type="http://schemas.openxmlformats.org/officeDocument/2006/relationships/hyperlink" Target="https://drive.google.com/file/d/1bU355MHYua9Nn2pzjAFvfybVmiVpdHGb/view?usp=drive_link" TargetMode="External"/><Relationship Id="rId224" Type="http://schemas.openxmlformats.org/officeDocument/2006/relationships/hyperlink" Target="https://drive.google.com/file/d/10jucGeJcd-woX_wSglMNQ2J7ypDZjx0M/view?usp=drive_link" TargetMode="External"/><Relationship Id="rId102" Type="http://schemas.openxmlformats.org/officeDocument/2006/relationships/hyperlink" Target="https://drive.google.com/file/d/1_mVpCWtll4ZqhBOD48UIGbJFHwgsFKlZ/view?usp=drive_link" TargetMode="External"/><Relationship Id="rId223" Type="http://schemas.openxmlformats.org/officeDocument/2006/relationships/hyperlink" Target="https://drive.google.com/file/d/1lTgvjSaVFxwo68e7MPotR1wMszzBH925/view?usp=drive_link" TargetMode="External"/><Relationship Id="rId101" Type="http://schemas.openxmlformats.org/officeDocument/2006/relationships/hyperlink" Target="https://drive.google.com/file/d/1PSJzN9xX0LxMfIfFdGVH_UoLf0F0e_Ov/view?usp=drive_link" TargetMode="External"/><Relationship Id="rId222" Type="http://schemas.openxmlformats.org/officeDocument/2006/relationships/hyperlink" Target="https://drive.google.com/file/d/1e1E3AS0MVk20XwGSEHtXAQAwZxfdJAUd/view?usp=drive_link" TargetMode="External"/><Relationship Id="rId100" Type="http://schemas.openxmlformats.org/officeDocument/2006/relationships/hyperlink" Target="https://drive.google.com/file/d/1_mVpCWtll4ZqhBOD48UIGbJFHwgsFKlZ/view?usp=drive_link" TargetMode="External"/><Relationship Id="rId221" Type="http://schemas.openxmlformats.org/officeDocument/2006/relationships/hyperlink" Target="https://drive.google.com/file/d/12ucI-zttOkHKgi6o4LIp77UMU44bbjCs/view?usp=drive_link" TargetMode="External"/><Relationship Id="rId217" Type="http://schemas.openxmlformats.org/officeDocument/2006/relationships/hyperlink" Target="https://drive.google.com/file/d/1NWRUk9gmzZ290pNwckveScF0gKLHmAcL/view?usp=drive_link" TargetMode="External"/><Relationship Id="rId216" Type="http://schemas.openxmlformats.org/officeDocument/2006/relationships/hyperlink" Target="https://drive.google.com/file/d/1S-QgVacyNVOE1jpr8nSHVSGOk3MN8cER/view?usp=drive_link" TargetMode="External"/><Relationship Id="rId215" Type="http://schemas.openxmlformats.org/officeDocument/2006/relationships/hyperlink" Target="https://drive.google.com/file/d/1w9ZrmPU0B2-HqwYp_ajlJm2Otzdb6Fsl/view?usp=drive_link" TargetMode="External"/><Relationship Id="rId214" Type="http://schemas.openxmlformats.org/officeDocument/2006/relationships/hyperlink" Target="https://drive.google.com/file/d/1Om03gTINHM8OBoprjFGk7bA0wzPcPmuY/view?usp=drive_link" TargetMode="External"/><Relationship Id="rId219" Type="http://schemas.openxmlformats.org/officeDocument/2006/relationships/hyperlink" Target="https://drive.google.com/file/d/1S-QgVacyNVOE1jpr8nSHVSGOk3MN8cER/view?usp=drive_link" TargetMode="External"/><Relationship Id="rId218" Type="http://schemas.openxmlformats.org/officeDocument/2006/relationships/hyperlink" Target="https://drive.google.com/file/d/1FymA2hzSwSzltytyRZ-r-eHuaV--Be_W/view?usp=drive_link" TargetMode="External"/><Relationship Id="rId213" Type="http://schemas.openxmlformats.org/officeDocument/2006/relationships/hyperlink" Target="https://drive.google.com/file/d/1S-QgVacyNVOE1jpr8nSHVSGOk3MN8cER/view?usp=drive_link" TargetMode="External"/><Relationship Id="rId212" Type="http://schemas.openxmlformats.org/officeDocument/2006/relationships/hyperlink" Target="https://drive.google.com/file/d/19_hf_JgSPCI7uEnVx8jYJ_VAUa_HRsh2/view?usp=drive_link" TargetMode="External"/><Relationship Id="rId211" Type="http://schemas.openxmlformats.org/officeDocument/2006/relationships/hyperlink" Target="https://drive.google.com/file/d/1QUZUQh74g2ecc0ixo3NxoUqU6O97ymFN/view?usp=drive_link" TargetMode="External"/><Relationship Id="rId210" Type="http://schemas.openxmlformats.org/officeDocument/2006/relationships/hyperlink" Target="https://drive.google.com/file/d/1LUT53L355ruvgGCZKv-Kj8twNe1mf7CO/view?usp=drive_link" TargetMode="External"/><Relationship Id="rId129" Type="http://schemas.openxmlformats.org/officeDocument/2006/relationships/hyperlink" Target="https://drive.google.com/file/d/15nG56z-aozeeBKFbnGAViWnZr3F_pISn/view?usp=drive_link" TargetMode="External"/><Relationship Id="rId128" Type="http://schemas.openxmlformats.org/officeDocument/2006/relationships/hyperlink" Target="https://drive.google.com/file/d/1717R93VvXT45CG4gSBtew03QiLeXNfLg/view?usp=drive_link" TargetMode="External"/><Relationship Id="rId249" Type="http://schemas.openxmlformats.org/officeDocument/2006/relationships/hyperlink" Target="https://drive.google.com/file/d/1yokOFlQPwQRRxrGGqqACBJ6L6jMBt-m6/view?usp=drive_link" TargetMode="External"/><Relationship Id="rId127" Type="http://schemas.openxmlformats.org/officeDocument/2006/relationships/hyperlink" Target="https://drive.google.com/file/d/1EIn-bZ58ecaj6PqGbd7S7RNDR9lex35e/view?usp=drive_link" TargetMode="External"/><Relationship Id="rId248" Type="http://schemas.openxmlformats.org/officeDocument/2006/relationships/hyperlink" Target="https://drive.google.com/file/d/10f-87NdZx5vZ3YFrPkdT0sRHmzc9AjC5/view?usp=drive_link" TargetMode="External"/><Relationship Id="rId126" Type="http://schemas.openxmlformats.org/officeDocument/2006/relationships/hyperlink" Target="https://drive.google.com/file/d/1717R93VvXT45CG4gSBtew03QiLeXNfLg/view?usp=drive_link" TargetMode="External"/><Relationship Id="rId247" Type="http://schemas.openxmlformats.org/officeDocument/2006/relationships/hyperlink" Target="https://drive.google.com/file/d/1yokOFlQPwQRRxrGGqqACBJ6L6jMBt-m6/view?usp=drive_link" TargetMode="External"/><Relationship Id="rId121" Type="http://schemas.openxmlformats.org/officeDocument/2006/relationships/hyperlink" Target="https://drive.google.com/file/d/1FAfXdDqGTGueT6BnU3guUGJOewZALd-j/view?usp=drive_link" TargetMode="External"/><Relationship Id="rId242" Type="http://schemas.openxmlformats.org/officeDocument/2006/relationships/hyperlink" Target="https://drive.google.com/file/d/1iLev78M4kmLEhZigh91gMyFq8MP29_E5/view?usp=drive_link" TargetMode="External"/><Relationship Id="rId120" Type="http://schemas.openxmlformats.org/officeDocument/2006/relationships/hyperlink" Target="https://drive.google.com/file/d/1mtGceB1x02d5N_peUStW1Zk4ig79wwHm/view?usp=drive_link" TargetMode="External"/><Relationship Id="rId241" Type="http://schemas.openxmlformats.org/officeDocument/2006/relationships/hyperlink" Target="https://drive.google.com/file/d/1yokOFlQPwQRRxrGGqqACBJ6L6jMBt-m6/view?usp=drive_link" TargetMode="External"/><Relationship Id="rId240" Type="http://schemas.openxmlformats.org/officeDocument/2006/relationships/hyperlink" Target="https://drive.google.com/file/d/1RZpeQ5gJGiERcDC3sZQfmObm66lJ80zY/view?usp=drive_link" TargetMode="External"/><Relationship Id="rId125" Type="http://schemas.openxmlformats.org/officeDocument/2006/relationships/hyperlink" Target="https://drive.google.com/file/d/1C6aomyMQTteKr01gMsq48fNRPX2q72_5/view?usp=drive_link" TargetMode="External"/><Relationship Id="rId246" Type="http://schemas.openxmlformats.org/officeDocument/2006/relationships/hyperlink" Target="https://drive.google.com/file/d/1gsPHq5F4VO6itk-cr56w6Lv47eBKU4D5/view?usp=drive_link" TargetMode="External"/><Relationship Id="rId124" Type="http://schemas.openxmlformats.org/officeDocument/2006/relationships/hyperlink" Target="https://drive.google.com/file/d/1717R93VvXT45CG4gSBtew03QiLeXNfLg/view?usp=drive_link" TargetMode="External"/><Relationship Id="rId245" Type="http://schemas.openxmlformats.org/officeDocument/2006/relationships/hyperlink" Target="https://drive.google.com/file/d/1yokOFlQPwQRRxrGGqqACBJ6L6jMBt-m6/view?usp=drive_link" TargetMode="External"/><Relationship Id="rId123" Type="http://schemas.openxmlformats.org/officeDocument/2006/relationships/hyperlink" Target="https://drive.google.com/file/d/1zLQ0rYGHYIK3nt04hLVAX1VSXUmhDXSu/view?usp=drive_link" TargetMode="External"/><Relationship Id="rId244" Type="http://schemas.openxmlformats.org/officeDocument/2006/relationships/hyperlink" Target="https://drive.google.com/file/d/1Xbh-n2B1CAIaiI8862_4rCsmViMzOw-u/view?usp=drive_link" TargetMode="External"/><Relationship Id="rId122" Type="http://schemas.openxmlformats.org/officeDocument/2006/relationships/hyperlink" Target="https://drive.google.com/file/d/1717R93VvXT45CG4gSBtew03QiLeXNfLg/view?usp=drive_link" TargetMode="External"/><Relationship Id="rId243" Type="http://schemas.openxmlformats.org/officeDocument/2006/relationships/hyperlink" Target="https://drive.google.com/file/d/1yokOFlQPwQRRxrGGqqACBJ6L6jMBt-m6/view?usp=drive_link" TargetMode="External"/><Relationship Id="rId95" Type="http://schemas.openxmlformats.org/officeDocument/2006/relationships/hyperlink" Target="https://drive.google.com/file/d/1-gVj3QJGO4Jx94RNJxpisPX1f_lnz7Tu/view?usp=drive_link" TargetMode="External"/><Relationship Id="rId94" Type="http://schemas.openxmlformats.org/officeDocument/2006/relationships/hyperlink" Target="https://drive.google.com/file/d/1_mVpCWtll4ZqhBOD48UIGbJFHwgsFKlZ/view?usp=drive_link" TargetMode="External"/><Relationship Id="rId97" Type="http://schemas.openxmlformats.org/officeDocument/2006/relationships/hyperlink" Target="https://drive.google.com/file/d/1klW-IqJLZDLY8lvPVFkrCSAwGk5yXydk/view?usp=drive_link" TargetMode="External"/><Relationship Id="rId96" Type="http://schemas.openxmlformats.org/officeDocument/2006/relationships/hyperlink" Target="https://drive.google.com/file/d/1_mVpCWtll4ZqhBOD48UIGbJFHwgsFKlZ/view?usp=drive_link" TargetMode="External"/><Relationship Id="rId99" Type="http://schemas.openxmlformats.org/officeDocument/2006/relationships/hyperlink" Target="https://drive.google.com/file/d/1XA_PQrfQkoXEyLOx_vD-2CMCSUQEX4x4/view?usp=drive_link" TargetMode="External"/><Relationship Id="rId98" Type="http://schemas.openxmlformats.org/officeDocument/2006/relationships/hyperlink" Target="https://drive.google.com/file/d/1_mVpCWtll4ZqhBOD48UIGbJFHwgsFKlZ/view?usp=drive_link" TargetMode="External"/><Relationship Id="rId91" Type="http://schemas.openxmlformats.org/officeDocument/2006/relationships/hyperlink" Target="https://drive.google.com/file/d/1gHiJ8xnaNYsXSjIt8yAtE1ZqLByzqTko/view?usp=drive_link" TargetMode="External"/><Relationship Id="rId90" Type="http://schemas.openxmlformats.org/officeDocument/2006/relationships/hyperlink" Target="https://drive.google.com/file/d/1FiQ9tz4yEf2Dq3y-47xU1RBRlWP5otpX/view?usp=drive_link" TargetMode="External"/><Relationship Id="rId93" Type="http://schemas.openxmlformats.org/officeDocument/2006/relationships/hyperlink" Target="https://drive.google.com/file/d/1UbdiaPj8FGNMXuOSdEBki_Dsmzm9-Fvy/view?usp=drive_link" TargetMode="External"/><Relationship Id="rId92" Type="http://schemas.openxmlformats.org/officeDocument/2006/relationships/hyperlink" Target="https://drive.google.com/file/d/1_mVpCWtll4ZqhBOD48UIGbJFHwgsFKlZ/view?usp=drive_link" TargetMode="External"/><Relationship Id="rId118" Type="http://schemas.openxmlformats.org/officeDocument/2006/relationships/hyperlink" Target="https://drive.google.com/file/d/1mtGceB1x02d5N_peUStW1Zk4ig79wwHm/view?usp=drive_link" TargetMode="External"/><Relationship Id="rId239" Type="http://schemas.openxmlformats.org/officeDocument/2006/relationships/hyperlink" Target="https://drive.google.com/file/d/1yokOFlQPwQRRxrGGqqACBJ6L6jMBt-m6/view?usp=drive_link" TargetMode="External"/><Relationship Id="rId117" Type="http://schemas.openxmlformats.org/officeDocument/2006/relationships/hyperlink" Target="https://drive.google.com/file/d/1CDDsmT6z4e5cxng7rMKHKpQCpbeeZYFc/view?usp=drive_link" TargetMode="External"/><Relationship Id="rId238" Type="http://schemas.openxmlformats.org/officeDocument/2006/relationships/hyperlink" Target="https://drive.google.com/file/d/1Jg3mIQtyYHCrIkflweSqAWs-hZVoNIZ8/view?usp=drive_link" TargetMode="External"/><Relationship Id="rId116" Type="http://schemas.openxmlformats.org/officeDocument/2006/relationships/hyperlink" Target="https://drive.google.com/file/d/1mtGceB1x02d5N_peUStW1Zk4ig79wwHm/view?usp=drive_link" TargetMode="External"/><Relationship Id="rId237" Type="http://schemas.openxmlformats.org/officeDocument/2006/relationships/hyperlink" Target="https://drive.google.com/file/d/1yokOFlQPwQRRxrGGqqACBJ6L6jMBt-m6/view?usp=drive_link" TargetMode="External"/><Relationship Id="rId115" Type="http://schemas.openxmlformats.org/officeDocument/2006/relationships/hyperlink" Target="https://drive.google.com/file/d/14K9W9iNGI6jM-WK6A2X-u5p4ClIL3OCP/view?usp=drive_link" TargetMode="External"/><Relationship Id="rId236" Type="http://schemas.openxmlformats.org/officeDocument/2006/relationships/hyperlink" Target="https://drive.google.com/file/d/1vrlYfGBXwXuJVAiw5uvRKrWtguFRlvRR/view?usp=drive_link" TargetMode="External"/><Relationship Id="rId119" Type="http://schemas.openxmlformats.org/officeDocument/2006/relationships/hyperlink" Target="https://drive.google.com/file/d/1X9rhWrNNHeakCdto61JKItI4YrVY1ybn/view?usp=drive_link" TargetMode="External"/><Relationship Id="rId110" Type="http://schemas.openxmlformats.org/officeDocument/2006/relationships/hyperlink" Target="https://drive.google.com/file/d/1o9DPtM-01QJrsmeKMlheLlYpZghc5ZZZ/view?usp=drive_link" TargetMode="External"/><Relationship Id="rId231" Type="http://schemas.openxmlformats.org/officeDocument/2006/relationships/hyperlink" Target="https://drive.google.com/file/d/1A24Rm7g_mr9Nmjt07aBMMqzalmdjeYuI/view?usp=drive_link" TargetMode="External"/><Relationship Id="rId230" Type="http://schemas.openxmlformats.org/officeDocument/2006/relationships/hyperlink" Target="https://drive.google.com/file/d/1x1m7qMsVInJtj54Vd3er_UadO6irOh9k/view?usp=drive_link" TargetMode="External"/><Relationship Id="rId114" Type="http://schemas.openxmlformats.org/officeDocument/2006/relationships/hyperlink" Target="https://drive.google.com/file/d/1-tDc9AWGlPRZ-Gd9HwG9WCXKF7Q201Av/view?usp=drive_link" TargetMode="External"/><Relationship Id="rId235" Type="http://schemas.openxmlformats.org/officeDocument/2006/relationships/hyperlink" Target="https://drive.google.com/file/d/1iPpjKsbKlBNarAqWVCL3Tf9qBdS1h5bO/view?usp=drive_link" TargetMode="External"/><Relationship Id="rId113" Type="http://schemas.openxmlformats.org/officeDocument/2006/relationships/hyperlink" Target="https://drive.google.com/file/d/1CCGrN2mqQKGkXKW8cEbLkTqOnckd_l2C/view?usp=drive_link" TargetMode="External"/><Relationship Id="rId234" Type="http://schemas.openxmlformats.org/officeDocument/2006/relationships/hyperlink" Target="https://drive.google.com/file/d/1vFUwjFWgnUFivj4VxlSVcWnhU-UE3m-r/view?usp=drive_link" TargetMode="External"/><Relationship Id="rId112" Type="http://schemas.openxmlformats.org/officeDocument/2006/relationships/hyperlink" Target="https://drive.google.com/file/d/1H_9_TXGEVpaqYkDYHatquyEymBzge6F4/view?usp=drive_link" TargetMode="External"/><Relationship Id="rId233" Type="http://schemas.openxmlformats.org/officeDocument/2006/relationships/hyperlink" Target="https://drive.google.com/file/d/1NAHEbfLRKXQZAcyLgInONUc-DYpEAGdi/view?usp=drive_link" TargetMode="External"/><Relationship Id="rId111" Type="http://schemas.openxmlformats.org/officeDocument/2006/relationships/hyperlink" Target="https://drive.google.com/file/d/1HQhDBnoUjWot4UdooEETXKuJp3clpxlx/view?usp=drive_link" TargetMode="External"/><Relationship Id="rId232" Type="http://schemas.openxmlformats.org/officeDocument/2006/relationships/hyperlink" Target="https://drive.google.com/file/d/1JMAzECNux342YwXi_pgT3z3mZCl_xNOQ/view?usp=drive_link" TargetMode="External"/><Relationship Id="rId206" Type="http://schemas.openxmlformats.org/officeDocument/2006/relationships/hyperlink" Target="https://drive.google.com/file/d/1KrtOHkgkGRy14MnanWvkO7r2xJn4XQVF/view?usp=drive_link" TargetMode="External"/><Relationship Id="rId205" Type="http://schemas.openxmlformats.org/officeDocument/2006/relationships/hyperlink" Target="https://drive.google.com/file/d/1eCIk_znge5l8evhZ9xESS9AfXvTUQlBn/view?usp=drive_link" TargetMode="External"/><Relationship Id="rId204" Type="http://schemas.openxmlformats.org/officeDocument/2006/relationships/hyperlink" Target="https://drive.google.com/file/d/1AsQLpMk9YMNYwlR6p7GwPwG_b3968dYl/view?usp=drive_link" TargetMode="External"/><Relationship Id="rId203" Type="http://schemas.openxmlformats.org/officeDocument/2006/relationships/hyperlink" Target="https://drive.google.com/file/d/11gOsMN0-17bFSvLyby8agJTPi6W-TohJ/view?usp=drive_link" TargetMode="External"/><Relationship Id="rId209" Type="http://schemas.openxmlformats.org/officeDocument/2006/relationships/hyperlink" Target="https://drive.google.com/file/d/1NEBtBI94B4sAlyFOCT4-RlqQv64yk9xr/view?usp=drive_link" TargetMode="External"/><Relationship Id="rId208" Type="http://schemas.openxmlformats.org/officeDocument/2006/relationships/hyperlink" Target="https://drive.google.com/file/d/1D0g-kkgqu9x9YnjVFjFz5pd49gQixtCF/view?usp=drive_link" TargetMode="External"/><Relationship Id="rId207" Type="http://schemas.openxmlformats.org/officeDocument/2006/relationships/hyperlink" Target="https://drive.google.com/file/d/12HVKRRuT14ph3tOBRSQr0hL80vran5Fk/view?usp=drive_link" TargetMode="External"/><Relationship Id="rId202" Type="http://schemas.openxmlformats.org/officeDocument/2006/relationships/hyperlink" Target="https://drive.google.com/file/d/1iWj2SljJR5H3b5-cgCaUntgc9DpxoKK2/view?usp=drive_link" TargetMode="External"/><Relationship Id="rId201" Type="http://schemas.openxmlformats.org/officeDocument/2006/relationships/hyperlink" Target="https://drive.google.com/file/d/12Xp6bwc33WOcrsy6n4wjkkh7xYbeDICX/view?usp=drive_link" TargetMode="External"/><Relationship Id="rId200" Type="http://schemas.openxmlformats.org/officeDocument/2006/relationships/hyperlink" Target="https://drive.google.com/file/d/1paexx4QERZm_-5wn1op1_dEfVKb2E224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_mVpCWtll4ZqhBOD48UIGbJFHwgsFKlZ/view?usp=drive_link" TargetMode="External"/><Relationship Id="rId42" Type="http://schemas.openxmlformats.org/officeDocument/2006/relationships/hyperlink" Target="https://drive.google.com/file/d/1_mVpCWtll4ZqhBOD48UIGbJFHwgsFKlZ/view?usp=drive_link" TargetMode="External"/><Relationship Id="rId41" Type="http://schemas.openxmlformats.org/officeDocument/2006/relationships/hyperlink" Target="https://drive.google.com/file/d/1_mVpCWtll4ZqhBOD48UIGbJFHwgsFKlZ/view?usp=drive_link" TargetMode="External"/><Relationship Id="rId44" Type="http://schemas.openxmlformats.org/officeDocument/2006/relationships/hyperlink" Target="https://drive.google.com/file/d/1_mVpCWtll4ZqhBOD48UIGbJFHwgsFKlZ/view?usp=drive_link" TargetMode="External"/><Relationship Id="rId43" Type="http://schemas.openxmlformats.org/officeDocument/2006/relationships/hyperlink" Target="https://drive.google.com/file/d/1_mVpCWtll4ZqhBOD48UIGbJFHwgsFKlZ/view?usp=drive_link" TargetMode="External"/><Relationship Id="rId46" Type="http://schemas.openxmlformats.org/officeDocument/2006/relationships/hyperlink" Target="https://drive.google.com/file/d/1_mVpCWtll4ZqhBOD48UIGbJFHwgsFKlZ/view?usp=drive_link" TargetMode="External"/><Relationship Id="rId45" Type="http://schemas.openxmlformats.org/officeDocument/2006/relationships/hyperlink" Target="https://drive.google.com/file/d/1_mVpCWtll4ZqhBOD48UIGbJFHwgsFKlZ/view?usp=drive_link" TargetMode="External"/><Relationship Id="rId48" Type="http://schemas.openxmlformats.org/officeDocument/2006/relationships/hyperlink" Target="https://drive.google.com/file/d/16Put7VWtmF2imo4OOHUm4035Q8ZeDayC/view?usp=drive_link" TargetMode="External"/><Relationship Id="rId47" Type="http://schemas.openxmlformats.org/officeDocument/2006/relationships/hyperlink" Target="https://drive.google.com/file/d/1_mVpCWtll4ZqhBOD48UIGbJFHwgsFKlZ/view?usp=drive_link" TargetMode="External"/><Relationship Id="rId49" Type="http://schemas.openxmlformats.org/officeDocument/2006/relationships/hyperlink" Target="https://drive.google.com/file/d/1ao0vLqbUvkCQBoe_NipC0nS5QdcfRnKH/view?usp=drive_link" TargetMode="External"/><Relationship Id="rId31" Type="http://schemas.openxmlformats.org/officeDocument/2006/relationships/hyperlink" Target="https://drive.google.com/file/d/1LDngfXayJXpdOrissdqbrcjIjCg01Fnn/view?usp=drive_link" TargetMode="External"/><Relationship Id="rId30" Type="http://schemas.openxmlformats.org/officeDocument/2006/relationships/hyperlink" Target="https://drive.google.com/file/d/182Iuqprvqnns5j2CJdc6NXXMd4rvFTBS/view?usp=drive_link" TargetMode="External"/><Relationship Id="rId33" Type="http://schemas.openxmlformats.org/officeDocument/2006/relationships/hyperlink" Target="https://drive.google.com/file/d/1ES6rmQ5uPqIyof3F_CCIHBVpU7MJXSSC/view?usp=drive_link" TargetMode="External"/><Relationship Id="rId32" Type="http://schemas.openxmlformats.org/officeDocument/2006/relationships/hyperlink" Target="https://drive.google.com/file/d/1RB_N9gluNC5nwBLCerzs037gcWVBE2mB/view?usp=drive_link" TargetMode="External"/><Relationship Id="rId35" Type="http://schemas.openxmlformats.org/officeDocument/2006/relationships/hyperlink" Target="https://drive.google.com/file/d/1tRUcfOZf6PQDtj5PoHBds66OR8HQ9Wup/view?usp=drive_link" TargetMode="External"/><Relationship Id="rId34" Type="http://schemas.openxmlformats.org/officeDocument/2006/relationships/hyperlink" Target="https://drive.google.com/file/d/1_oEwTPBo38lvurd4EWfQ0c5-IPy0E5mU/view?usp=drive_link" TargetMode="External"/><Relationship Id="rId37" Type="http://schemas.openxmlformats.org/officeDocument/2006/relationships/hyperlink" Target="https://drive.google.com/file/d/1z76eoWSzlOnCZFmnb2REN8hwxskqHlS6/view?usp=drive_link" TargetMode="External"/><Relationship Id="rId36" Type="http://schemas.openxmlformats.org/officeDocument/2006/relationships/hyperlink" Target="https://drive.google.com/file/d/1DZe78ibrqrWyi1EF3LlntD6u970J4_yB/view?usp=drive_link" TargetMode="External"/><Relationship Id="rId39" Type="http://schemas.openxmlformats.org/officeDocument/2006/relationships/hyperlink" Target="https://drive.google.com/file/d/17EUG4Yry7j5-9WTDKvn8MRU6acleACAk/view?usp=drive_link" TargetMode="External"/><Relationship Id="rId38" Type="http://schemas.openxmlformats.org/officeDocument/2006/relationships/hyperlink" Target="https://drive.google.com/file/d/12HVKRRuT14ph3tOBRSQr0hL80vran5Fk/view?usp=drive_link" TargetMode="External"/><Relationship Id="rId20" Type="http://schemas.openxmlformats.org/officeDocument/2006/relationships/hyperlink" Target="https://drive.google.com/file/d/1wmQNhtiym6EUZd9Y-it1YElnqSeEQfSB/view?usp=drive_link" TargetMode="External"/><Relationship Id="rId22" Type="http://schemas.openxmlformats.org/officeDocument/2006/relationships/hyperlink" Target="https://drive.google.com/file/d/1GjA0ohdkIhwV81eUdU0RVD1z1jB0Hg9v/view?usp=drive_link" TargetMode="External"/><Relationship Id="rId21" Type="http://schemas.openxmlformats.org/officeDocument/2006/relationships/hyperlink" Target="https://drive.google.com/file/d/1FvLFz3BpNMlmeNqZ5rxKRxDy_EbQThlf/view?usp=drive_link" TargetMode="External"/><Relationship Id="rId24" Type="http://schemas.openxmlformats.org/officeDocument/2006/relationships/hyperlink" Target="https://drive.google.com/file/d/1jjLuAxcyZt0Z7FR3vh7urFhlwuqAC9te/view?usp=drive_link" TargetMode="External"/><Relationship Id="rId23" Type="http://schemas.openxmlformats.org/officeDocument/2006/relationships/hyperlink" Target="https://drive.google.com/file/d/1FvLFz3BpNMlmeNqZ5rxKRxDy_EbQThlf/view?usp=drive_link" TargetMode="External"/><Relationship Id="rId26" Type="http://schemas.openxmlformats.org/officeDocument/2006/relationships/hyperlink" Target="https://drive.google.com/file/d/17KjXXjX8jzN68qVw5KMYkF3Ju3w-a7dN/view?usp=drive_link" TargetMode="External"/><Relationship Id="rId25" Type="http://schemas.openxmlformats.org/officeDocument/2006/relationships/hyperlink" Target="https://drive.google.com/file/d/1P2m4FHEv7xHDjC1Aq53_iR2MK-tUf2K0/view?usp=drive_link" TargetMode="External"/><Relationship Id="rId28" Type="http://schemas.openxmlformats.org/officeDocument/2006/relationships/hyperlink" Target="https://drive.google.com/file/d/1Y5VlPrh2E3t_EdUh_RpHPU6gUPl4XoLv/view?usp=drive_link" TargetMode="External"/><Relationship Id="rId27" Type="http://schemas.openxmlformats.org/officeDocument/2006/relationships/hyperlink" Target="https://drive.google.com/file/d/1dOx-3JrxXF7sa7Yn_pbjT7xCFyL7F5_d/view?usp=drive_link" TargetMode="External"/><Relationship Id="rId29" Type="http://schemas.openxmlformats.org/officeDocument/2006/relationships/hyperlink" Target="https://drive.google.com/file/d/1tLvo2QbrILywzWQRrotNV8a47em2f8q2/view?usp=drive_link" TargetMode="External"/><Relationship Id="rId11" Type="http://schemas.openxmlformats.org/officeDocument/2006/relationships/hyperlink" Target="https://drive.google.com/file/d/1wvlm5vWDGLeaoaP0a5XmKLNE15s1a_ZT/view?usp=drive_link" TargetMode="External"/><Relationship Id="rId10" Type="http://schemas.openxmlformats.org/officeDocument/2006/relationships/hyperlink" Target="https://drive.google.com/file/d/1QyPKKiFZ7iUEMnfL2HNzJwcaNoxTZvQP/view?usp=drive_link" TargetMode="External"/><Relationship Id="rId13" Type="http://schemas.openxmlformats.org/officeDocument/2006/relationships/hyperlink" Target="https://drive.google.com/file/d/1ySRnKyR0Co3blFiDU-ULSrIYFztqc8e-/view?usp=drive_link" TargetMode="External"/><Relationship Id="rId12" Type="http://schemas.openxmlformats.org/officeDocument/2006/relationships/hyperlink" Target="https://drive.google.com/file/d/1jXzpwCn0HPwWpjX3zuLbZDrcP72IyoPx/view?usp=drive_link" TargetMode="External"/><Relationship Id="rId15" Type="http://schemas.openxmlformats.org/officeDocument/2006/relationships/hyperlink" Target="https://drive.google.com/file/d/1soCQxnEFf1h3U_K5SGAabnm37nJI9csB/view?usp=drive_link" TargetMode="External"/><Relationship Id="rId14" Type="http://schemas.openxmlformats.org/officeDocument/2006/relationships/hyperlink" Target="https://drive.google.com/file/d/1ZEXPQmvTgehTZoZHTCsyfpxl7cJda2la/view?usp=drive_link" TargetMode="External"/><Relationship Id="rId17" Type="http://schemas.openxmlformats.org/officeDocument/2006/relationships/hyperlink" Target="https://drive.google.com/file/d/1_hDNZ5vaYUO2IrPQoIHOph_i_3ObdXWM/view?usp=drive_link" TargetMode="External"/><Relationship Id="rId16" Type="http://schemas.openxmlformats.org/officeDocument/2006/relationships/hyperlink" Target="https://drive.google.com/file/d/1JnrEzltsRhDFBs1yjQI3-T49A3J9yVPe/view?usp=drive_link" TargetMode="External"/><Relationship Id="rId19" Type="http://schemas.openxmlformats.org/officeDocument/2006/relationships/hyperlink" Target="https://drive.google.com/file/d/1wGQwdo_NVJnHib8I_5oox-eL0P6RMXVc/view?usp=drive_link" TargetMode="External"/><Relationship Id="rId18" Type="http://schemas.openxmlformats.org/officeDocument/2006/relationships/hyperlink" Target="https://drive.google.com/file/d/1jGaFPTI5ddWLySc4j4EUI-a5qa0oPnsv/view?usp=drive_link" TargetMode="External"/><Relationship Id="rId84" Type="http://schemas.openxmlformats.org/officeDocument/2006/relationships/hyperlink" Target="https://drive.google.com/file/d/1bPp7sj3zEr3HYld1G_2IAKnnQ5e_2NV7/view?usp=drive_link" TargetMode="External"/><Relationship Id="rId83" Type="http://schemas.openxmlformats.org/officeDocument/2006/relationships/hyperlink" Target="https://drive.google.com/file/d/18TFn-2wAXmwnBhY_bFQDHFjIjmjgNLf1/view?usp=drive_link" TargetMode="External"/><Relationship Id="rId86" Type="http://schemas.openxmlformats.org/officeDocument/2006/relationships/hyperlink" Target="https://drive.google.com/file/d/1N4DC6CP78ybtuTm3i5GQtvfgMV4EMHYm/view?usp=drive_link" TargetMode="External"/><Relationship Id="rId85" Type="http://schemas.openxmlformats.org/officeDocument/2006/relationships/hyperlink" Target="https://drive.google.com/file/d/155sy_PbauRZl_boz3yJVlk-ee3oZIqNQ/view?usp=drive_link" TargetMode="External"/><Relationship Id="rId88" Type="http://schemas.openxmlformats.org/officeDocument/2006/relationships/hyperlink" Target="https://drive.google.com/file/d/1E5KetbQ-UhPBE4C6s5p1ZMIn0Ct6W_XC/view?usp=drive_link" TargetMode="External"/><Relationship Id="rId87" Type="http://schemas.openxmlformats.org/officeDocument/2006/relationships/hyperlink" Target="https://drive.google.com/file/d/1LXfTB2uJ7gRH-6Tm70FeVTz3YNC1PCF4/view?usp=drive_link" TargetMode="External"/><Relationship Id="rId89" Type="http://schemas.openxmlformats.org/officeDocument/2006/relationships/hyperlink" Target="https://drive.google.com/file/d/1HfDJDZi6M9RIOSMmFLeSvpFF7cKpHTyW/view?usp=drive_link" TargetMode="External"/><Relationship Id="rId80" Type="http://schemas.openxmlformats.org/officeDocument/2006/relationships/hyperlink" Target="https://drive.google.com/file/d/16MLIrTMt24MmA29Icu3QR7L4PfqkH1B2/view?usp=drive_link" TargetMode="External"/><Relationship Id="rId82" Type="http://schemas.openxmlformats.org/officeDocument/2006/relationships/hyperlink" Target="https://drive.google.com/file/d/1_mVpCWtll4ZqhBOD48UIGbJFHwgsFKlZ/view?usp=drive_link" TargetMode="External"/><Relationship Id="rId81" Type="http://schemas.openxmlformats.org/officeDocument/2006/relationships/hyperlink" Target="https://drive.google.com/file/d/1lBLv6JfRQLMvkssO4qsPWAKoswqBcBbY/view?usp=drive_lin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rive.google.com/file/d/12wPyYUvQnEdQpuOUewE0D14ehtZDFAGy/view?usp=sharing" TargetMode="External"/><Relationship Id="rId3" Type="http://schemas.openxmlformats.org/officeDocument/2006/relationships/hyperlink" Target="https://drive.google.com/file/d/1mG5k4VYuL81Sd73bhxbQUh_DqLKygciX/view?usp=drive_link" TargetMode="External"/><Relationship Id="rId4" Type="http://schemas.openxmlformats.org/officeDocument/2006/relationships/hyperlink" Target="https://drive.google.com/file/d/1bAk-6vZN6zqBNZiQvRywtU1qUuasN6B4/view?usp=drive_link" TargetMode="External"/><Relationship Id="rId9" Type="http://schemas.openxmlformats.org/officeDocument/2006/relationships/hyperlink" Target="https://drive.google.com/file/d/18jbBv30zI-7JoV3ixC07dRDNoCNMgKqW/view?usp=drive_link" TargetMode="External"/><Relationship Id="rId5" Type="http://schemas.openxmlformats.org/officeDocument/2006/relationships/hyperlink" Target="https://drive.google.com/file/d/1OkvGqKHe-n2PRhzUCvp4L5XEsUcuKTdi/view?usp=drive_link" TargetMode="External"/><Relationship Id="rId6" Type="http://schemas.openxmlformats.org/officeDocument/2006/relationships/hyperlink" Target="https://drive.google.com/file/d/17RmHovk8f5wKuPGuP6GP4NEEQaEFWRXX/view?usp=drive_link" TargetMode="External"/><Relationship Id="rId7" Type="http://schemas.openxmlformats.org/officeDocument/2006/relationships/hyperlink" Target="https://drive.google.com/file/d/1UsZOjIsESnV7W2MvwNLEQDroUFK3FnT3/view?usp=drive_link" TargetMode="External"/><Relationship Id="rId8" Type="http://schemas.openxmlformats.org/officeDocument/2006/relationships/hyperlink" Target="https://drive.google.com/file/d/1P-ULuS7Fi26_xk6um3t6iPnMCDKgFLdt/view?usp=drive_link" TargetMode="External"/><Relationship Id="rId73" Type="http://schemas.openxmlformats.org/officeDocument/2006/relationships/hyperlink" Target="https://drive.google.com/file/d/16MLIrTMt24MmA29Icu3QR7L4PfqkH1B2/view?usp=drive_link" TargetMode="External"/><Relationship Id="rId72" Type="http://schemas.openxmlformats.org/officeDocument/2006/relationships/hyperlink" Target="https://drive.google.com/file/d/1SAnKWTI6mRumA-hrXfegpV33XUCjq_M5/view?usp=drive_link" TargetMode="External"/><Relationship Id="rId75" Type="http://schemas.openxmlformats.org/officeDocument/2006/relationships/hyperlink" Target="https://drive.google.com/file/d/16MLIrTMt24MmA29Icu3QR7L4PfqkH1B2/view?usp=drive_link" TargetMode="External"/><Relationship Id="rId74" Type="http://schemas.openxmlformats.org/officeDocument/2006/relationships/hyperlink" Target="https://drive.google.com/file/d/16MLIrTMt24MmA29Icu3QR7L4PfqkH1B2/view?usp=drive_link" TargetMode="External"/><Relationship Id="rId77" Type="http://schemas.openxmlformats.org/officeDocument/2006/relationships/hyperlink" Target="https://drive.google.com/file/d/1YANXQTjFAl0BotdWZGzq2cs9w_wq-yJ3/view?usp=drive_link" TargetMode="External"/><Relationship Id="rId76" Type="http://schemas.openxmlformats.org/officeDocument/2006/relationships/hyperlink" Target="https://drive.google.com/file/d/1YANXQTjFAl0BotdWZGzq2cs9w_wq-yJ3/view?usp=drive_link" TargetMode="External"/><Relationship Id="rId79" Type="http://schemas.openxmlformats.org/officeDocument/2006/relationships/hyperlink" Target="https://drive.google.com/file/d/1YANXQTjFAl0BotdWZGzq2cs9w_wq-yJ3/view?usp=drive_link" TargetMode="External"/><Relationship Id="rId78" Type="http://schemas.openxmlformats.org/officeDocument/2006/relationships/hyperlink" Target="https://drive.google.com/file/d/1RDD_9ixmpov9wXE57QGYoblgwmsRUaGk/view?usp=drive_link" TargetMode="External"/><Relationship Id="rId71" Type="http://schemas.openxmlformats.org/officeDocument/2006/relationships/hyperlink" Target="https://drive.google.com/file/d/16MLIrTMt24MmA29Icu3QR7L4PfqkH1B2/view?usp=drive_link" TargetMode="External"/><Relationship Id="rId70" Type="http://schemas.openxmlformats.org/officeDocument/2006/relationships/hyperlink" Target="https://drive.google.com/file/d/15nG56z-aozeeBKFbnGAViWnZr3F_pISn/view?usp=drive_link" TargetMode="External"/><Relationship Id="rId138" Type="http://schemas.openxmlformats.org/officeDocument/2006/relationships/vmlDrawing" Target="../drawings/vmlDrawing2.vml"/><Relationship Id="rId137" Type="http://schemas.openxmlformats.org/officeDocument/2006/relationships/drawing" Target="../drawings/drawing4.xml"/><Relationship Id="rId132" Type="http://schemas.openxmlformats.org/officeDocument/2006/relationships/hyperlink" Target="https://drive.google.com/file/d/1yokOFlQPwQRRxrGGqqACBJ6L6jMBt-m6/view?usp=drive_link" TargetMode="External"/><Relationship Id="rId131" Type="http://schemas.openxmlformats.org/officeDocument/2006/relationships/hyperlink" Target="https://drive.google.com/file/d/1yokOFlQPwQRRxrGGqqACBJ6L6jMBt-m6/view?usp=drive_link" TargetMode="External"/><Relationship Id="rId130" Type="http://schemas.openxmlformats.org/officeDocument/2006/relationships/hyperlink" Target="https://drive.google.com/file/d/1yokOFlQPwQRRxrGGqqACBJ6L6jMBt-m6/view?usp=drive_link" TargetMode="External"/><Relationship Id="rId136" Type="http://schemas.openxmlformats.org/officeDocument/2006/relationships/hyperlink" Target="https://drive.google.com/file/d/1A5ksQ-FW9IzGcU2MqlmgfCynqTFush9w/view?usp=drive_link" TargetMode="External"/><Relationship Id="rId135" Type="http://schemas.openxmlformats.org/officeDocument/2006/relationships/hyperlink" Target="https://drive.google.com/file/d/1K8slF3oyCGZBOGqwQUdf0_b34wpx_2A9/view?usp=drive_link" TargetMode="External"/><Relationship Id="rId134" Type="http://schemas.openxmlformats.org/officeDocument/2006/relationships/hyperlink" Target="https://drive.google.com/file/d/1PFUrD24_El0FVSmqEnZQHi2hxCcVSj_F/view?usp=drive_link" TargetMode="External"/><Relationship Id="rId133" Type="http://schemas.openxmlformats.org/officeDocument/2006/relationships/hyperlink" Target="https://drive.google.com/file/d/1MKVmp1g8MPZ-78AwHctCZocAMrMg6WZ8/view?usp=drive_link" TargetMode="External"/><Relationship Id="rId62" Type="http://schemas.openxmlformats.org/officeDocument/2006/relationships/hyperlink" Target="https://drive.google.com/file/d/1CCGrN2mqQKGkXKW8cEbLkTqOnckd_l2C/view?usp=drive_link" TargetMode="External"/><Relationship Id="rId61" Type="http://schemas.openxmlformats.org/officeDocument/2006/relationships/hyperlink" Target="https://drive.google.com/file/d/1H_9_TXGEVpaqYkDYHatquyEymBzge6F4/view?usp=drive_link" TargetMode="External"/><Relationship Id="rId64" Type="http://schemas.openxmlformats.org/officeDocument/2006/relationships/hyperlink" Target="https://drive.google.com/file/d/1mtGceB1x02d5N_peUStW1Zk4ig79wwHm/view?usp=drive_link" TargetMode="External"/><Relationship Id="rId63" Type="http://schemas.openxmlformats.org/officeDocument/2006/relationships/hyperlink" Target="https://drive.google.com/file/d/1mtGceB1x02d5N_peUStW1Zk4ig79wwHm/view?usp=drive_link" TargetMode="External"/><Relationship Id="rId66" Type="http://schemas.openxmlformats.org/officeDocument/2006/relationships/hyperlink" Target="https://drive.google.com/file/d/1717R93VvXT45CG4gSBtew03QiLeXNfLg/view?usp=drive_link" TargetMode="External"/><Relationship Id="rId65" Type="http://schemas.openxmlformats.org/officeDocument/2006/relationships/hyperlink" Target="https://drive.google.com/file/d/1mtGceB1x02d5N_peUStW1Zk4ig79wwHm/view?usp=drive_link" TargetMode="External"/><Relationship Id="rId68" Type="http://schemas.openxmlformats.org/officeDocument/2006/relationships/hyperlink" Target="https://drive.google.com/file/d/1717R93VvXT45CG4gSBtew03QiLeXNfLg/view?usp=drive_link" TargetMode="External"/><Relationship Id="rId67" Type="http://schemas.openxmlformats.org/officeDocument/2006/relationships/hyperlink" Target="https://drive.google.com/file/d/1717R93VvXT45CG4gSBtew03QiLeXNfLg/view?usp=drive_link" TargetMode="External"/><Relationship Id="rId60" Type="http://schemas.openxmlformats.org/officeDocument/2006/relationships/hyperlink" Target="https://drive.google.com/file/d/1yMAaums-ujyP9eCtMwg4PPG0CDgOAiPX/view?usp=drive_link" TargetMode="External"/><Relationship Id="rId69" Type="http://schemas.openxmlformats.org/officeDocument/2006/relationships/hyperlink" Target="https://drive.google.com/file/d/1717R93VvXT45CG4gSBtew03QiLeXNfLg/view?usp=drive_link" TargetMode="External"/><Relationship Id="rId51" Type="http://schemas.openxmlformats.org/officeDocument/2006/relationships/hyperlink" Target="https://drive.google.com/file/d/1FiQ9tz4yEf2Dq3y-47xU1RBRlWP5otpX/view?usp=drive_link" TargetMode="External"/><Relationship Id="rId50" Type="http://schemas.openxmlformats.org/officeDocument/2006/relationships/hyperlink" Target="https://drive.google.com/file/d/1mtGceB1x02d5N_peUStW1Zk4ig79wwHm/view?usp=drive_link" TargetMode="External"/><Relationship Id="rId53" Type="http://schemas.openxmlformats.org/officeDocument/2006/relationships/hyperlink" Target="https://drive.google.com/file/d/1_mVpCWtll4ZqhBOD48UIGbJFHwgsFKlZ/view?usp=drive_link" TargetMode="External"/><Relationship Id="rId52" Type="http://schemas.openxmlformats.org/officeDocument/2006/relationships/hyperlink" Target="https://drive.google.com/file/d/1_mVpCWtll4ZqhBOD48UIGbJFHwgsFKlZ/view?usp=drive_link" TargetMode="External"/><Relationship Id="rId55" Type="http://schemas.openxmlformats.org/officeDocument/2006/relationships/hyperlink" Target="https://drive.google.com/file/d/1_mVpCWtll4ZqhBOD48UIGbJFHwgsFKlZ/view?usp=drive_link" TargetMode="External"/><Relationship Id="rId54" Type="http://schemas.openxmlformats.org/officeDocument/2006/relationships/hyperlink" Target="https://drive.google.com/file/d/1_mVpCWtll4ZqhBOD48UIGbJFHwgsFKlZ/view?usp=drive_link" TargetMode="External"/><Relationship Id="rId57" Type="http://schemas.openxmlformats.org/officeDocument/2006/relationships/hyperlink" Target="https://drive.google.com/file/d/1_mVpCWtll4ZqhBOD48UIGbJFHwgsFKlZ/view?usp=drive_link" TargetMode="External"/><Relationship Id="rId56" Type="http://schemas.openxmlformats.org/officeDocument/2006/relationships/hyperlink" Target="https://drive.google.com/file/d/1_mVpCWtll4ZqhBOD48UIGbJFHwgsFKlZ/view?usp=drive_link" TargetMode="External"/><Relationship Id="rId59" Type="http://schemas.openxmlformats.org/officeDocument/2006/relationships/hyperlink" Target="https://drive.google.com/file/d/1yMAaums-ujyP9eCtMwg4PPG0CDgOAiPX/view?usp=drive_link" TargetMode="External"/><Relationship Id="rId58" Type="http://schemas.openxmlformats.org/officeDocument/2006/relationships/hyperlink" Target="https://drive.google.com/file/d/1yMAaums-ujyP9eCtMwg4PPG0CDgOAiPX/view?usp=drive_link" TargetMode="External"/><Relationship Id="rId107" Type="http://schemas.openxmlformats.org/officeDocument/2006/relationships/hyperlink" Target="https://drive.google.com/file/d/1CERun3araXXzHjoHsJ8hOhnPkbB_seFN/view?usp=drive_link" TargetMode="External"/><Relationship Id="rId106" Type="http://schemas.openxmlformats.org/officeDocument/2006/relationships/hyperlink" Target="https://drive.google.com/file/d/18bwtFn3cvl4giHo30ZoKcNoCDl3wlcp2/view?usp=drive_link" TargetMode="External"/><Relationship Id="rId105" Type="http://schemas.openxmlformats.org/officeDocument/2006/relationships/hyperlink" Target="https://drive.google.com/file/d/1YANXQTjFAl0BotdWZGzq2cs9w_wq-yJ3/view?usp=drive_link" TargetMode="External"/><Relationship Id="rId104" Type="http://schemas.openxmlformats.org/officeDocument/2006/relationships/hyperlink" Target="https://drive.google.com/file/d/1W5AB4OX-Loiyqoj47A2plmrKtZr7zryV/view?usp=drive_link" TargetMode="External"/><Relationship Id="rId109" Type="http://schemas.openxmlformats.org/officeDocument/2006/relationships/hyperlink" Target="https://drive.google.com/file/d/12Xp6bwc33WOcrsy6n4wjkkh7xYbeDICX/view?usp=drive_link" TargetMode="External"/><Relationship Id="rId108" Type="http://schemas.openxmlformats.org/officeDocument/2006/relationships/hyperlink" Target="https://drive.google.com/file/d/1paexx4QERZm_-5wn1op1_dEfVKb2E224/view?usp=drive_link" TargetMode="External"/><Relationship Id="rId103" Type="http://schemas.openxmlformats.org/officeDocument/2006/relationships/hyperlink" Target="https://drive.google.com/file/d/16jE_T8HyllmY6qDtmOwbzfReVxgiVwMo/view?usp=drive_link" TargetMode="External"/><Relationship Id="rId102" Type="http://schemas.openxmlformats.org/officeDocument/2006/relationships/hyperlink" Target="https://drive.google.com/file/d/1UEY-d7QRRSiPLxj-jUVYLCUJxcPK19E9/view?usp=drive_link" TargetMode="External"/><Relationship Id="rId101" Type="http://schemas.openxmlformats.org/officeDocument/2006/relationships/hyperlink" Target="https://drive.google.com/file/d/1BtnzoaYnAQHIAPFHsfg1cLbI9hsAbZ70/view?usp=drive_link" TargetMode="External"/><Relationship Id="rId100" Type="http://schemas.openxmlformats.org/officeDocument/2006/relationships/hyperlink" Target="https://drive.google.com/file/d/1E5KetbQ-UhPBE4C6s5p1ZMIn0Ct6W_XC/view?usp=drive_link" TargetMode="External"/><Relationship Id="rId129" Type="http://schemas.openxmlformats.org/officeDocument/2006/relationships/hyperlink" Target="https://drive.google.com/file/d/1yokOFlQPwQRRxrGGqqACBJ6L6jMBt-m6/view?usp=drive_link" TargetMode="External"/><Relationship Id="rId128" Type="http://schemas.openxmlformats.org/officeDocument/2006/relationships/hyperlink" Target="https://drive.google.com/file/d/1yokOFlQPwQRRxrGGqqACBJ6L6jMBt-m6/view?usp=drive_link" TargetMode="External"/><Relationship Id="rId127" Type="http://schemas.openxmlformats.org/officeDocument/2006/relationships/hyperlink" Target="https://drive.google.com/file/d/1yokOFlQPwQRRxrGGqqACBJ6L6jMBt-m6/view?usp=drive_link" TargetMode="External"/><Relationship Id="rId126" Type="http://schemas.openxmlformats.org/officeDocument/2006/relationships/hyperlink" Target="https://drive.google.com/file/d/1yokOFlQPwQRRxrGGqqACBJ6L6jMBt-m6/view?usp=drive_link" TargetMode="External"/><Relationship Id="rId121" Type="http://schemas.openxmlformats.org/officeDocument/2006/relationships/hyperlink" Target="https://drive.google.com/file/d/10jucGeJcd-woX_wSglMNQ2J7ypDZjx0M/view?usp=drive_link" TargetMode="External"/><Relationship Id="rId120" Type="http://schemas.openxmlformats.org/officeDocument/2006/relationships/hyperlink" Target="https://drive.google.com/file/d/10jucGeJcd-woX_wSglMNQ2J7ypDZjx0M/view?usp=drive_link" TargetMode="External"/><Relationship Id="rId125" Type="http://schemas.openxmlformats.org/officeDocument/2006/relationships/hyperlink" Target="https://drive.google.com/file/d/1yokOFlQPwQRRxrGGqqACBJ6L6jMBt-m6/view?usp=drive_link" TargetMode="External"/><Relationship Id="rId124" Type="http://schemas.openxmlformats.org/officeDocument/2006/relationships/hyperlink" Target="https://drive.google.com/file/d/1x1m7qMsVInJtj54Vd3er_UadO6irOh9k/view?usp=drive_link" TargetMode="External"/><Relationship Id="rId123" Type="http://schemas.openxmlformats.org/officeDocument/2006/relationships/hyperlink" Target="https://drive.google.com/file/d/10jucGeJcd-woX_wSglMNQ2J7ypDZjx0M/view?usp=drive_link" TargetMode="External"/><Relationship Id="rId122" Type="http://schemas.openxmlformats.org/officeDocument/2006/relationships/hyperlink" Target="https://drive.google.com/file/d/1QQK6PcnoAaUFcwPZRFnsUDQzTevCQ-MY/view?usp=drive_link" TargetMode="External"/><Relationship Id="rId95" Type="http://schemas.openxmlformats.org/officeDocument/2006/relationships/hyperlink" Target="https://drive.google.com/file/d/1wRlza8KVS2F_wZL8-7eCfVdHfl1-Rtz0/view?usp=drive_link" TargetMode="External"/><Relationship Id="rId94" Type="http://schemas.openxmlformats.org/officeDocument/2006/relationships/hyperlink" Target="https://drive.google.com/file/d/1E5KetbQ-UhPBE4C6s5p1ZMIn0Ct6W_XC/view?usp=drive_link" TargetMode="External"/><Relationship Id="rId97" Type="http://schemas.openxmlformats.org/officeDocument/2006/relationships/hyperlink" Target="https://drive.google.com/file/d/1E5KetbQ-UhPBE4C6s5p1ZMIn0Ct6W_XC/view?usp=drive_link" TargetMode="External"/><Relationship Id="rId96" Type="http://schemas.openxmlformats.org/officeDocument/2006/relationships/hyperlink" Target="https://drive.google.com/file/d/1E5KetbQ-UhPBE4C6s5p1ZMIn0Ct6W_XC/view?usp=drive_link" TargetMode="External"/><Relationship Id="rId99" Type="http://schemas.openxmlformats.org/officeDocument/2006/relationships/hyperlink" Target="https://drive.google.com/file/d/1E5KetbQ-UhPBE4C6s5p1ZMIn0Ct6W_XC/view?usp=drive_link" TargetMode="External"/><Relationship Id="rId98" Type="http://schemas.openxmlformats.org/officeDocument/2006/relationships/hyperlink" Target="https://drive.google.com/file/d/1E5KetbQ-UhPBE4C6s5p1ZMIn0Ct6W_XC/view?usp=drive_link" TargetMode="External"/><Relationship Id="rId91" Type="http://schemas.openxmlformats.org/officeDocument/2006/relationships/hyperlink" Target="https://drive.google.com/file/d/1FM6FfENDBydaoCDfrkmv5hvWMuvuGrAj/view?usp=drive_link" TargetMode="External"/><Relationship Id="rId90" Type="http://schemas.openxmlformats.org/officeDocument/2006/relationships/hyperlink" Target="https://drive.google.com/file/d/1E5KetbQ-UhPBE4C6s5p1ZMIn0Ct6W_XC/view?usp=drive_link" TargetMode="External"/><Relationship Id="rId93" Type="http://schemas.openxmlformats.org/officeDocument/2006/relationships/hyperlink" Target="https://drive.google.com/file/d/18XSC1IF_ixx_x1mr6lY-heXKPwMe4j-d/view?usp=drive_link" TargetMode="External"/><Relationship Id="rId92" Type="http://schemas.openxmlformats.org/officeDocument/2006/relationships/hyperlink" Target="https://drive.google.com/file/d/1E5KetbQ-UhPBE4C6s5p1ZMIn0Ct6W_XC/view?usp=drive_link" TargetMode="External"/><Relationship Id="rId118" Type="http://schemas.openxmlformats.org/officeDocument/2006/relationships/hyperlink" Target="https://drive.google.com/file/d/1S-QgVacyNVOE1jpr8nSHVSGOk3MN8cER/view?usp=drive_link" TargetMode="External"/><Relationship Id="rId117" Type="http://schemas.openxmlformats.org/officeDocument/2006/relationships/hyperlink" Target="https://drive.google.com/file/d/1NWRUk9gmzZ290pNwckveScF0gKLHmAcL/view?usp=drive_link" TargetMode="External"/><Relationship Id="rId116" Type="http://schemas.openxmlformats.org/officeDocument/2006/relationships/hyperlink" Target="https://drive.google.com/file/d/1S-QgVacyNVOE1jpr8nSHVSGOk3MN8cER/view?usp=drive_link" TargetMode="External"/><Relationship Id="rId115" Type="http://schemas.openxmlformats.org/officeDocument/2006/relationships/hyperlink" Target="https://drive.google.com/file/d/1Om03gTINHM8OBoprjFGk7bA0wzPcPmuY/view?usp=drive_link" TargetMode="External"/><Relationship Id="rId119" Type="http://schemas.openxmlformats.org/officeDocument/2006/relationships/hyperlink" Target="https://drive.google.com/file/d/1D_pTQqDhHQF_eOmmWhVt8JoGu3eyGFoz/view?usp=drive_link" TargetMode="External"/><Relationship Id="rId110" Type="http://schemas.openxmlformats.org/officeDocument/2006/relationships/hyperlink" Target="https://drive.google.com/file/d/1iWj2SljJR5H3b5-cgCaUntgc9DpxoKK2/view?usp=drive_link" TargetMode="External"/><Relationship Id="rId114" Type="http://schemas.openxmlformats.org/officeDocument/2006/relationships/hyperlink" Target="https://drive.google.com/file/d/1S-QgVacyNVOE1jpr8nSHVSGOk3MN8cER/view?usp=drive_link" TargetMode="External"/><Relationship Id="rId113" Type="http://schemas.openxmlformats.org/officeDocument/2006/relationships/hyperlink" Target="https://drive.google.com/file/d/1QUZUQh74g2ecc0ixo3NxoUqU6O97ymFN/view?usp=drive_link" TargetMode="External"/><Relationship Id="rId112" Type="http://schemas.openxmlformats.org/officeDocument/2006/relationships/hyperlink" Target="https://drive.google.com/file/d/12HVKRRuT14ph3tOBRSQr0hL80vran5Fk/view?usp=drive_link" TargetMode="External"/><Relationship Id="rId111" Type="http://schemas.openxmlformats.org/officeDocument/2006/relationships/hyperlink" Target="https://drive.google.com/file/d/1eCIk_znge5l8evhZ9xESS9AfXvTUQlBn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2.13"/>
    <col customWidth="1" min="3" max="3" width="64.63"/>
    <col customWidth="1" min="4" max="4" width="16.88"/>
    <col customWidth="1" min="5" max="5" width="32.13"/>
    <col customWidth="1" min="6" max="6" width="31.38"/>
    <col customWidth="1" min="7" max="7" width="12.63"/>
    <col customWidth="1" min="8" max="8" width="19.88"/>
    <col customWidth="1" min="10" max="10" width="12.88"/>
    <col customWidth="1" min="14" max="14" width="20.25"/>
  </cols>
  <sheetData>
    <row r="1" ht="15.75" customHeight="1">
      <c r="A1" s="2" t="s">
        <v>1</v>
      </c>
      <c r="B1" s="3">
        <v>4.78888333E9</v>
      </c>
      <c r="C1" s="4"/>
      <c r="D1" s="4"/>
      <c r="E1" s="4"/>
      <c r="F1" s="4"/>
      <c r="G1" s="4"/>
      <c r="H1" s="4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4"/>
      <c r="B2" s="4"/>
      <c r="C2" s="4"/>
      <c r="D2" s="4"/>
      <c r="E2" s="2"/>
      <c r="F2" s="4"/>
      <c r="G2" s="4"/>
      <c r="H2" s="4"/>
      <c r="I2" s="5"/>
      <c r="J2" s="6" t="s">
        <v>2</v>
      </c>
      <c r="K2" s="6" t="s">
        <v>3</v>
      </c>
      <c r="L2" s="5"/>
      <c r="M2" s="4"/>
      <c r="N2" s="7" t="s">
        <v>4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8" t="s">
        <v>5</v>
      </c>
      <c r="B3" s="8" t="s">
        <v>6</v>
      </c>
      <c r="C3" s="9" t="s">
        <v>7</v>
      </c>
      <c r="D3" s="10" t="s">
        <v>8</v>
      </c>
      <c r="E3" s="10" t="s">
        <v>9</v>
      </c>
      <c r="F3" s="8" t="s">
        <v>10</v>
      </c>
      <c r="G3" s="11" t="s">
        <v>11</v>
      </c>
      <c r="H3" s="8" t="s">
        <v>12</v>
      </c>
      <c r="I3" s="10" t="s">
        <v>13</v>
      </c>
      <c r="J3" s="12" t="s">
        <v>14</v>
      </c>
      <c r="K3" s="12" t="s">
        <v>15</v>
      </c>
      <c r="L3" s="12" t="s">
        <v>16</v>
      </c>
      <c r="M3" s="13" t="s">
        <v>17</v>
      </c>
      <c r="N3" s="14" t="s">
        <v>18</v>
      </c>
      <c r="O3" s="14" t="s">
        <v>19</v>
      </c>
      <c r="P3" s="2" t="s">
        <v>20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75" customHeight="1">
      <c r="A4" s="15"/>
      <c r="B4" s="16" t="s">
        <v>21</v>
      </c>
      <c r="C4" s="16" t="s">
        <v>22</v>
      </c>
      <c r="D4" s="17"/>
      <c r="E4" s="17"/>
      <c r="F4" s="17"/>
      <c r="G4" s="18">
        <v>45816.0</v>
      </c>
      <c r="H4" s="15"/>
      <c r="I4" s="19">
        <v>705700.0</v>
      </c>
      <c r="J4" s="20"/>
      <c r="K4" s="20"/>
      <c r="L4" s="21">
        <f t="shared" ref="L4:L9" si="1">I4+J4</f>
        <v>705700</v>
      </c>
      <c r="M4" s="22">
        <f t="shared" ref="M4:M58" si="2">MONTH(G4)</f>
        <v>6</v>
      </c>
      <c r="N4" s="23" t="s">
        <v>23</v>
      </c>
      <c r="O4" s="2" t="s">
        <v>24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75" customHeight="1">
      <c r="A5" s="15"/>
      <c r="B5" s="16" t="s">
        <v>25</v>
      </c>
      <c r="C5" s="16" t="s">
        <v>26</v>
      </c>
      <c r="D5" s="17"/>
      <c r="E5" s="17"/>
      <c r="F5" s="17"/>
      <c r="G5" s="24">
        <v>45882.0</v>
      </c>
      <c r="H5" s="15"/>
      <c r="I5" s="19">
        <v>1.13816E7</v>
      </c>
      <c r="J5" s="20"/>
      <c r="K5" s="20"/>
      <c r="L5" s="21">
        <f t="shared" si="1"/>
        <v>11381600</v>
      </c>
      <c r="M5" s="22">
        <f t="shared" si="2"/>
        <v>8</v>
      </c>
      <c r="N5" s="25" t="s">
        <v>27</v>
      </c>
      <c r="O5" s="2" t="s">
        <v>24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75" customHeight="1">
      <c r="A6" s="15"/>
      <c r="B6" s="16" t="s">
        <v>25</v>
      </c>
      <c r="C6" s="16" t="s">
        <v>28</v>
      </c>
      <c r="D6" s="17"/>
      <c r="E6" s="26" t="s">
        <v>29</v>
      </c>
      <c r="F6" s="17"/>
      <c r="G6" s="24">
        <v>45882.0</v>
      </c>
      <c r="H6" s="15"/>
      <c r="I6" s="19">
        <v>2654410.0</v>
      </c>
      <c r="J6" s="21"/>
      <c r="K6" s="20"/>
      <c r="L6" s="21">
        <f t="shared" si="1"/>
        <v>2654410</v>
      </c>
      <c r="M6" s="22">
        <f t="shared" si="2"/>
        <v>8</v>
      </c>
      <c r="N6" s="25" t="s">
        <v>30</v>
      </c>
      <c r="O6" s="2" t="s">
        <v>24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75" customHeight="1">
      <c r="A7" s="15"/>
      <c r="B7" s="16" t="s">
        <v>31</v>
      </c>
      <c r="C7" s="27" t="s">
        <v>32</v>
      </c>
      <c r="D7" s="28"/>
      <c r="E7" s="26" t="s">
        <v>33</v>
      </c>
      <c r="F7" s="26" t="s">
        <v>34</v>
      </c>
      <c r="G7" s="29">
        <v>45880.0</v>
      </c>
      <c r="H7" s="15"/>
      <c r="I7" s="19">
        <v>3040541.0</v>
      </c>
      <c r="J7" s="21">
        <f>I7*11%</f>
        <v>334459.51</v>
      </c>
      <c r="K7" s="20"/>
      <c r="L7" s="21">
        <f t="shared" si="1"/>
        <v>3375000.51</v>
      </c>
      <c r="M7" s="22">
        <f t="shared" si="2"/>
        <v>8</v>
      </c>
      <c r="N7" s="25" t="s">
        <v>35</v>
      </c>
      <c r="O7" s="2" t="s">
        <v>24</v>
      </c>
      <c r="P7" s="25" t="s">
        <v>36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75" customHeight="1">
      <c r="A8" s="15"/>
      <c r="B8" s="16" t="s">
        <v>25</v>
      </c>
      <c r="C8" s="27" t="s">
        <v>37</v>
      </c>
      <c r="D8" s="28"/>
      <c r="E8" s="17" t="s">
        <v>38</v>
      </c>
      <c r="F8" s="28"/>
      <c r="G8" s="29">
        <v>45882.0</v>
      </c>
      <c r="H8" s="15"/>
      <c r="I8" s="19">
        <v>1408256.0</v>
      </c>
      <c r="J8" s="21"/>
      <c r="K8" s="20"/>
      <c r="L8" s="21">
        <f t="shared" si="1"/>
        <v>1408256</v>
      </c>
      <c r="M8" s="22">
        <f t="shared" si="2"/>
        <v>8</v>
      </c>
      <c r="N8" s="25" t="s">
        <v>39</v>
      </c>
      <c r="O8" s="2" t="s">
        <v>24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75" customHeight="1">
      <c r="A9" s="15"/>
      <c r="B9" s="16" t="s">
        <v>40</v>
      </c>
      <c r="C9" s="27" t="s">
        <v>41</v>
      </c>
      <c r="D9" s="30"/>
      <c r="E9" s="17" t="s">
        <v>38</v>
      </c>
      <c r="F9" s="30"/>
      <c r="G9" s="29">
        <v>45888.0</v>
      </c>
      <c r="H9" s="15"/>
      <c r="I9" s="19">
        <v>136554.0</v>
      </c>
      <c r="J9" s="21">
        <f t="shared" ref="J9:J10" si="3">I9*11%</f>
        <v>15020.94</v>
      </c>
      <c r="K9" s="20"/>
      <c r="L9" s="21">
        <f t="shared" si="1"/>
        <v>151574.94</v>
      </c>
      <c r="M9" s="22">
        <f t="shared" si="2"/>
        <v>8</v>
      </c>
      <c r="N9" s="25" t="s">
        <v>42</v>
      </c>
      <c r="O9" s="2" t="s">
        <v>24</v>
      </c>
      <c r="P9" s="25" t="s">
        <v>43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75" customHeight="1">
      <c r="A10" s="15"/>
      <c r="B10" s="16" t="s">
        <v>44</v>
      </c>
      <c r="C10" s="27" t="s">
        <v>45</v>
      </c>
      <c r="D10" s="28"/>
      <c r="E10" s="17" t="s">
        <v>46</v>
      </c>
      <c r="F10" s="28"/>
      <c r="G10" s="29">
        <v>45869.0</v>
      </c>
      <c r="H10" s="15"/>
      <c r="I10" s="19">
        <v>2800000.0</v>
      </c>
      <c r="J10" s="31">
        <f t="shared" si="3"/>
        <v>308000</v>
      </c>
      <c r="K10" s="20"/>
      <c r="L10" s="31">
        <v>3108000.0</v>
      </c>
      <c r="M10" s="22">
        <f t="shared" si="2"/>
        <v>7</v>
      </c>
      <c r="N10" s="25" t="s">
        <v>47</v>
      </c>
      <c r="O10" s="2" t="s">
        <v>24</v>
      </c>
      <c r="P10" s="25" t="s">
        <v>48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15"/>
      <c r="B11" s="16" t="s">
        <v>25</v>
      </c>
      <c r="C11" s="27" t="s">
        <v>49</v>
      </c>
      <c r="D11" s="28"/>
      <c r="E11" s="17" t="s">
        <v>50</v>
      </c>
      <c r="F11" s="28"/>
      <c r="G11" s="29">
        <v>45895.0</v>
      </c>
      <c r="H11" s="15"/>
      <c r="I11" s="19">
        <v>2021100.0</v>
      </c>
      <c r="J11" s="20"/>
      <c r="K11" s="20"/>
      <c r="L11" s="31">
        <v>2021100.0</v>
      </c>
      <c r="M11" s="22">
        <f t="shared" si="2"/>
        <v>8</v>
      </c>
      <c r="N11" s="25" t="s">
        <v>51</v>
      </c>
      <c r="O11" s="2" t="s">
        <v>24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5"/>
      <c r="B12" s="16" t="s">
        <v>25</v>
      </c>
      <c r="C12" s="27" t="s">
        <v>52</v>
      </c>
      <c r="D12" s="30"/>
      <c r="E12" s="26" t="s">
        <v>53</v>
      </c>
      <c r="F12" s="30"/>
      <c r="G12" s="29">
        <v>45895.0</v>
      </c>
      <c r="H12" s="15"/>
      <c r="I12" s="19">
        <v>82499.0</v>
      </c>
      <c r="J12" s="20"/>
      <c r="K12" s="20"/>
      <c r="L12" s="31">
        <v>82499.0</v>
      </c>
      <c r="M12" s="22">
        <f t="shared" si="2"/>
        <v>8</v>
      </c>
      <c r="N12" s="25" t="s">
        <v>54</v>
      </c>
      <c r="O12" s="2" t="s">
        <v>24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5"/>
      <c r="B13" s="16" t="s">
        <v>25</v>
      </c>
      <c r="C13" s="27" t="s">
        <v>55</v>
      </c>
      <c r="D13" s="30"/>
      <c r="E13" s="26" t="s">
        <v>56</v>
      </c>
      <c r="F13" s="30"/>
      <c r="G13" s="32">
        <v>45896.0</v>
      </c>
      <c r="H13" s="15"/>
      <c r="I13" s="19">
        <v>1086000.0</v>
      </c>
      <c r="J13" s="20"/>
      <c r="K13" s="20"/>
      <c r="L13" s="31">
        <v>1086000.0</v>
      </c>
      <c r="M13" s="22">
        <f t="shared" si="2"/>
        <v>8</v>
      </c>
      <c r="N13" s="25" t="s">
        <v>57</v>
      </c>
      <c r="O13" s="2" t="s">
        <v>24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5"/>
      <c r="B14" s="16" t="s">
        <v>40</v>
      </c>
      <c r="C14" s="33" t="s">
        <v>58</v>
      </c>
      <c r="D14" s="28"/>
      <c r="E14" s="26" t="s">
        <v>59</v>
      </c>
      <c r="F14" s="26" t="s">
        <v>60</v>
      </c>
      <c r="G14" s="29">
        <v>45890.0</v>
      </c>
      <c r="H14" s="15"/>
      <c r="I14" s="19">
        <v>3040541.0</v>
      </c>
      <c r="J14" s="34">
        <v>334459.0</v>
      </c>
      <c r="K14" s="20"/>
      <c r="L14" s="21">
        <f t="shared" ref="L14:L26" si="4">I14+J14</f>
        <v>3375000</v>
      </c>
      <c r="M14" s="22">
        <f t="shared" si="2"/>
        <v>8</v>
      </c>
      <c r="N14" s="25" t="s">
        <v>61</v>
      </c>
      <c r="O14" s="2" t="s">
        <v>24</v>
      </c>
      <c r="P14" s="25" t="s">
        <v>62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5"/>
      <c r="B15" s="16" t="s">
        <v>63</v>
      </c>
      <c r="C15" s="27" t="s">
        <v>64</v>
      </c>
      <c r="D15" s="28"/>
      <c r="E15" s="26" t="s">
        <v>65</v>
      </c>
      <c r="F15" s="26" t="s">
        <v>66</v>
      </c>
      <c r="G15" s="29">
        <v>45897.0</v>
      </c>
      <c r="H15" s="15"/>
      <c r="I15" s="19">
        <v>700000.0</v>
      </c>
      <c r="J15" s="34">
        <v>77000.0</v>
      </c>
      <c r="K15" s="20"/>
      <c r="L15" s="21">
        <f t="shared" si="4"/>
        <v>777000</v>
      </c>
      <c r="M15" s="22">
        <f t="shared" si="2"/>
        <v>8</v>
      </c>
      <c r="N15" s="25" t="s">
        <v>67</v>
      </c>
      <c r="O15" s="2" t="s">
        <v>24</v>
      </c>
      <c r="P15" s="2" t="s">
        <v>68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75" customHeight="1">
      <c r="A16" s="35"/>
      <c r="B16" s="16" t="s">
        <v>69</v>
      </c>
      <c r="C16" s="27" t="s">
        <v>70</v>
      </c>
      <c r="D16" s="28"/>
      <c r="E16" s="26" t="s">
        <v>71</v>
      </c>
      <c r="F16" s="26" t="s">
        <v>72</v>
      </c>
      <c r="G16" s="29">
        <v>45896.0</v>
      </c>
      <c r="H16" s="15"/>
      <c r="I16" s="19">
        <v>6088810.0</v>
      </c>
      <c r="J16" s="31">
        <v>669769.0</v>
      </c>
      <c r="K16" s="21"/>
      <c r="L16" s="21">
        <f t="shared" si="4"/>
        <v>6758579</v>
      </c>
      <c r="M16" s="22">
        <f t="shared" si="2"/>
        <v>8</v>
      </c>
      <c r="N16" s="25" t="s">
        <v>73</v>
      </c>
      <c r="O16" s="2" t="s">
        <v>24</v>
      </c>
      <c r="P16" s="2" t="s">
        <v>68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75" customHeight="1">
      <c r="A17" s="15"/>
      <c r="B17" s="16" t="s">
        <v>25</v>
      </c>
      <c r="C17" s="27" t="s">
        <v>74</v>
      </c>
      <c r="D17" s="28"/>
      <c r="E17" s="17" t="s">
        <v>75</v>
      </c>
      <c r="F17" s="28"/>
      <c r="G17" s="29">
        <v>45896.0</v>
      </c>
      <c r="H17" s="15"/>
      <c r="I17" s="19">
        <v>206508.0</v>
      </c>
      <c r="J17" s="20"/>
      <c r="K17" s="20"/>
      <c r="L17" s="21">
        <f t="shared" si="4"/>
        <v>206508</v>
      </c>
      <c r="M17" s="22">
        <f t="shared" si="2"/>
        <v>8</v>
      </c>
      <c r="N17" s="25" t="s">
        <v>76</v>
      </c>
      <c r="O17" s="2" t="s">
        <v>24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75" customHeight="1">
      <c r="A18" s="15"/>
      <c r="B18" s="16" t="s">
        <v>77</v>
      </c>
      <c r="C18" s="27" t="s">
        <v>78</v>
      </c>
      <c r="D18" s="28"/>
      <c r="E18" s="26" t="s">
        <v>79</v>
      </c>
      <c r="F18" s="28"/>
      <c r="G18" s="29">
        <v>45898.0</v>
      </c>
      <c r="H18" s="15"/>
      <c r="I18" s="19">
        <v>541000.0</v>
      </c>
      <c r="J18" s="21"/>
      <c r="K18" s="20"/>
      <c r="L18" s="21">
        <f t="shared" si="4"/>
        <v>541000</v>
      </c>
      <c r="M18" s="22">
        <f t="shared" si="2"/>
        <v>8</v>
      </c>
      <c r="N18" s="25" t="s">
        <v>80</v>
      </c>
      <c r="O18" s="2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75" customHeight="1">
      <c r="A19" s="15"/>
      <c r="B19" s="16" t="s">
        <v>81</v>
      </c>
      <c r="C19" s="27" t="s">
        <v>82</v>
      </c>
      <c r="D19" s="28"/>
      <c r="E19" s="17" t="s">
        <v>83</v>
      </c>
      <c r="F19" s="26" t="s">
        <v>84</v>
      </c>
      <c r="G19" s="29">
        <v>45898.0</v>
      </c>
      <c r="H19" s="15"/>
      <c r="I19" s="19">
        <v>425000.0</v>
      </c>
      <c r="J19" s="34">
        <v>46750.0</v>
      </c>
      <c r="K19" s="20"/>
      <c r="L19" s="21">
        <f t="shared" si="4"/>
        <v>471750</v>
      </c>
      <c r="M19" s="22">
        <f t="shared" si="2"/>
        <v>8</v>
      </c>
      <c r="N19" s="25" t="s">
        <v>85</v>
      </c>
      <c r="O19" s="2" t="s">
        <v>24</v>
      </c>
      <c r="P19" s="2" t="s">
        <v>86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75" customHeight="1">
      <c r="A20" s="15"/>
      <c r="B20" s="16" t="s">
        <v>25</v>
      </c>
      <c r="C20" s="27" t="s">
        <v>87</v>
      </c>
      <c r="D20" s="28"/>
      <c r="E20" s="26" t="s">
        <v>88</v>
      </c>
      <c r="F20" s="28"/>
      <c r="G20" s="29">
        <v>45903.0</v>
      </c>
      <c r="H20" s="15"/>
      <c r="I20" s="36">
        <v>96580.0</v>
      </c>
      <c r="J20" s="20"/>
      <c r="K20" s="20"/>
      <c r="L20" s="21">
        <f t="shared" si="4"/>
        <v>96580</v>
      </c>
      <c r="M20" s="22">
        <f t="shared" si="2"/>
        <v>9</v>
      </c>
      <c r="N20" s="25" t="s">
        <v>89</v>
      </c>
      <c r="O20" s="2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15"/>
      <c r="B21" s="16" t="s">
        <v>25</v>
      </c>
      <c r="C21" s="27" t="s">
        <v>90</v>
      </c>
      <c r="D21" s="28"/>
      <c r="E21" s="26" t="s">
        <v>88</v>
      </c>
      <c r="F21" s="28"/>
      <c r="G21" s="29">
        <v>45903.0</v>
      </c>
      <c r="H21" s="15"/>
      <c r="I21" s="19">
        <v>402500.0</v>
      </c>
      <c r="J21" s="20"/>
      <c r="K21" s="20"/>
      <c r="L21" s="21">
        <f t="shared" si="4"/>
        <v>402500</v>
      </c>
      <c r="M21" s="22">
        <f t="shared" si="2"/>
        <v>9</v>
      </c>
      <c r="N21" s="25" t="s">
        <v>91</v>
      </c>
      <c r="O21" s="2" t="s">
        <v>24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15"/>
      <c r="B22" s="16" t="s">
        <v>92</v>
      </c>
      <c r="C22" s="27" t="s">
        <v>93</v>
      </c>
      <c r="D22" s="28"/>
      <c r="E22" s="17" t="s">
        <v>50</v>
      </c>
      <c r="F22" s="28"/>
      <c r="G22" s="29">
        <v>45903.0</v>
      </c>
      <c r="H22" s="15"/>
      <c r="I22" s="19">
        <v>430000.0</v>
      </c>
      <c r="J22" s="21"/>
      <c r="K22" s="20"/>
      <c r="L22" s="21">
        <f t="shared" si="4"/>
        <v>430000</v>
      </c>
      <c r="M22" s="22">
        <f t="shared" si="2"/>
        <v>9</v>
      </c>
      <c r="N22" s="25" t="s">
        <v>94</v>
      </c>
      <c r="O22" s="2" t="s">
        <v>24</v>
      </c>
      <c r="P22" s="2" t="s">
        <v>95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15"/>
      <c r="B23" s="16" t="s">
        <v>40</v>
      </c>
      <c r="C23" s="27" t="s">
        <v>96</v>
      </c>
      <c r="D23" s="28"/>
      <c r="E23" s="26" t="s">
        <v>97</v>
      </c>
      <c r="F23" s="26" t="s">
        <v>98</v>
      </c>
      <c r="G23" s="29">
        <v>45896.0</v>
      </c>
      <c r="H23" s="15"/>
      <c r="I23" s="19">
        <v>6081081.0</v>
      </c>
      <c r="J23" s="34">
        <v>668919.0</v>
      </c>
      <c r="K23" s="20"/>
      <c r="L23" s="21">
        <f t="shared" si="4"/>
        <v>6750000</v>
      </c>
      <c r="M23" s="22">
        <f t="shared" si="2"/>
        <v>8</v>
      </c>
      <c r="N23" s="25" t="s">
        <v>99</v>
      </c>
      <c r="O23" s="2" t="s">
        <v>24</v>
      </c>
      <c r="P23" s="25" t="s">
        <v>100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15"/>
      <c r="B24" s="16" t="s">
        <v>40</v>
      </c>
      <c r="C24" s="27" t="s">
        <v>101</v>
      </c>
      <c r="D24" s="28"/>
      <c r="E24" s="26" t="s">
        <v>102</v>
      </c>
      <c r="F24" s="26" t="s">
        <v>103</v>
      </c>
      <c r="G24" s="29">
        <v>45897.0</v>
      </c>
      <c r="H24" s="15"/>
      <c r="I24" s="19">
        <v>3386086.0</v>
      </c>
      <c r="J24" s="31">
        <v>372469.0</v>
      </c>
      <c r="K24" s="20"/>
      <c r="L24" s="21">
        <f t="shared" si="4"/>
        <v>3758555</v>
      </c>
      <c r="M24" s="22">
        <f t="shared" si="2"/>
        <v>8</v>
      </c>
      <c r="N24" s="25" t="s">
        <v>104</v>
      </c>
      <c r="O24" s="2" t="s">
        <v>24</v>
      </c>
      <c r="P24" s="25" t="s">
        <v>105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15"/>
      <c r="B25" s="16" t="s">
        <v>44</v>
      </c>
      <c r="C25" s="27" t="s">
        <v>106</v>
      </c>
      <c r="D25" s="26" t="s">
        <v>107</v>
      </c>
      <c r="E25" s="26" t="s">
        <v>108</v>
      </c>
      <c r="F25" s="26" t="s">
        <v>109</v>
      </c>
      <c r="G25" s="29">
        <v>45876.0</v>
      </c>
      <c r="H25" s="15"/>
      <c r="I25" s="19">
        <v>1.228401E7</v>
      </c>
      <c r="J25" s="34">
        <v>1351241.0</v>
      </c>
      <c r="K25" s="20"/>
      <c r="L25" s="21">
        <f t="shared" si="4"/>
        <v>13635251</v>
      </c>
      <c r="M25" s="22">
        <f t="shared" si="2"/>
        <v>8</v>
      </c>
      <c r="N25" s="25" t="s">
        <v>110</v>
      </c>
      <c r="O25" s="2" t="s">
        <v>24</v>
      </c>
      <c r="P25" s="25" t="s">
        <v>111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15"/>
      <c r="B26" s="16" t="s">
        <v>81</v>
      </c>
      <c r="C26" s="27" t="s">
        <v>112</v>
      </c>
      <c r="D26" s="28"/>
      <c r="E26" s="17" t="s">
        <v>113</v>
      </c>
      <c r="F26" s="26" t="s">
        <v>114</v>
      </c>
      <c r="G26" s="32">
        <v>45908.0</v>
      </c>
      <c r="H26" s="15"/>
      <c r="I26" s="19">
        <v>720440.0</v>
      </c>
      <c r="J26" s="31">
        <v>79248.0</v>
      </c>
      <c r="K26" s="20"/>
      <c r="L26" s="21">
        <f t="shared" si="4"/>
        <v>799688</v>
      </c>
      <c r="M26" s="22">
        <f t="shared" si="2"/>
        <v>9</v>
      </c>
      <c r="N26" s="25" t="s">
        <v>115</v>
      </c>
      <c r="O26" s="2" t="s">
        <v>24</v>
      </c>
      <c r="P26" s="2" t="s">
        <v>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15"/>
      <c r="B27" s="16" t="s">
        <v>25</v>
      </c>
      <c r="C27" s="27" t="s">
        <v>117</v>
      </c>
      <c r="D27" s="28"/>
      <c r="E27" s="17" t="s">
        <v>50</v>
      </c>
      <c r="F27" s="28"/>
      <c r="G27" s="32">
        <v>45908.0</v>
      </c>
      <c r="H27" s="15"/>
      <c r="I27" s="19">
        <v>543000.0</v>
      </c>
      <c r="J27" s="21"/>
      <c r="K27" s="21"/>
      <c r="L27" s="37">
        <f t="shared" ref="L27:L28" si="5">I27</f>
        <v>543000</v>
      </c>
      <c r="M27" s="22">
        <f t="shared" si="2"/>
        <v>9</v>
      </c>
      <c r="N27" s="25" t="s">
        <v>118</v>
      </c>
      <c r="O27" s="2" t="s">
        <v>24</v>
      </c>
      <c r="P27" s="4"/>
      <c r="Q27" s="4"/>
      <c r="R27" s="38"/>
      <c r="S27" s="39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15"/>
      <c r="B28" s="16" t="s">
        <v>119</v>
      </c>
      <c r="C28" s="27" t="s">
        <v>120</v>
      </c>
      <c r="D28" s="28"/>
      <c r="E28" s="28"/>
      <c r="F28" s="28"/>
      <c r="G28" s="32">
        <v>45900.0</v>
      </c>
      <c r="H28" s="15"/>
      <c r="I28" s="19">
        <v>400000.0</v>
      </c>
      <c r="J28" s="21"/>
      <c r="K28" s="20"/>
      <c r="L28" s="21">
        <f t="shared" si="5"/>
        <v>400000</v>
      </c>
      <c r="M28" s="22">
        <f t="shared" si="2"/>
        <v>8</v>
      </c>
      <c r="N28" s="25" t="s">
        <v>121</v>
      </c>
      <c r="O28" s="2" t="s">
        <v>24</v>
      </c>
      <c r="P28" s="25" t="s">
        <v>122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15"/>
      <c r="B29" s="16" t="s">
        <v>31</v>
      </c>
      <c r="C29" s="27" t="s">
        <v>123</v>
      </c>
      <c r="D29" s="17"/>
      <c r="E29" s="26" t="s">
        <v>124</v>
      </c>
      <c r="F29" s="26" t="s">
        <v>125</v>
      </c>
      <c r="G29" s="29">
        <v>45909.0</v>
      </c>
      <c r="H29" s="15"/>
      <c r="I29" s="19">
        <v>4560811.0</v>
      </c>
      <c r="J29" s="34">
        <v>501689.0</v>
      </c>
      <c r="K29" s="20"/>
      <c r="L29" s="21">
        <f>I29+J29</f>
        <v>5062500</v>
      </c>
      <c r="M29" s="22">
        <f t="shared" si="2"/>
        <v>9</v>
      </c>
      <c r="N29" s="25" t="s">
        <v>126</v>
      </c>
      <c r="O29" s="2" t="s">
        <v>24</v>
      </c>
      <c r="P29" s="25" t="s">
        <v>127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15"/>
      <c r="B30" s="16" t="s">
        <v>128</v>
      </c>
      <c r="C30" s="27" t="s">
        <v>129</v>
      </c>
      <c r="D30" s="28"/>
      <c r="E30" s="28"/>
      <c r="F30" s="28"/>
      <c r="G30" s="29">
        <v>45915.0</v>
      </c>
      <c r="H30" s="15"/>
      <c r="I30" s="19">
        <v>4684781.0</v>
      </c>
      <c r="J30" s="20"/>
      <c r="K30" s="20"/>
      <c r="L30" s="21">
        <f t="shared" ref="L30:L33" si="6">I30</f>
        <v>4684781</v>
      </c>
      <c r="M30" s="22">
        <f t="shared" si="2"/>
        <v>9</v>
      </c>
      <c r="N30" s="25" t="s">
        <v>130</v>
      </c>
      <c r="O30" s="2" t="s">
        <v>24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15"/>
      <c r="B31" s="16" t="s">
        <v>25</v>
      </c>
      <c r="C31" s="27" t="s">
        <v>131</v>
      </c>
      <c r="D31" s="28"/>
      <c r="E31" s="26" t="s">
        <v>132</v>
      </c>
      <c r="F31" s="28"/>
      <c r="G31" s="29">
        <v>45915.0</v>
      </c>
      <c r="H31" s="15"/>
      <c r="I31" s="19">
        <v>53380.0</v>
      </c>
      <c r="J31" s="20"/>
      <c r="K31" s="20"/>
      <c r="L31" s="37">
        <f t="shared" si="6"/>
        <v>53380</v>
      </c>
      <c r="M31" s="22">
        <f t="shared" si="2"/>
        <v>9</v>
      </c>
      <c r="N31" s="25" t="s">
        <v>133</v>
      </c>
      <c r="O31" s="2" t="s">
        <v>24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15"/>
      <c r="B32" s="16" t="s">
        <v>25</v>
      </c>
      <c r="C32" s="27" t="s">
        <v>134</v>
      </c>
      <c r="D32" s="28"/>
      <c r="E32" s="26" t="s">
        <v>135</v>
      </c>
      <c r="F32" s="28"/>
      <c r="G32" s="29">
        <v>45916.0</v>
      </c>
      <c r="H32" s="15"/>
      <c r="I32" s="19">
        <v>1277500.0</v>
      </c>
      <c r="J32" s="20"/>
      <c r="K32" s="20"/>
      <c r="L32" s="31">
        <f t="shared" si="6"/>
        <v>1277500</v>
      </c>
      <c r="M32" s="22">
        <f t="shared" si="2"/>
        <v>9</v>
      </c>
      <c r="N32" s="25" t="s">
        <v>136</v>
      </c>
      <c r="O32" s="2" t="s">
        <v>24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15"/>
      <c r="B33" s="16" t="s">
        <v>25</v>
      </c>
      <c r="C33" s="27" t="s">
        <v>137</v>
      </c>
      <c r="D33" s="28"/>
      <c r="E33" s="26" t="s">
        <v>138</v>
      </c>
      <c r="F33" s="28"/>
      <c r="G33" s="29">
        <v>45917.0</v>
      </c>
      <c r="H33" s="15"/>
      <c r="I33" s="19">
        <v>2676315.0</v>
      </c>
      <c r="J33" s="20"/>
      <c r="K33" s="20"/>
      <c r="L33" s="21">
        <f t="shared" si="6"/>
        <v>2676315</v>
      </c>
      <c r="M33" s="22">
        <f t="shared" si="2"/>
        <v>9</v>
      </c>
      <c r="N33" s="25" t="s">
        <v>139</v>
      </c>
      <c r="O33" s="2" t="s">
        <v>24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15"/>
      <c r="B34" s="40" t="s">
        <v>25</v>
      </c>
      <c r="C34" s="41" t="s">
        <v>140</v>
      </c>
      <c r="D34" s="28"/>
      <c r="E34" s="26" t="s">
        <v>141</v>
      </c>
      <c r="F34" s="17"/>
      <c r="G34" s="29">
        <v>45925.0</v>
      </c>
      <c r="H34" s="15"/>
      <c r="I34" s="42">
        <v>1827490.0</v>
      </c>
      <c r="J34" s="21"/>
      <c r="K34" s="20"/>
      <c r="L34" s="19">
        <v>1827490.0</v>
      </c>
      <c r="M34" s="22">
        <f t="shared" si="2"/>
        <v>9</v>
      </c>
      <c r="N34" s="25" t="s">
        <v>142</v>
      </c>
      <c r="O34" s="2" t="s">
        <v>24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15"/>
      <c r="B35" s="40" t="s">
        <v>25</v>
      </c>
      <c r="C35" s="41" t="s">
        <v>143</v>
      </c>
      <c r="D35" s="28"/>
      <c r="E35" s="26" t="s">
        <v>141</v>
      </c>
      <c r="F35" s="28"/>
      <c r="G35" s="29">
        <v>45925.0</v>
      </c>
      <c r="H35" s="15"/>
      <c r="I35" s="42">
        <v>937200.0</v>
      </c>
      <c r="J35" s="21"/>
      <c r="K35" s="20"/>
      <c r="L35" s="19">
        <v>937200.0</v>
      </c>
      <c r="M35" s="22">
        <f t="shared" si="2"/>
        <v>9</v>
      </c>
      <c r="N35" s="25" t="s">
        <v>144</v>
      </c>
      <c r="O35" s="2" t="s">
        <v>24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15"/>
      <c r="B36" s="40" t="s">
        <v>25</v>
      </c>
      <c r="C36" s="41" t="s">
        <v>145</v>
      </c>
      <c r="D36" s="28"/>
      <c r="E36" s="26" t="s">
        <v>141</v>
      </c>
      <c r="F36" s="28"/>
      <c r="G36" s="29">
        <v>45925.0</v>
      </c>
      <c r="H36" s="15"/>
      <c r="I36" s="43">
        <v>480255.0</v>
      </c>
      <c r="J36" s="21"/>
      <c r="K36" s="20"/>
      <c r="L36" s="31">
        <v>480255.0</v>
      </c>
      <c r="M36" s="22">
        <f t="shared" si="2"/>
        <v>9</v>
      </c>
      <c r="N36" s="25" t="s">
        <v>146</v>
      </c>
      <c r="O36" s="2" t="s">
        <v>24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15"/>
      <c r="B37" s="40" t="s">
        <v>25</v>
      </c>
      <c r="C37" s="41" t="s">
        <v>147</v>
      </c>
      <c r="D37" s="28"/>
      <c r="E37" s="26" t="s">
        <v>141</v>
      </c>
      <c r="F37" s="28"/>
      <c r="G37" s="29">
        <v>45925.0</v>
      </c>
      <c r="H37" s="15"/>
      <c r="I37" s="43">
        <v>798000.0</v>
      </c>
      <c r="J37" s="21"/>
      <c r="K37" s="20"/>
      <c r="L37" s="31">
        <v>798000.0</v>
      </c>
      <c r="M37" s="22">
        <f t="shared" si="2"/>
        <v>9</v>
      </c>
      <c r="N37" s="25" t="s">
        <v>148</v>
      </c>
      <c r="O37" s="2" t="s">
        <v>24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15"/>
      <c r="B38" s="40" t="s">
        <v>25</v>
      </c>
      <c r="C38" s="41" t="s">
        <v>149</v>
      </c>
      <c r="D38" s="28"/>
      <c r="E38" s="26" t="s">
        <v>141</v>
      </c>
      <c r="F38" s="28"/>
      <c r="G38" s="29">
        <v>45925.0</v>
      </c>
      <c r="H38" s="15"/>
      <c r="I38" s="43">
        <v>493200.0</v>
      </c>
      <c r="J38" s="21"/>
      <c r="K38" s="20"/>
      <c r="L38" s="31">
        <v>493200.0</v>
      </c>
      <c r="M38" s="22">
        <f t="shared" si="2"/>
        <v>9</v>
      </c>
      <c r="N38" s="25" t="s">
        <v>150</v>
      </c>
      <c r="O38" s="2" t="s">
        <v>24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customHeight="1">
      <c r="A39" s="15"/>
      <c r="B39" s="40" t="s">
        <v>25</v>
      </c>
      <c r="C39" s="41" t="s">
        <v>151</v>
      </c>
      <c r="D39" s="28"/>
      <c r="E39" s="26" t="s">
        <v>141</v>
      </c>
      <c r="F39" s="28"/>
      <c r="G39" s="29">
        <v>45925.0</v>
      </c>
      <c r="H39" s="15"/>
      <c r="I39" s="43">
        <v>622900.0</v>
      </c>
      <c r="J39" s="21"/>
      <c r="K39" s="20"/>
      <c r="L39" s="31">
        <v>622900.0</v>
      </c>
      <c r="M39" s="22">
        <f t="shared" si="2"/>
        <v>9</v>
      </c>
      <c r="N39" s="25" t="s">
        <v>152</v>
      </c>
      <c r="O39" s="2" t="s">
        <v>24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15"/>
      <c r="B40" s="40" t="s">
        <v>25</v>
      </c>
      <c r="C40" s="41" t="s">
        <v>153</v>
      </c>
      <c r="D40" s="28"/>
      <c r="E40" s="26" t="s">
        <v>141</v>
      </c>
      <c r="F40" s="28"/>
      <c r="G40" s="29">
        <v>45925.0</v>
      </c>
      <c r="H40" s="15"/>
      <c r="I40" s="43">
        <v>432000.0</v>
      </c>
      <c r="J40" s="21"/>
      <c r="K40" s="20"/>
      <c r="L40" s="31">
        <v>432000.0</v>
      </c>
      <c r="M40" s="22">
        <f t="shared" si="2"/>
        <v>9</v>
      </c>
      <c r="N40" s="25" t="s">
        <v>154</v>
      </c>
      <c r="O40" s="2" t="s">
        <v>24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15"/>
      <c r="B41" s="40" t="s">
        <v>25</v>
      </c>
      <c r="C41" s="41" t="s">
        <v>155</v>
      </c>
      <c r="D41" s="28"/>
      <c r="E41" s="26" t="s">
        <v>141</v>
      </c>
      <c r="F41" s="28"/>
      <c r="G41" s="29">
        <v>45925.0</v>
      </c>
      <c r="H41" s="15"/>
      <c r="I41" s="43">
        <v>601325.0</v>
      </c>
      <c r="J41" s="20"/>
      <c r="K41" s="20"/>
      <c r="L41" s="31">
        <v>601325.0</v>
      </c>
      <c r="M41" s="22">
        <f t="shared" si="2"/>
        <v>9</v>
      </c>
      <c r="N41" s="25" t="s">
        <v>156</v>
      </c>
      <c r="O41" s="2" t="s">
        <v>24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15"/>
      <c r="B42" s="40" t="s">
        <v>157</v>
      </c>
      <c r="C42" s="27" t="s">
        <v>158</v>
      </c>
      <c r="D42" s="28"/>
      <c r="E42" s="26" t="s">
        <v>159</v>
      </c>
      <c r="F42" s="26" t="s">
        <v>160</v>
      </c>
      <c r="G42" s="29">
        <v>45918.0</v>
      </c>
      <c r="H42" s="15"/>
      <c r="I42" s="31">
        <v>4560811.0</v>
      </c>
      <c r="J42" s="34">
        <v>501689.0</v>
      </c>
      <c r="K42" s="20"/>
      <c r="L42" s="21">
        <f t="shared" ref="L42:L43" si="7">I42+J42</f>
        <v>5062500</v>
      </c>
      <c r="M42" s="22">
        <f t="shared" si="2"/>
        <v>9</v>
      </c>
      <c r="N42" s="25" t="s">
        <v>161</v>
      </c>
      <c r="O42" s="2" t="s">
        <v>24</v>
      </c>
      <c r="P42" s="25" t="s">
        <v>162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15"/>
      <c r="B43" s="40" t="s">
        <v>163</v>
      </c>
      <c r="C43" s="27" t="s">
        <v>164</v>
      </c>
      <c r="D43" s="28"/>
      <c r="E43" s="26" t="s">
        <v>165</v>
      </c>
      <c r="F43" s="26" t="s">
        <v>166</v>
      </c>
      <c r="G43" s="29">
        <v>45925.0</v>
      </c>
      <c r="H43" s="15"/>
      <c r="I43" s="31">
        <v>4375000.0</v>
      </c>
      <c r="J43" s="34">
        <v>481250.0</v>
      </c>
      <c r="K43" s="20"/>
      <c r="L43" s="21">
        <f t="shared" si="7"/>
        <v>4856250</v>
      </c>
      <c r="M43" s="22">
        <f t="shared" si="2"/>
        <v>9</v>
      </c>
      <c r="N43" s="25" t="s">
        <v>167</v>
      </c>
      <c r="O43" s="2" t="s">
        <v>24</v>
      </c>
      <c r="P43" s="4"/>
      <c r="Q43" s="38">
        <v>1711712.0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15"/>
      <c r="B44" s="40" t="s">
        <v>25</v>
      </c>
      <c r="C44" s="41" t="s">
        <v>168</v>
      </c>
      <c r="D44" s="28"/>
      <c r="E44" s="26" t="s">
        <v>141</v>
      </c>
      <c r="F44" s="28"/>
      <c r="G44" s="29">
        <v>45925.0</v>
      </c>
      <c r="H44" s="15"/>
      <c r="I44" s="31">
        <v>413664.0</v>
      </c>
      <c r="J44" s="21"/>
      <c r="K44" s="20"/>
      <c r="L44" s="31">
        <v>413664.0</v>
      </c>
      <c r="M44" s="22">
        <f t="shared" si="2"/>
        <v>9</v>
      </c>
      <c r="N44" s="25" t="s">
        <v>169</v>
      </c>
      <c r="O44" s="2" t="s">
        <v>24</v>
      </c>
      <c r="P44" s="4"/>
      <c r="Q44" s="38">
        <v>29730.0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15"/>
      <c r="B45" s="40" t="s">
        <v>25</v>
      </c>
      <c r="C45" s="41" t="s">
        <v>170</v>
      </c>
      <c r="D45" s="28"/>
      <c r="E45" s="26" t="s">
        <v>141</v>
      </c>
      <c r="F45" s="28"/>
      <c r="G45" s="29">
        <v>45925.0</v>
      </c>
      <c r="H45" s="15"/>
      <c r="I45" s="31">
        <v>378500.0</v>
      </c>
      <c r="J45" s="21"/>
      <c r="K45" s="21"/>
      <c r="L45" s="31">
        <v>378500.0</v>
      </c>
      <c r="M45" s="22">
        <f t="shared" si="2"/>
        <v>9</v>
      </c>
      <c r="N45" s="25" t="s">
        <v>171</v>
      </c>
      <c r="O45" s="2" t="s">
        <v>24</v>
      </c>
      <c r="P45" s="4"/>
      <c r="Q45" s="38">
        <v>2852468.0</v>
      </c>
      <c r="R45" s="4"/>
      <c r="S45" s="38">
        <v>980000.0</v>
      </c>
      <c r="T45" s="39">
        <f>S45*25</f>
        <v>24500000</v>
      </c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4"/>
      <c r="B46" s="40" t="s">
        <v>25</v>
      </c>
      <c r="C46" s="41" t="s">
        <v>172</v>
      </c>
      <c r="D46" s="45"/>
      <c r="E46" s="26" t="s">
        <v>141</v>
      </c>
      <c r="F46" s="28"/>
      <c r="G46" s="29">
        <v>45925.0</v>
      </c>
      <c r="H46" s="44"/>
      <c r="I46" s="31">
        <v>436963.0</v>
      </c>
      <c r="J46" s="20"/>
      <c r="K46" s="20"/>
      <c r="L46" s="31">
        <v>436963.0</v>
      </c>
      <c r="M46" s="22">
        <f t="shared" si="2"/>
        <v>9</v>
      </c>
      <c r="N46" s="25" t="s">
        <v>173</v>
      </c>
      <c r="O46" s="2" t="s">
        <v>24</v>
      </c>
      <c r="P46" s="4"/>
      <c r="Q46" s="39">
        <f>sum(Q43:Q45)</f>
        <v>4593910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4"/>
      <c r="B47" s="40" t="s">
        <v>25</v>
      </c>
      <c r="C47" s="41" t="s">
        <v>174</v>
      </c>
      <c r="D47" s="45"/>
      <c r="E47" s="26" t="s">
        <v>141</v>
      </c>
      <c r="F47" s="28"/>
      <c r="G47" s="29">
        <v>45925.0</v>
      </c>
      <c r="H47" s="44"/>
      <c r="I47" s="31">
        <v>565800.0</v>
      </c>
      <c r="J47" s="21"/>
      <c r="K47" s="20"/>
      <c r="L47" s="31">
        <v>565800.0</v>
      </c>
      <c r="M47" s="22">
        <f t="shared" si="2"/>
        <v>9</v>
      </c>
      <c r="N47" s="25" t="s">
        <v>175</v>
      </c>
      <c r="O47" s="2" t="s">
        <v>24</v>
      </c>
      <c r="P47" s="4"/>
      <c r="Q47" s="39">
        <f>Q46-I43</f>
        <v>218910</v>
      </c>
      <c r="R47" s="4"/>
      <c r="S47" s="39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4"/>
      <c r="B48" s="40" t="s">
        <v>25</v>
      </c>
      <c r="C48" s="41" t="s">
        <v>176</v>
      </c>
      <c r="D48" s="30"/>
      <c r="E48" s="26" t="s">
        <v>141</v>
      </c>
      <c r="F48" s="30"/>
      <c r="G48" s="29">
        <v>45925.0</v>
      </c>
      <c r="H48" s="44"/>
      <c r="I48" s="31">
        <v>509557.0</v>
      </c>
      <c r="J48" s="21"/>
      <c r="K48" s="20"/>
      <c r="L48" s="31">
        <v>509557.0</v>
      </c>
      <c r="M48" s="22">
        <f t="shared" si="2"/>
        <v>9</v>
      </c>
      <c r="N48" s="25" t="s">
        <v>177</v>
      </c>
      <c r="O48" s="2" t="s">
        <v>24</v>
      </c>
      <c r="P48" s="4"/>
      <c r="Q48" s="4"/>
      <c r="V48" s="4"/>
      <c r="W48" s="4"/>
      <c r="X48" s="4"/>
      <c r="Y48" s="4"/>
      <c r="Z48" s="4"/>
      <c r="AA48" s="4"/>
      <c r="AB48" s="4"/>
    </row>
    <row r="49" ht="15.75" customHeight="1">
      <c r="A49" s="44"/>
      <c r="B49" s="40" t="s">
        <v>25</v>
      </c>
      <c r="C49" s="41" t="s">
        <v>178</v>
      </c>
      <c r="D49" s="46"/>
      <c r="E49" s="26" t="s">
        <v>141</v>
      </c>
      <c r="F49" s="30"/>
      <c r="G49" s="29">
        <v>45925.0</v>
      </c>
      <c r="H49" s="44"/>
      <c r="I49" s="31">
        <v>710160.0</v>
      </c>
      <c r="J49" s="21"/>
      <c r="K49" s="20"/>
      <c r="L49" s="31">
        <v>710160.0</v>
      </c>
      <c r="M49" s="22">
        <f t="shared" si="2"/>
        <v>9</v>
      </c>
      <c r="N49" s="25" t="s">
        <v>179</v>
      </c>
      <c r="O49" s="2" t="s">
        <v>24</v>
      </c>
      <c r="P49" s="4"/>
      <c r="Q49" s="4"/>
      <c r="R49" s="47" t="s">
        <v>180</v>
      </c>
      <c r="S49" s="47" t="s">
        <v>181</v>
      </c>
      <c r="T49" s="47" t="s">
        <v>182</v>
      </c>
      <c r="U49" s="47" t="s">
        <v>183</v>
      </c>
      <c r="V49" s="47" t="s">
        <v>184</v>
      </c>
      <c r="W49" s="47" t="s">
        <v>185</v>
      </c>
      <c r="X49" s="2" t="s">
        <v>186</v>
      </c>
      <c r="Y49" s="47" t="s">
        <v>184</v>
      </c>
      <c r="Z49" s="4"/>
      <c r="AA49" s="4"/>
      <c r="AB49" s="4"/>
    </row>
    <row r="50" ht="15.75" customHeight="1">
      <c r="A50" s="44"/>
      <c r="B50" s="48" t="s">
        <v>25</v>
      </c>
      <c r="C50" s="49" t="s">
        <v>187</v>
      </c>
      <c r="D50" s="46"/>
      <c r="E50" s="26" t="s">
        <v>188</v>
      </c>
      <c r="F50" s="17"/>
      <c r="G50" s="50">
        <v>45930.0</v>
      </c>
      <c r="H50" s="44"/>
      <c r="I50" s="31">
        <v>356981.0</v>
      </c>
      <c r="J50" s="21"/>
      <c r="K50" s="20"/>
      <c r="L50" s="31">
        <v>356981.0</v>
      </c>
      <c r="M50" s="22">
        <f t="shared" si="2"/>
        <v>9</v>
      </c>
      <c r="N50" s="25" t="s">
        <v>189</v>
      </c>
      <c r="O50" s="2" t="s">
        <v>24</v>
      </c>
      <c r="P50" s="4"/>
      <c r="Q50" s="4"/>
      <c r="R50" s="2" t="s">
        <v>190</v>
      </c>
      <c r="S50" s="47" t="s">
        <v>191</v>
      </c>
      <c r="T50" s="47">
        <v>5.0</v>
      </c>
      <c r="U50" s="38">
        <v>1900000.0</v>
      </c>
      <c r="V50" s="39">
        <f t="shared" ref="V50:V52" si="8">U50*11%</f>
        <v>209000</v>
      </c>
      <c r="W50" s="2">
        <v>125.0</v>
      </c>
      <c r="X50" s="38">
        <v>4375000.0</v>
      </c>
      <c r="Y50" s="39">
        <f>X50*11%</f>
        <v>481250</v>
      </c>
      <c r="Z50" s="39">
        <f>T50*U50</f>
        <v>9500000</v>
      </c>
      <c r="AA50" s="39">
        <f>Z50-X50</f>
        <v>5125000</v>
      </c>
      <c r="AB50" s="4"/>
    </row>
    <row r="51" ht="15.75" customHeight="1">
      <c r="A51" s="44"/>
      <c r="B51" s="48" t="s">
        <v>25</v>
      </c>
      <c r="C51" s="49" t="s">
        <v>192</v>
      </c>
      <c r="D51" s="45"/>
      <c r="E51" s="26" t="s">
        <v>188</v>
      </c>
      <c r="F51" s="28"/>
      <c r="G51" s="50">
        <v>45930.0</v>
      </c>
      <c r="H51" s="44"/>
      <c r="I51" s="31">
        <v>1255860.0</v>
      </c>
      <c r="J51" s="21"/>
      <c r="K51" s="20"/>
      <c r="L51" s="31">
        <v>1255860.0</v>
      </c>
      <c r="M51" s="22">
        <f t="shared" si="2"/>
        <v>9</v>
      </c>
      <c r="N51" s="25" t="s">
        <v>193</v>
      </c>
      <c r="O51" s="2" t="s">
        <v>24</v>
      </c>
      <c r="P51" s="4"/>
      <c r="Q51" s="4"/>
      <c r="R51" s="2" t="s">
        <v>194</v>
      </c>
      <c r="S51" s="47" t="s">
        <v>195</v>
      </c>
      <c r="T51" s="47">
        <v>10.0</v>
      </c>
      <c r="U51" s="38">
        <v>33000.0</v>
      </c>
      <c r="V51" s="39">
        <f t="shared" si="8"/>
        <v>3630</v>
      </c>
      <c r="W51" s="4"/>
      <c r="X51" s="4"/>
      <c r="Y51" s="4"/>
      <c r="Z51" s="4"/>
      <c r="AA51" s="4"/>
      <c r="AB51" s="4"/>
    </row>
    <row r="52" ht="15.75" customHeight="1">
      <c r="A52" s="44"/>
      <c r="B52" s="48" t="s">
        <v>25</v>
      </c>
      <c r="C52" s="49" t="s">
        <v>196</v>
      </c>
      <c r="D52" s="45"/>
      <c r="E52" s="26" t="s">
        <v>188</v>
      </c>
      <c r="F52" s="28"/>
      <c r="G52" s="50">
        <v>45930.0</v>
      </c>
      <c r="H52" s="44"/>
      <c r="I52" s="31">
        <v>912900.0</v>
      </c>
      <c r="J52" s="20"/>
      <c r="K52" s="20"/>
      <c r="L52" s="31">
        <v>912900.0</v>
      </c>
      <c r="M52" s="22">
        <f t="shared" si="2"/>
        <v>9</v>
      </c>
      <c r="N52" s="25" t="s">
        <v>197</v>
      </c>
      <c r="O52" s="2" t="s">
        <v>24</v>
      </c>
      <c r="P52" s="4"/>
      <c r="Q52" s="4"/>
      <c r="R52" s="2" t="s">
        <v>198</v>
      </c>
      <c r="S52" s="47" t="s">
        <v>199</v>
      </c>
      <c r="T52" s="47">
        <v>1.0</v>
      </c>
      <c r="U52" s="38">
        <v>3166240.0</v>
      </c>
      <c r="V52" s="39">
        <f t="shared" si="8"/>
        <v>348286.4</v>
      </c>
      <c r="W52" s="4"/>
      <c r="X52" s="4"/>
      <c r="Y52" s="4"/>
      <c r="Z52" s="4"/>
      <c r="AA52" s="4"/>
      <c r="AB52" s="4"/>
    </row>
    <row r="53" ht="15.75" customHeight="1">
      <c r="A53" s="44"/>
      <c r="B53" s="48" t="s">
        <v>200</v>
      </c>
      <c r="C53" s="49" t="s">
        <v>201</v>
      </c>
      <c r="D53" s="46"/>
      <c r="E53" s="46"/>
      <c r="F53" s="30"/>
      <c r="G53" s="50">
        <v>45919.0</v>
      </c>
      <c r="H53" s="44"/>
      <c r="I53" s="31">
        <v>780000.0</v>
      </c>
      <c r="J53" s="21"/>
      <c r="K53" s="21"/>
      <c r="L53" s="31">
        <v>780000.0</v>
      </c>
      <c r="M53" s="22">
        <f t="shared" si="2"/>
        <v>9</v>
      </c>
      <c r="N53" s="25" t="s">
        <v>202</v>
      </c>
      <c r="O53" s="2" t="s">
        <v>24</v>
      </c>
      <c r="P53" s="4"/>
      <c r="Q53" s="4"/>
      <c r="R53" s="51" t="s">
        <v>203</v>
      </c>
      <c r="U53" s="52">
        <f>sum(U50:U52)</f>
        <v>5099240</v>
      </c>
      <c r="V53" s="4"/>
      <c r="W53" s="39">
        <f>U53-V52</f>
        <v>4750953.6</v>
      </c>
      <c r="X53" s="4"/>
      <c r="Y53" s="4"/>
      <c r="Z53" s="4"/>
      <c r="AA53" s="4"/>
      <c r="AB53" s="4"/>
    </row>
    <row r="54" ht="15.75" customHeight="1">
      <c r="A54" s="44"/>
      <c r="B54" s="48" t="s">
        <v>200</v>
      </c>
      <c r="C54" s="49" t="s">
        <v>204</v>
      </c>
      <c r="D54" s="46"/>
      <c r="E54" s="46"/>
      <c r="F54" s="30"/>
      <c r="G54" s="50">
        <v>45919.0</v>
      </c>
      <c r="H54" s="44"/>
      <c r="I54" s="31">
        <v>500000.0</v>
      </c>
      <c r="J54" s="21"/>
      <c r="K54" s="20"/>
      <c r="L54" s="31">
        <v>500000.0</v>
      </c>
      <c r="M54" s="22">
        <f t="shared" si="2"/>
        <v>9</v>
      </c>
      <c r="N54" s="25" t="s">
        <v>204</v>
      </c>
      <c r="O54" s="2" t="s">
        <v>24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4"/>
      <c r="B55" s="48" t="s">
        <v>31</v>
      </c>
      <c r="C55" s="49" t="s">
        <v>205</v>
      </c>
      <c r="D55" s="46"/>
      <c r="E55" s="25" t="s">
        <v>206</v>
      </c>
      <c r="F55" s="26" t="s">
        <v>207</v>
      </c>
      <c r="G55" s="50">
        <v>45911.0</v>
      </c>
      <c r="H55" s="44"/>
      <c r="I55" s="31">
        <v>2760901.0</v>
      </c>
      <c r="J55" s="31">
        <v>303699.0</v>
      </c>
      <c r="K55" s="20"/>
      <c r="L55" s="31">
        <f t="shared" ref="L55:L58" si="9">I55+J55</f>
        <v>3064600</v>
      </c>
      <c r="M55" s="22">
        <f t="shared" si="2"/>
        <v>9</v>
      </c>
      <c r="N55" s="25" t="s">
        <v>208</v>
      </c>
      <c r="O55" s="2" t="s">
        <v>24</v>
      </c>
      <c r="P55" s="25" t="s">
        <v>209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4"/>
      <c r="B56" s="48" t="s">
        <v>210</v>
      </c>
      <c r="C56" s="49" t="s">
        <v>211</v>
      </c>
      <c r="D56" s="46"/>
      <c r="E56" s="26" t="s">
        <v>165</v>
      </c>
      <c r="F56" s="30"/>
      <c r="G56" s="50">
        <v>45926.0</v>
      </c>
      <c r="H56" s="44"/>
      <c r="I56" s="31">
        <v>1831351.0</v>
      </c>
      <c r="J56" s="31">
        <v>201449.0</v>
      </c>
      <c r="K56" s="20"/>
      <c r="L56" s="21">
        <f t="shared" si="9"/>
        <v>2032800</v>
      </c>
      <c r="M56" s="22">
        <f t="shared" si="2"/>
        <v>9</v>
      </c>
      <c r="N56" s="25" t="s">
        <v>212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4"/>
      <c r="B57" s="48" t="s">
        <v>163</v>
      </c>
      <c r="C57" s="49" t="s">
        <v>213</v>
      </c>
      <c r="D57" s="46"/>
      <c r="E57" s="26" t="s">
        <v>165</v>
      </c>
      <c r="F57" s="30"/>
      <c r="G57" s="50">
        <v>45925.0</v>
      </c>
      <c r="H57" s="44"/>
      <c r="I57" s="31">
        <v>4375000.0</v>
      </c>
      <c r="J57" s="31">
        <v>481250.0</v>
      </c>
      <c r="K57" s="20"/>
      <c r="L57" s="21">
        <f t="shared" si="9"/>
        <v>4856250</v>
      </c>
      <c r="M57" s="22">
        <f t="shared" si="2"/>
        <v>9</v>
      </c>
      <c r="N57" s="25" t="s">
        <v>214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4"/>
      <c r="B58" s="48" t="s">
        <v>215</v>
      </c>
      <c r="C58" s="49" t="s">
        <v>216</v>
      </c>
      <c r="D58" s="46"/>
      <c r="E58" s="26" t="s">
        <v>165</v>
      </c>
      <c r="F58" s="30"/>
      <c r="G58" s="50">
        <v>45925.0</v>
      </c>
      <c r="H58" s="44"/>
      <c r="I58" s="31">
        <v>567572.0</v>
      </c>
      <c r="J58" s="31">
        <v>62433.0</v>
      </c>
      <c r="K58" s="21"/>
      <c r="L58" s="21">
        <f t="shared" si="9"/>
        <v>630005</v>
      </c>
      <c r="M58" s="22">
        <f t="shared" si="2"/>
        <v>9</v>
      </c>
      <c r="N58" s="25" t="s">
        <v>217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8"/>
      <c r="B59" s="48"/>
      <c r="C59" s="49"/>
      <c r="D59" s="46"/>
      <c r="E59" s="46"/>
      <c r="F59" s="30"/>
      <c r="G59" s="53"/>
      <c r="H59" s="44"/>
      <c r="I59" s="31"/>
      <c r="J59" s="20"/>
      <c r="K59" s="20"/>
      <c r="L59" s="31"/>
      <c r="M59" s="22"/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4"/>
      <c r="B60" s="48" t="s">
        <v>218</v>
      </c>
      <c r="C60" s="49" t="s">
        <v>219</v>
      </c>
      <c r="D60" s="46"/>
      <c r="E60" s="54" t="s">
        <v>220</v>
      </c>
      <c r="F60" s="30"/>
      <c r="G60" s="50">
        <v>45937.0</v>
      </c>
      <c r="H60" s="44"/>
      <c r="I60" s="31">
        <v>2800000.0</v>
      </c>
      <c r="J60" s="20"/>
      <c r="K60" s="20"/>
      <c r="L60" s="31">
        <v>2800000.0</v>
      </c>
      <c r="M60" s="22">
        <f t="shared" ref="M60:M76" si="10">MONTH(G60)</f>
        <v>10</v>
      </c>
      <c r="N60" s="25" t="s">
        <v>221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4"/>
      <c r="B61" s="48" t="s">
        <v>25</v>
      </c>
      <c r="C61" s="49" t="s">
        <v>222</v>
      </c>
      <c r="D61" s="46"/>
      <c r="E61" s="54" t="s">
        <v>220</v>
      </c>
      <c r="F61" s="30"/>
      <c r="G61" s="50">
        <v>45937.0</v>
      </c>
      <c r="H61" s="44"/>
      <c r="I61" s="31">
        <v>394000.0</v>
      </c>
      <c r="J61" s="21"/>
      <c r="K61" s="20"/>
      <c r="L61" s="31">
        <v>394000.0</v>
      </c>
      <c r="M61" s="22">
        <f t="shared" si="10"/>
        <v>10</v>
      </c>
      <c r="N61" s="25" t="s">
        <v>223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4"/>
      <c r="B62" s="48" t="s">
        <v>25</v>
      </c>
      <c r="C62" s="49" t="s">
        <v>224</v>
      </c>
      <c r="D62" s="46"/>
      <c r="E62" s="54" t="s">
        <v>220</v>
      </c>
      <c r="F62" s="30"/>
      <c r="G62" s="50">
        <v>45937.0</v>
      </c>
      <c r="H62" s="44"/>
      <c r="I62" s="31">
        <v>527800.0</v>
      </c>
      <c r="J62" s="20"/>
      <c r="K62" s="20"/>
      <c r="L62" s="31">
        <v>527800.0</v>
      </c>
      <c r="M62" s="22">
        <f t="shared" si="10"/>
        <v>10</v>
      </c>
      <c r="N62" s="25" t="s">
        <v>225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4"/>
      <c r="B63" s="48" t="s">
        <v>40</v>
      </c>
      <c r="C63" s="49" t="s">
        <v>226</v>
      </c>
      <c r="D63" s="46"/>
      <c r="E63" s="54" t="s">
        <v>220</v>
      </c>
      <c r="F63" s="26" t="s">
        <v>227</v>
      </c>
      <c r="G63" s="50">
        <v>45936.0</v>
      </c>
      <c r="H63" s="48"/>
      <c r="I63" s="31">
        <v>1091992.0</v>
      </c>
      <c r="J63" s="31">
        <v>120119.0</v>
      </c>
      <c r="K63" s="31" t="s">
        <v>228</v>
      </c>
      <c r="L63" s="31">
        <f>I63+J63</f>
        <v>1212111</v>
      </c>
      <c r="M63" s="22">
        <f t="shared" si="10"/>
        <v>10</v>
      </c>
      <c r="N63" s="25" t="s">
        <v>229</v>
      </c>
      <c r="O63" s="4"/>
      <c r="P63" s="25" t="s">
        <v>230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4"/>
      <c r="B64" s="48" t="s">
        <v>231</v>
      </c>
      <c r="C64" s="49" t="s">
        <v>232</v>
      </c>
      <c r="D64" s="46"/>
      <c r="E64" s="54" t="s">
        <v>233</v>
      </c>
      <c r="F64" s="26" t="s">
        <v>234</v>
      </c>
      <c r="G64" s="50">
        <v>45937.0</v>
      </c>
      <c r="H64" s="44"/>
      <c r="I64" s="31">
        <v>7005554.0</v>
      </c>
      <c r="J64" s="20"/>
      <c r="K64" s="20"/>
      <c r="L64" s="31">
        <v>7005554.0</v>
      </c>
      <c r="M64" s="22">
        <f t="shared" si="10"/>
        <v>10</v>
      </c>
      <c r="N64" s="25" t="s">
        <v>235</v>
      </c>
      <c r="O64" s="2" t="s">
        <v>24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4"/>
      <c r="B65" s="48" t="s">
        <v>236</v>
      </c>
      <c r="C65" s="49" t="s">
        <v>237</v>
      </c>
      <c r="D65" s="46"/>
      <c r="E65" s="54" t="s">
        <v>233</v>
      </c>
      <c r="F65" s="30"/>
      <c r="G65" s="50">
        <v>45937.0</v>
      </c>
      <c r="H65" s="44"/>
      <c r="I65" s="31">
        <v>79108.0</v>
      </c>
      <c r="J65" s="21"/>
      <c r="K65" s="20"/>
      <c r="L65" s="31">
        <v>79108.0</v>
      </c>
      <c r="M65" s="22">
        <f t="shared" si="10"/>
        <v>10</v>
      </c>
      <c r="N65" s="25" t="s">
        <v>238</v>
      </c>
      <c r="O65" s="2" t="s">
        <v>24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4"/>
      <c r="B66" s="48" t="s">
        <v>236</v>
      </c>
      <c r="C66" s="49" t="s">
        <v>239</v>
      </c>
      <c r="D66" s="46"/>
      <c r="E66" s="54" t="s">
        <v>233</v>
      </c>
      <c r="F66" s="30"/>
      <c r="G66" s="50">
        <v>45937.0</v>
      </c>
      <c r="H66" s="44"/>
      <c r="I66" s="31">
        <v>66990.0</v>
      </c>
      <c r="J66" s="21"/>
      <c r="K66" s="20"/>
      <c r="L66" s="31">
        <v>66990.0</v>
      </c>
      <c r="M66" s="22">
        <f t="shared" si="10"/>
        <v>10</v>
      </c>
      <c r="N66" s="25" t="s">
        <v>240</v>
      </c>
      <c r="O66" s="2" t="s">
        <v>24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4"/>
      <c r="B67" s="48" t="s">
        <v>236</v>
      </c>
      <c r="C67" s="49" t="s">
        <v>241</v>
      </c>
      <c r="D67" s="46"/>
      <c r="E67" s="54" t="s">
        <v>233</v>
      </c>
      <c r="F67" s="30"/>
      <c r="G67" s="50">
        <v>45937.0</v>
      </c>
      <c r="H67" s="44"/>
      <c r="I67" s="31">
        <v>476400.0</v>
      </c>
      <c r="J67" s="21"/>
      <c r="K67" s="20"/>
      <c r="L67" s="31">
        <v>476400.0</v>
      </c>
      <c r="M67" s="22">
        <f t="shared" si="10"/>
        <v>10</v>
      </c>
      <c r="N67" s="25" t="s">
        <v>242</v>
      </c>
      <c r="O67" s="2" t="s">
        <v>24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4"/>
      <c r="B68" s="44"/>
      <c r="C68" s="49" t="s">
        <v>243</v>
      </c>
      <c r="D68" s="46"/>
      <c r="E68" s="55"/>
      <c r="F68" s="2"/>
      <c r="G68" s="50">
        <v>45937.0</v>
      </c>
      <c r="H68" s="44"/>
      <c r="I68" s="31">
        <v>1788970.29</v>
      </c>
      <c r="J68" s="21"/>
      <c r="K68" s="20"/>
      <c r="L68" s="31">
        <v>1788970.29</v>
      </c>
      <c r="M68" s="22">
        <f t="shared" si="10"/>
        <v>10</v>
      </c>
      <c r="N68" s="4"/>
      <c r="O68" s="2" t="s">
        <v>24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4"/>
      <c r="B69" s="48" t="s">
        <v>244</v>
      </c>
      <c r="C69" s="49" t="s">
        <v>245</v>
      </c>
      <c r="D69" s="46"/>
      <c r="E69" s="54" t="s">
        <v>246</v>
      </c>
      <c r="F69" s="30"/>
      <c r="G69" s="50">
        <v>45940.0</v>
      </c>
      <c r="H69" s="44"/>
      <c r="I69" s="31">
        <v>840000.0</v>
      </c>
      <c r="J69" s="31">
        <v>92400.0</v>
      </c>
      <c r="K69" s="20"/>
      <c r="L69" s="21">
        <f t="shared" ref="L69:L70" si="11">I69+J69</f>
        <v>932400</v>
      </c>
      <c r="M69" s="22">
        <f t="shared" si="10"/>
        <v>10</v>
      </c>
      <c r="N69" s="25" t="s">
        <v>247</v>
      </c>
      <c r="O69" s="2" t="s">
        <v>24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4"/>
      <c r="B70" s="48" t="s">
        <v>215</v>
      </c>
      <c r="C70" s="49" t="s">
        <v>248</v>
      </c>
      <c r="D70" s="46"/>
      <c r="E70" s="54" t="s">
        <v>246</v>
      </c>
      <c r="F70" s="26" t="s">
        <v>249</v>
      </c>
      <c r="G70" s="50">
        <v>45938.0</v>
      </c>
      <c r="H70" s="44"/>
      <c r="I70" s="31">
        <v>306304.0</v>
      </c>
      <c r="J70" s="31">
        <v>33693.0</v>
      </c>
      <c r="K70" s="21"/>
      <c r="L70" s="21">
        <f t="shared" si="11"/>
        <v>339997</v>
      </c>
      <c r="M70" s="22">
        <f t="shared" si="10"/>
        <v>10</v>
      </c>
      <c r="N70" s="25" t="s">
        <v>250</v>
      </c>
      <c r="O70" s="2" t="s">
        <v>24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4"/>
      <c r="B71" s="48" t="s">
        <v>25</v>
      </c>
      <c r="C71" s="49" t="s">
        <v>251</v>
      </c>
      <c r="D71" s="46"/>
      <c r="E71" s="54" t="s">
        <v>246</v>
      </c>
      <c r="F71" s="30"/>
      <c r="G71" s="50">
        <v>45938.0</v>
      </c>
      <c r="H71" s="44"/>
      <c r="I71" s="31">
        <v>21500.0</v>
      </c>
      <c r="J71" s="21"/>
      <c r="K71" s="21"/>
      <c r="L71" s="31">
        <v>21500.0</v>
      </c>
      <c r="M71" s="22">
        <f t="shared" si="10"/>
        <v>10</v>
      </c>
      <c r="N71" s="25" t="s">
        <v>252</v>
      </c>
      <c r="O71" s="2" t="s">
        <v>24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4"/>
      <c r="B72" s="48" t="s">
        <v>253</v>
      </c>
      <c r="C72" s="49" t="s">
        <v>254</v>
      </c>
      <c r="D72" s="46"/>
      <c r="E72" s="54" t="s">
        <v>233</v>
      </c>
      <c r="F72" s="26" t="s">
        <v>255</v>
      </c>
      <c r="G72" s="50">
        <v>45940.0</v>
      </c>
      <c r="H72" s="46"/>
      <c r="I72" s="31">
        <v>1340090.0</v>
      </c>
      <c r="J72" s="34">
        <v>147409.0</v>
      </c>
      <c r="K72" s="20"/>
      <c r="L72" s="31">
        <f>I72+J72</f>
        <v>1487499</v>
      </c>
      <c r="M72" s="22">
        <f t="shared" si="10"/>
        <v>10</v>
      </c>
      <c r="N72" s="25" t="s">
        <v>256</v>
      </c>
      <c r="O72" s="2" t="s">
        <v>24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4"/>
      <c r="B73" s="44"/>
      <c r="C73" s="49" t="s">
        <v>257</v>
      </c>
      <c r="D73" s="46"/>
      <c r="E73" s="26" t="s">
        <v>141</v>
      </c>
      <c r="F73" s="30"/>
      <c r="G73" s="50">
        <v>45938.0</v>
      </c>
      <c r="H73" s="46"/>
      <c r="I73" s="31">
        <v>1451916.0</v>
      </c>
      <c r="J73" s="20"/>
      <c r="K73" s="20"/>
      <c r="L73" s="31">
        <v>1451916.0</v>
      </c>
      <c r="M73" s="22">
        <f t="shared" si="10"/>
        <v>10</v>
      </c>
      <c r="N73" s="25" t="s">
        <v>258</v>
      </c>
      <c r="O73" s="2" t="s">
        <v>24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4"/>
      <c r="B74" s="48" t="s">
        <v>259</v>
      </c>
      <c r="C74" s="49" t="s">
        <v>260</v>
      </c>
      <c r="D74" s="46"/>
      <c r="E74" s="54" t="s">
        <v>261</v>
      </c>
      <c r="F74" s="26" t="s">
        <v>262</v>
      </c>
      <c r="G74" s="50">
        <v>45940.0</v>
      </c>
      <c r="H74" s="46"/>
      <c r="I74" s="31">
        <v>1.15259E7</v>
      </c>
      <c r="J74" s="21"/>
      <c r="K74" s="21"/>
      <c r="L74" s="31">
        <v>1.15259E7</v>
      </c>
      <c r="M74" s="22">
        <f t="shared" si="10"/>
        <v>10</v>
      </c>
      <c r="N74" s="25" t="s">
        <v>263</v>
      </c>
      <c r="O74" s="2" t="s">
        <v>24</v>
      </c>
      <c r="P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4"/>
      <c r="B75" s="48" t="s">
        <v>25</v>
      </c>
      <c r="C75" s="49" t="s">
        <v>264</v>
      </c>
      <c r="D75" s="46"/>
      <c r="E75" s="54" t="s">
        <v>265</v>
      </c>
      <c r="F75" s="30"/>
      <c r="G75" s="50">
        <v>45940.0</v>
      </c>
      <c r="H75" s="44"/>
      <c r="I75" s="31">
        <v>876000.0</v>
      </c>
      <c r="J75" s="21"/>
      <c r="K75" s="20"/>
      <c r="L75" s="31">
        <v>876000.0</v>
      </c>
      <c r="M75" s="22">
        <f t="shared" si="10"/>
        <v>10</v>
      </c>
      <c r="N75" s="25" t="s">
        <v>266</v>
      </c>
      <c r="O75" s="2" t="s">
        <v>24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4"/>
      <c r="B76" s="48" t="s">
        <v>157</v>
      </c>
      <c r="C76" s="49" t="s">
        <v>267</v>
      </c>
      <c r="D76" s="46"/>
      <c r="E76" s="54" t="s">
        <v>268</v>
      </c>
      <c r="F76" s="26" t="s">
        <v>269</v>
      </c>
      <c r="G76" s="56"/>
      <c r="H76" s="48" t="s">
        <v>270</v>
      </c>
      <c r="I76" s="31">
        <v>5929000.0</v>
      </c>
      <c r="J76" s="21"/>
      <c r="K76" s="20"/>
      <c r="L76" s="31">
        <v>5929000.0</v>
      </c>
      <c r="M76" s="22">
        <f t="shared" si="10"/>
        <v>12</v>
      </c>
      <c r="N76" s="4"/>
      <c r="O76" s="2" t="s">
        <v>24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4"/>
      <c r="B77" s="48" t="s">
        <v>271</v>
      </c>
      <c r="C77" s="49" t="s">
        <v>272</v>
      </c>
      <c r="D77" s="57"/>
      <c r="E77" s="58" t="s">
        <v>273</v>
      </c>
      <c r="F77" s="58" t="s">
        <v>274</v>
      </c>
      <c r="G77" s="59">
        <v>45943.0</v>
      </c>
      <c r="H77" s="44"/>
      <c r="I77" s="34">
        <v>1.0074E7</v>
      </c>
      <c r="J77" s="34">
        <v>1108140.0</v>
      </c>
      <c r="K77" s="20"/>
      <c r="L77" s="20">
        <f>I77+J77</f>
        <v>11182140</v>
      </c>
      <c r="M77" s="22"/>
      <c r="N77" s="25" t="s">
        <v>275</v>
      </c>
      <c r="O77" s="2" t="s">
        <v>24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4"/>
      <c r="B78" s="48" t="s">
        <v>276</v>
      </c>
      <c r="C78" s="49" t="s">
        <v>277</v>
      </c>
      <c r="D78" s="57"/>
      <c r="E78" s="58" t="s">
        <v>273</v>
      </c>
      <c r="F78" s="58" t="s">
        <v>278</v>
      </c>
      <c r="G78" s="59">
        <v>45943.0</v>
      </c>
      <c r="H78" s="44"/>
      <c r="I78" s="34">
        <v>1994600.0</v>
      </c>
      <c r="J78" s="20"/>
      <c r="K78" s="20"/>
      <c r="L78" s="20">
        <f>I78</f>
        <v>1994600</v>
      </c>
      <c r="M78" s="22"/>
      <c r="N78" s="25" t="s">
        <v>279</v>
      </c>
      <c r="O78" s="2" t="s">
        <v>24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4"/>
      <c r="B79" s="48" t="s">
        <v>280</v>
      </c>
      <c r="C79" s="49" t="s">
        <v>281</v>
      </c>
      <c r="D79" s="57"/>
      <c r="E79" s="58" t="s">
        <v>273</v>
      </c>
      <c r="F79" s="58" t="s">
        <v>282</v>
      </c>
      <c r="G79" s="59">
        <v>45943.0</v>
      </c>
      <c r="H79" s="44"/>
      <c r="I79" s="34">
        <v>652000.0</v>
      </c>
      <c r="J79" s="34">
        <v>71720.0</v>
      </c>
      <c r="K79" s="20"/>
      <c r="L79" s="20">
        <f t="shared" ref="L79:L80" si="12">I79+J79</f>
        <v>723720</v>
      </c>
      <c r="M79" s="22"/>
      <c r="N79" s="25" t="s">
        <v>283</v>
      </c>
      <c r="O79" s="2" t="s">
        <v>24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4"/>
      <c r="B80" s="48" t="s">
        <v>215</v>
      </c>
      <c r="C80" s="49" t="s">
        <v>284</v>
      </c>
      <c r="D80" s="57"/>
      <c r="E80" s="58" t="s">
        <v>273</v>
      </c>
      <c r="F80" s="58" t="s">
        <v>285</v>
      </c>
      <c r="G80" s="59">
        <v>45943.0</v>
      </c>
      <c r="H80" s="44"/>
      <c r="I80" s="34">
        <v>5634862.0</v>
      </c>
      <c r="J80" s="34">
        <v>619835.0</v>
      </c>
      <c r="K80" s="20"/>
      <c r="L80" s="20">
        <f t="shared" si="12"/>
        <v>6254697</v>
      </c>
      <c r="M80" s="22"/>
      <c r="N80" s="25" t="s">
        <v>286</v>
      </c>
      <c r="O80" s="2" t="s">
        <v>24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4"/>
      <c r="B81" s="48" t="s">
        <v>236</v>
      </c>
      <c r="C81" s="49" t="s">
        <v>287</v>
      </c>
      <c r="D81" s="57"/>
      <c r="E81" s="58" t="s">
        <v>273</v>
      </c>
      <c r="F81" s="57"/>
      <c r="G81" s="59">
        <v>45943.0</v>
      </c>
      <c r="H81" s="44"/>
      <c r="I81" s="34">
        <v>80500.0</v>
      </c>
      <c r="J81" s="20"/>
      <c r="K81" s="20"/>
      <c r="L81" s="20">
        <f>I81</f>
        <v>80500</v>
      </c>
      <c r="M81" s="22"/>
      <c r="N81" s="25" t="s">
        <v>288</v>
      </c>
      <c r="O81" s="2" t="s">
        <v>24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4"/>
      <c r="B82" s="48" t="s">
        <v>236</v>
      </c>
      <c r="C82" s="49" t="s">
        <v>289</v>
      </c>
      <c r="D82" s="57"/>
      <c r="E82" s="58" t="s">
        <v>273</v>
      </c>
      <c r="F82" s="57"/>
      <c r="G82" s="59">
        <v>45943.0</v>
      </c>
      <c r="H82" s="44"/>
      <c r="I82" s="34">
        <v>676420.0</v>
      </c>
      <c r="J82" s="20"/>
      <c r="K82" s="20"/>
      <c r="L82" s="34">
        <v>676420.0</v>
      </c>
      <c r="M82" s="22"/>
      <c r="N82" s="25" t="s">
        <v>290</v>
      </c>
      <c r="O82" s="2" t="s">
        <v>24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4"/>
      <c r="B83" s="48" t="s">
        <v>236</v>
      </c>
      <c r="C83" s="49" t="s">
        <v>291</v>
      </c>
      <c r="D83" s="57"/>
      <c r="E83" s="58" t="s">
        <v>273</v>
      </c>
      <c r="F83" s="57"/>
      <c r="G83" s="59">
        <v>45943.0</v>
      </c>
      <c r="H83" s="44"/>
      <c r="I83" s="34">
        <v>32070.0</v>
      </c>
      <c r="J83" s="20"/>
      <c r="K83" s="20"/>
      <c r="L83" s="34">
        <v>32070.0</v>
      </c>
      <c r="M83" s="22"/>
      <c r="N83" s="25" t="s">
        <v>292</v>
      </c>
      <c r="O83" s="2" t="s">
        <v>24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4"/>
      <c r="B84" s="48" t="s">
        <v>236</v>
      </c>
      <c r="C84" s="49" t="s">
        <v>293</v>
      </c>
      <c r="D84" s="57"/>
      <c r="E84" s="58" t="s">
        <v>273</v>
      </c>
      <c r="F84" s="57"/>
      <c r="G84" s="59">
        <v>45943.0</v>
      </c>
      <c r="H84" s="44"/>
      <c r="I84" s="34">
        <v>218500.0</v>
      </c>
      <c r="J84" s="20"/>
      <c r="K84" s="20"/>
      <c r="L84" s="34">
        <v>218500.0</v>
      </c>
      <c r="M84" s="22"/>
      <c r="N84" s="25" t="s">
        <v>294</v>
      </c>
      <c r="O84" s="2" t="s">
        <v>24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4"/>
      <c r="B85" s="48" t="s">
        <v>236</v>
      </c>
      <c r="C85" s="49" t="s">
        <v>295</v>
      </c>
      <c r="D85" s="57"/>
      <c r="E85" s="58" t="s">
        <v>273</v>
      </c>
      <c r="F85" s="57"/>
      <c r="G85" s="59">
        <v>45943.0</v>
      </c>
      <c r="H85" s="44"/>
      <c r="I85" s="34">
        <v>81940.0</v>
      </c>
      <c r="J85" s="20"/>
      <c r="K85" s="20"/>
      <c r="L85" s="34">
        <v>81940.0</v>
      </c>
      <c r="M85" s="22"/>
      <c r="N85" s="25" t="s">
        <v>296</v>
      </c>
      <c r="O85" s="2" t="s">
        <v>24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4"/>
      <c r="B86" s="48" t="s">
        <v>297</v>
      </c>
      <c r="C86" s="49" t="s">
        <v>298</v>
      </c>
      <c r="D86" s="57"/>
      <c r="E86" s="58" t="s">
        <v>299</v>
      </c>
      <c r="F86" s="58" t="s">
        <v>300</v>
      </c>
      <c r="G86" s="60">
        <v>45931.0</v>
      </c>
      <c r="H86" s="48" t="s">
        <v>228</v>
      </c>
      <c r="I86" s="34">
        <v>3800676.0</v>
      </c>
      <c r="J86" s="34">
        <v>418074.0</v>
      </c>
      <c r="K86" s="20"/>
      <c r="L86" s="20">
        <f>I86+J86</f>
        <v>4218750</v>
      </c>
      <c r="M86" s="22"/>
      <c r="N86" s="25" t="s">
        <v>301</v>
      </c>
      <c r="O86" s="2" t="s">
        <v>24</v>
      </c>
      <c r="P86" s="25" t="s">
        <v>302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4"/>
      <c r="B87" s="48" t="s">
        <v>119</v>
      </c>
      <c r="C87" s="49" t="s">
        <v>303</v>
      </c>
      <c r="D87" s="57"/>
      <c r="E87" s="57"/>
      <c r="F87" s="57"/>
      <c r="G87" s="61"/>
      <c r="H87" s="44"/>
      <c r="I87" s="34">
        <v>679999.0</v>
      </c>
      <c r="J87" s="20"/>
      <c r="K87" s="20"/>
      <c r="L87" s="34">
        <v>679999.0</v>
      </c>
      <c r="M87" s="22"/>
      <c r="N87" s="25" t="s">
        <v>304</v>
      </c>
      <c r="O87" s="2" t="s">
        <v>24</v>
      </c>
      <c r="P87" s="25" t="s">
        <v>305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4"/>
      <c r="B88" s="48" t="s">
        <v>215</v>
      </c>
      <c r="C88" s="49" t="s">
        <v>306</v>
      </c>
      <c r="D88" s="57"/>
      <c r="E88" s="58" t="s">
        <v>307</v>
      </c>
      <c r="F88" s="58" t="s">
        <v>308</v>
      </c>
      <c r="G88" s="60">
        <v>45944.0</v>
      </c>
      <c r="H88" s="44"/>
      <c r="I88" s="34">
        <v>612640.0</v>
      </c>
      <c r="J88" s="34">
        <v>67390.0</v>
      </c>
      <c r="K88" s="20"/>
      <c r="L88" s="20">
        <f>I88+J88</f>
        <v>680030</v>
      </c>
      <c r="M88" s="22"/>
      <c r="N88" s="25" t="s">
        <v>309</v>
      </c>
      <c r="O88" s="2" t="s">
        <v>24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4"/>
      <c r="B89" s="48" t="s">
        <v>310</v>
      </c>
      <c r="C89" s="49" t="s">
        <v>204</v>
      </c>
      <c r="D89" s="57"/>
      <c r="E89" s="57"/>
      <c r="F89" s="57"/>
      <c r="G89" s="60">
        <v>45939.0</v>
      </c>
      <c r="H89" s="44"/>
      <c r="I89" s="34">
        <v>1000000.0</v>
      </c>
      <c r="J89" s="20"/>
      <c r="K89" s="20"/>
      <c r="L89" s="34">
        <v>1000000.0</v>
      </c>
      <c r="M89" s="22"/>
      <c r="N89" s="25" t="s">
        <v>311</v>
      </c>
      <c r="O89" s="2" t="s">
        <v>24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4"/>
      <c r="B90" s="48" t="s">
        <v>310</v>
      </c>
      <c r="C90" s="49" t="s">
        <v>204</v>
      </c>
      <c r="D90" s="57"/>
      <c r="E90" s="57"/>
      <c r="F90" s="57"/>
      <c r="G90" s="60">
        <v>45943.0</v>
      </c>
      <c r="H90" s="44"/>
      <c r="I90" s="34">
        <v>360000.0</v>
      </c>
      <c r="J90" s="20"/>
      <c r="K90" s="20"/>
      <c r="L90" s="34">
        <v>360000.0</v>
      </c>
      <c r="M90" s="22"/>
      <c r="N90" s="25" t="s">
        <v>312</v>
      </c>
      <c r="O90" s="2" t="s">
        <v>24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4"/>
      <c r="B91" s="48" t="s">
        <v>215</v>
      </c>
      <c r="C91" s="49" t="s">
        <v>313</v>
      </c>
      <c r="D91" s="57"/>
      <c r="E91" s="54" t="s">
        <v>246</v>
      </c>
      <c r="F91" s="58" t="s">
        <v>314</v>
      </c>
      <c r="G91" s="60">
        <v>45944.0</v>
      </c>
      <c r="H91" s="44"/>
      <c r="I91" s="34">
        <v>720721.0</v>
      </c>
      <c r="J91" s="34">
        <v>79279.0</v>
      </c>
      <c r="K91" s="20"/>
      <c r="L91" s="20">
        <f>I91+J91</f>
        <v>800000</v>
      </c>
      <c r="M91" s="22"/>
      <c r="N91" s="25" t="s">
        <v>315</v>
      </c>
      <c r="O91" s="2" t="s">
        <v>24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4"/>
      <c r="B92" s="48"/>
      <c r="C92" s="48" t="s">
        <v>316</v>
      </c>
      <c r="D92" s="57"/>
      <c r="E92" s="57"/>
      <c r="F92" s="57"/>
      <c r="G92" s="60">
        <v>45945.0</v>
      </c>
      <c r="H92" s="44"/>
      <c r="I92" s="34">
        <v>5710589.0</v>
      </c>
      <c r="J92" s="20"/>
      <c r="K92" s="20"/>
      <c r="L92" s="34">
        <v>5710589.0</v>
      </c>
      <c r="M92" s="22"/>
      <c r="N92" s="25" t="s">
        <v>317</v>
      </c>
      <c r="O92" s="2" t="s">
        <v>24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4"/>
      <c r="B93" s="57"/>
      <c r="C93" s="48" t="s">
        <v>318</v>
      </c>
      <c r="D93" s="57"/>
      <c r="E93" s="57"/>
      <c r="F93" s="57"/>
      <c r="G93" s="60">
        <v>45945.0</v>
      </c>
      <c r="H93" s="44"/>
      <c r="I93" s="34">
        <v>1000000.0</v>
      </c>
      <c r="J93" s="20"/>
      <c r="K93" s="20"/>
      <c r="L93" s="34">
        <v>1000000.0</v>
      </c>
      <c r="M93" s="22"/>
      <c r="N93" s="25" t="s">
        <v>319</v>
      </c>
      <c r="O93" s="2" t="s">
        <v>24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4"/>
      <c r="B94" s="57"/>
      <c r="C94" s="49" t="s">
        <v>320</v>
      </c>
      <c r="D94" s="57"/>
      <c r="E94" s="57"/>
      <c r="F94" s="57"/>
      <c r="G94" s="60">
        <v>45945.0</v>
      </c>
      <c r="H94" s="44"/>
      <c r="I94" s="34">
        <v>3000000.0</v>
      </c>
      <c r="J94" s="20"/>
      <c r="K94" s="20"/>
      <c r="L94" s="34">
        <v>3000000.0</v>
      </c>
      <c r="M94" s="22"/>
      <c r="N94" s="25" t="s">
        <v>321</v>
      </c>
      <c r="O94" s="2" t="s">
        <v>24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4"/>
      <c r="B95" s="48" t="s">
        <v>157</v>
      </c>
      <c r="C95" s="49" t="s">
        <v>322</v>
      </c>
      <c r="D95" s="57"/>
      <c r="E95" s="58" t="s">
        <v>323</v>
      </c>
      <c r="F95" s="58" t="s">
        <v>324</v>
      </c>
      <c r="G95" s="60">
        <v>45940.0</v>
      </c>
      <c r="H95" s="48" t="s">
        <v>228</v>
      </c>
      <c r="I95" s="20">
        <v>4560810.81081081</v>
      </c>
      <c r="J95" s="20">
        <f>I95*11%</f>
        <v>501689.1892</v>
      </c>
      <c r="K95" s="20"/>
      <c r="L95" s="34">
        <v>5062500.0</v>
      </c>
      <c r="M95" s="22"/>
      <c r="N95" s="2" t="s">
        <v>228</v>
      </c>
      <c r="O95" s="2" t="s">
        <v>24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4"/>
      <c r="B96" s="48" t="s">
        <v>157</v>
      </c>
      <c r="C96" s="49" t="s">
        <v>325</v>
      </c>
      <c r="D96" s="57"/>
      <c r="E96" s="58" t="s">
        <v>326</v>
      </c>
      <c r="F96" s="58" t="s">
        <v>327</v>
      </c>
      <c r="G96" s="60">
        <v>45946.0</v>
      </c>
      <c r="H96" s="48" t="s">
        <v>228</v>
      </c>
      <c r="I96" s="34">
        <v>6750000.0</v>
      </c>
      <c r="J96" s="20"/>
      <c r="K96" s="20"/>
      <c r="L96" s="20">
        <f>I96</f>
        <v>6750000</v>
      </c>
      <c r="M96" s="22"/>
      <c r="N96" s="2" t="s">
        <v>228</v>
      </c>
      <c r="O96" s="2" t="s">
        <v>24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4"/>
      <c r="B97" s="57"/>
      <c r="C97" s="49" t="s">
        <v>328</v>
      </c>
      <c r="D97" s="57"/>
      <c r="E97" s="57"/>
      <c r="F97" s="57"/>
      <c r="G97" s="60">
        <v>45946.0</v>
      </c>
      <c r="H97" s="44"/>
      <c r="I97" s="34">
        <v>300000.0</v>
      </c>
      <c r="J97" s="20"/>
      <c r="K97" s="20"/>
      <c r="L97" s="34">
        <v>300000.0</v>
      </c>
      <c r="M97" s="62"/>
      <c r="N97" s="25" t="s">
        <v>329</v>
      </c>
      <c r="O97" s="2" t="s">
        <v>24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4"/>
      <c r="B98" s="57"/>
      <c r="C98" s="49" t="s">
        <v>330</v>
      </c>
      <c r="D98" s="57"/>
      <c r="E98" s="57"/>
      <c r="F98" s="57"/>
      <c r="G98" s="60">
        <v>45946.0</v>
      </c>
      <c r="H98" s="44"/>
      <c r="I98" s="34">
        <v>500000.0</v>
      </c>
      <c r="J98" s="20"/>
      <c r="K98" s="20"/>
      <c r="L98" s="34">
        <v>500000.0</v>
      </c>
      <c r="M98" s="22"/>
      <c r="N98" s="25" t="s">
        <v>331</v>
      </c>
      <c r="O98" s="2" t="s">
        <v>24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4"/>
      <c r="B99" s="57"/>
      <c r="C99" s="49" t="s">
        <v>332</v>
      </c>
      <c r="D99" s="57"/>
      <c r="E99" s="58" t="s">
        <v>333</v>
      </c>
      <c r="F99" s="57"/>
      <c r="G99" s="60">
        <v>45947.0</v>
      </c>
      <c r="H99" s="44"/>
      <c r="I99" s="34">
        <v>328500.0</v>
      </c>
      <c r="J99" s="20"/>
      <c r="K99" s="20"/>
      <c r="L99" s="34">
        <v>328500.0</v>
      </c>
      <c r="M99" s="63"/>
      <c r="N99" s="25" t="s">
        <v>334</v>
      </c>
      <c r="O99" s="2" t="s">
        <v>24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4"/>
      <c r="B100" s="48" t="s">
        <v>335</v>
      </c>
      <c r="C100" s="49" t="s">
        <v>336</v>
      </c>
      <c r="D100" s="57"/>
      <c r="E100" s="64" t="s">
        <v>135</v>
      </c>
      <c r="F100" s="57"/>
      <c r="G100" s="65" t="s">
        <v>337</v>
      </c>
      <c r="H100" s="44"/>
      <c r="I100" s="34">
        <v>536250.0</v>
      </c>
      <c r="J100" s="34">
        <v>58988.0</v>
      </c>
      <c r="K100" s="20"/>
      <c r="L100" s="20">
        <f>I100+J100</f>
        <v>595238</v>
      </c>
      <c r="M100" s="22"/>
      <c r="N100" s="25" t="s">
        <v>338</v>
      </c>
      <c r="O100" s="2" t="s">
        <v>24</v>
      </c>
      <c r="P100" s="25" t="s">
        <v>339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4"/>
      <c r="B101" s="57"/>
      <c r="C101" s="49" t="s">
        <v>340</v>
      </c>
      <c r="D101" s="57"/>
      <c r="E101" s="57"/>
      <c r="F101" s="57"/>
      <c r="G101" s="65" t="s">
        <v>341</v>
      </c>
      <c r="H101" s="44"/>
      <c r="I101" s="34">
        <v>563000.0</v>
      </c>
      <c r="J101" s="20"/>
      <c r="K101" s="20"/>
      <c r="L101" s="34">
        <v>563000.0</v>
      </c>
      <c r="M101" s="22"/>
      <c r="N101" s="25" t="s">
        <v>342</v>
      </c>
      <c r="O101" s="2" t="s">
        <v>24</v>
      </c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4"/>
      <c r="B102" s="57"/>
      <c r="C102" s="49" t="s">
        <v>343</v>
      </c>
      <c r="D102" s="57"/>
      <c r="E102" s="58" t="s">
        <v>344</v>
      </c>
      <c r="F102" s="57"/>
      <c r="G102" s="48" t="s">
        <v>345</v>
      </c>
      <c r="H102" s="44"/>
      <c r="I102" s="34">
        <v>4266000.0</v>
      </c>
      <c r="J102" s="20"/>
      <c r="K102" s="20"/>
      <c r="L102" s="20">
        <f>I102</f>
        <v>4266000</v>
      </c>
      <c r="M102" s="22"/>
      <c r="N102" s="25" t="s">
        <v>346</v>
      </c>
      <c r="O102" s="2" t="s">
        <v>24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4"/>
      <c r="B103" s="48" t="s">
        <v>347</v>
      </c>
      <c r="C103" s="49" t="s">
        <v>348</v>
      </c>
      <c r="D103" s="57"/>
      <c r="E103" s="58" t="s">
        <v>349</v>
      </c>
      <c r="F103" s="58" t="s">
        <v>350</v>
      </c>
      <c r="G103" s="48" t="s">
        <v>351</v>
      </c>
      <c r="H103" s="44"/>
      <c r="I103" s="34">
        <v>936000.0</v>
      </c>
      <c r="J103" s="34">
        <v>102960.0</v>
      </c>
      <c r="K103" s="20"/>
      <c r="L103" s="20">
        <f t="shared" ref="L103:L104" si="13">I103+J103</f>
        <v>1038960</v>
      </c>
      <c r="M103" s="22"/>
      <c r="N103" s="25" t="s">
        <v>352</v>
      </c>
      <c r="O103" s="2" t="s">
        <v>24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4"/>
      <c r="B104" s="48" t="s">
        <v>215</v>
      </c>
      <c r="C104" s="49" t="s">
        <v>353</v>
      </c>
      <c r="D104" s="57"/>
      <c r="E104" s="58" t="s">
        <v>349</v>
      </c>
      <c r="F104" s="58" t="s">
        <v>354</v>
      </c>
      <c r="G104" s="48" t="s">
        <v>351</v>
      </c>
      <c r="H104" s="44"/>
      <c r="I104" s="34">
        <v>333334.0</v>
      </c>
      <c r="J104" s="34">
        <v>36667.0</v>
      </c>
      <c r="K104" s="20"/>
      <c r="L104" s="20">
        <f t="shared" si="13"/>
        <v>370001</v>
      </c>
      <c r="M104" s="22"/>
      <c r="N104" s="25" t="s">
        <v>355</v>
      </c>
      <c r="O104" s="2" t="s">
        <v>24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4"/>
      <c r="B105" s="48" t="s">
        <v>356</v>
      </c>
      <c r="C105" s="49" t="s">
        <v>357</v>
      </c>
      <c r="D105" s="57"/>
      <c r="E105" s="58" t="s">
        <v>349</v>
      </c>
      <c r="F105" s="58" t="s">
        <v>358</v>
      </c>
      <c r="G105" s="48" t="s">
        <v>351</v>
      </c>
      <c r="H105" s="44"/>
      <c r="I105" s="34">
        <v>455800.0</v>
      </c>
      <c r="J105" s="20"/>
      <c r="K105" s="20"/>
      <c r="L105" s="20">
        <f t="shared" ref="L105:L106" si="14">I105</f>
        <v>455800</v>
      </c>
      <c r="M105" s="22"/>
      <c r="N105" s="25" t="s">
        <v>359</v>
      </c>
      <c r="O105" s="2" t="s">
        <v>24</v>
      </c>
      <c r="P105" s="25" t="s">
        <v>360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4"/>
      <c r="B106" s="57"/>
      <c r="C106" s="49" t="s">
        <v>361</v>
      </c>
      <c r="D106" s="57"/>
      <c r="E106" s="57"/>
      <c r="F106" s="57"/>
      <c r="G106" s="48" t="s">
        <v>351</v>
      </c>
      <c r="H106" s="44"/>
      <c r="I106" s="34">
        <v>5000000.0</v>
      </c>
      <c r="J106" s="20"/>
      <c r="K106" s="20"/>
      <c r="L106" s="20">
        <f t="shared" si="14"/>
        <v>5000000</v>
      </c>
      <c r="M106" s="22"/>
      <c r="N106" s="4"/>
      <c r="O106" s="2" t="s">
        <v>24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4"/>
      <c r="B107" s="57"/>
      <c r="C107" s="49" t="s">
        <v>362</v>
      </c>
      <c r="D107" s="57"/>
      <c r="E107" s="57"/>
      <c r="F107" s="57"/>
      <c r="G107" s="48" t="s">
        <v>351</v>
      </c>
      <c r="H107" s="44"/>
      <c r="I107" s="34">
        <v>2500000.0</v>
      </c>
      <c r="J107" s="20"/>
      <c r="K107" s="20"/>
      <c r="L107" s="34">
        <v>2500000.0</v>
      </c>
      <c r="M107" s="22"/>
      <c r="N107" s="25" t="s">
        <v>363</v>
      </c>
      <c r="O107" s="2" t="s">
        <v>24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4"/>
      <c r="B108" s="57"/>
      <c r="C108" s="49" t="s">
        <v>364</v>
      </c>
      <c r="D108" s="57"/>
      <c r="E108" s="57"/>
      <c r="F108" s="57"/>
      <c r="G108" s="48" t="s">
        <v>365</v>
      </c>
      <c r="H108" s="44"/>
      <c r="I108" s="34">
        <v>1.3E7</v>
      </c>
      <c r="J108" s="20"/>
      <c r="K108" s="20"/>
      <c r="L108" s="20">
        <f>I108</f>
        <v>13000000</v>
      </c>
      <c r="M108" s="22"/>
      <c r="N108" s="4"/>
      <c r="O108" s="2" t="s">
        <v>24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4"/>
      <c r="B109" s="48" t="s">
        <v>366</v>
      </c>
      <c r="C109" s="49" t="s">
        <v>367</v>
      </c>
      <c r="D109" s="57"/>
      <c r="E109" s="58" t="s">
        <v>368</v>
      </c>
      <c r="F109" s="57"/>
      <c r="G109" s="48" t="s">
        <v>369</v>
      </c>
      <c r="H109" s="44"/>
      <c r="I109" s="34">
        <v>1.077175E7</v>
      </c>
      <c r="J109" s="34">
        <v>1184892.0</v>
      </c>
      <c r="K109" s="20"/>
      <c r="L109" s="20">
        <f t="shared" ref="L109:L111" si="15">I109+J109</f>
        <v>11956642</v>
      </c>
      <c r="M109" s="22"/>
      <c r="N109" s="25" t="s">
        <v>370</v>
      </c>
      <c r="O109" s="2" t="s">
        <v>24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4"/>
      <c r="B110" s="48" t="s">
        <v>371</v>
      </c>
      <c r="C110" s="49" t="s">
        <v>367</v>
      </c>
      <c r="D110" s="57"/>
      <c r="E110" s="58" t="s">
        <v>368</v>
      </c>
      <c r="F110" s="25" t="s">
        <v>372</v>
      </c>
      <c r="G110" s="48"/>
      <c r="H110" s="44"/>
      <c r="I110" s="34">
        <v>2.677464E7</v>
      </c>
      <c r="J110" s="34">
        <v>2945210.0</v>
      </c>
      <c r="K110" s="20"/>
      <c r="L110" s="20">
        <f t="shared" si="15"/>
        <v>29719850</v>
      </c>
      <c r="M110" s="62"/>
      <c r="N110" s="66" t="s">
        <v>373</v>
      </c>
      <c r="O110" s="2" t="s">
        <v>24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4"/>
      <c r="B111" s="48" t="s">
        <v>69</v>
      </c>
      <c r="C111" s="49" t="s">
        <v>367</v>
      </c>
      <c r="D111" s="57"/>
      <c r="E111" s="58" t="s">
        <v>368</v>
      </c>
      <c r="F111" s="25" t="s">
        <v>374</v>
      </c>
      <c r="G111" s="61"/>
      <c r="H111" s="48"/>
      <c r="I111" s="34">
        <v>1.871051E7</v>
      </c>
      <c r="J111" s="34">
        <v>2058156.0</v>
      </c>
      <c r="K111" s="20"/>
      <c r="L111" s="20">
        <f t="shared" si="15"/>
        <v>20768666</v>
      </c>
      <c r="M111" s="22"/>
      <c r="N111" s="58" t="s">
        <v>375</v>
      </c>
      <c r="O111" s="2" t="s">
        <v>24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4"/>
      <c r="B112" s="57"/>
      <c r="C112" s="49" t="s">
        <v>376</v>
      </c>
      <c r="D112" s="57"/>
      <c r="E112" s="57"/>
      <c r="F112" s="57"/>
      <c r="G112" s="61"/>
      <c r="H112" s="44"/>
      <c r="I112" s="34">
        <v>307500.0</v>
      </c>
      <c r="J112" s="20"/>
      <c r="K112" s="20"/>
      <c r="L112" s="20">
        <f t="shared" ref="L112:L114" si="16">I112</f>
        <v>307500</v>
      </c>
      <c r="M112" s="22"/>
      <c r="N112" s="25" t="s">
        <v>377</v>
      </c>
      <c r="O112" s="2" t="s">
        <v>24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4"/>
      <c r="B113" s="57"/>
      <c r="C113" s="49" t="s">
        <v>378</v>
      </c>
      <c r="D113" s="57"/>
      <c r="E113" s="57"/>
      <c r="F113" s="57"/>
      <c r="G113" s="61"/>
      <c r="H113" s="44"/>
      <c r="I113" s="34">
        <v>9831000.0</v>
      </c>
      <c r="J113" s="20"/>
      <c r="K113" s="20"/>
      <c r="L113" s="20">
        <f t="shared" si="16"/>
        <v>9831000</v>
      </c>
      <c r="M113" s="22"/>
      <c r="N113" s="25" t="s">
        <v>379</v>
      </c>
      <c r="O113" s="2" t="s">
        <v>24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4"/>
      <c r="B114" s="57"/>
      <c r="C114" s="49" t="s">
        <v>380</v>
      </c>
      <c r="D114" s="57"/>
      <c r="E114" s="57"/>
      <c r="F114" s="57"/>
      <c r="G114" s="61"/>
      <c r="H114" s="44"/>
      <c r="I114" s="34">
        <v>558640.0</v>
      </c>
      <c r="J114" s="20"/>
      <c r="K114" s="20"/>
      <c r="L114" s="20">
        <f t="shared" si="16"/>
        <v>558640</v>
      </c>
      <c r="M114" s="22"/>
      <c r="N114" s="25" t="s">
        <v>381</v>
      </c>
      <c r="O114" s="2" t="s">
        <v>24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4"/>
      <c r="B115" s="57"/>
      <c r="C115" s="49" t="s">
        <v>382</v>
      </c>
      <c r="D115" s="57"/>
      <c r="E115" s="57"/>
      <c r="F115" s="57"/>
      <c r="G115" s="61"/>
      <c r="H115" s="44"/>
      <c r="I115" s="34">
        <v>5000000.0</v>
      </c>
      <c r="J115" s="20"/>
      <c r="K115" s="20"/>
      <c r="L115" s="34">
        <v>5000000.0</v>
      </c>
      <c r="M115" s="22"/>
      <c r="N115" s="4"/>
      <c r="O115" s="2" t="s">
        <v>24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4"/>
      <c r="B116" s="57"/>
      <c r="C116" s="49" t="s">
        <v>383</v>
      </c>
      <c r="D116" s="57"/>
      <c r="E116" s="57"/>
      <c r="F116" s="57"/>
      <c r="G116" s="61"/>
      <c r="H116" s="44"/>
      <c r="I116" s="34">
        <v>8754812.0</v>
      </c>
      <c r="J116" s="20">
        <f>I116*11%</f>
        <v>963029.32</v>
      </c>
      <c r="K116" s="20">
        <f>-I116*2%</f>
        <v>-175096.24</v>
      </c>
      <c r="L116" s="20">
        <f>sum(I116:K116)</f>
        <v>9542745.08</v>
      </c>
      <c r="M116" s="22"/>
      <c r="N116" s="25" t="s">
        <v>384</v>
      </c>
      <c r="O116" s="2" t="s">
        <v>24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4"/>
      <c r="B117" s="57"/>
      <c r="C117" s="49" t="s">
        <v>385</v>
      </c>
      <c r="D117" s="57"/>
      <c r="E117" s="57"/>
      <c r="F117" s="57"/>
      <c r="G117" s="61"/>
      <c r="H117" s="44"/>
      <c r="I117" s="34">
        <v>6061114.0</v>
      </c>
      <c r="J117" s="20"/>
      <c r="K117" s="20"/>
      <c r="L117" s="20">
        <f>I117</f>
        <v>6061114</v>
      </c>
      <c r="M117" s="22"/>
      <c r="N117" s="25" t="s">
        <v>386</v>
      </c>
      <c r="O117" s="2" t="s">
        <v>24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4"/>
      <c r="B118" s="57"/>
      <c r="C118" s="49"/>
      <c r="D118" s="57"/>
      <c r="E118" s="48"/>
      <c r="F118" s="57"/>
      <c r="G118" s="61"/>
      <c r="H118" s="44"/>
      <c r="I118" s="20"/>
      <c r="J118" s="20"/>
      <c r="K118" s="20"/>
      <c r="L118" s="20"/>
      <c r="M118" s="2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4"/>
      <c r="B119" s="57"/>
      <c r="C119" s="49" t="s">
        <v>387</v>
      </c>
      <c r="D119" s="57"/>
      <c r="E119" s="58" t="s">
        <v>388</v>
      </c>
      <c r="F119" s="57"/>
      <c r="G119" s="61"/>
      <c r="H119" s="44"/>
      <c r="I119" s="34">
        <v>275500.0</v>
      </c>
      <c r="J119" s="20"/>
      <c r="K119" s="20"/>
      <c r="L119" s="20">
        <f>I119</f>
        <v>275500</v>
      </c>
      <c r="M119" s="22"/>
      <c r="N119" s="25" t="s">
        <v>389</v>
      </c>
      <c r="O119" s="2" t="s">
        <v>24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4"/>
      <c r="B120" s="57"/>
      <c r="C120" s="49" t="s">
        <v>390</v>
      </c>
      <c r="D120" s="57"/>
      <c r="E120" s="58" t="s">
        <v>388</v>
      </c>
      <c r="F120" s="57"/>
      <c r="G120" s="61"/>
      <c r="H120" s="44"/>
      <c r="I120" s="34">
        <v>846464.0</v>
      </c>
      <c r="J120" s="20"/>
      <c r="K120" s="20"/>
      <c r="L120" s="34">
        <v>846464.0</v>
      </c>
      <c r="M120" s="22"/>
      <c r="N120" s="25" t="s">
        <v>391</v>
      </c>
      <c r="O120" s="2" t="s">
        <v>24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4"/>
      <c r="B121" s="57"/>
      <c r="C121" s="49" t="s">
        <v>392</v>
      </c>
      <c r="D121" s="57"/>
      <c r="E121" s="58" t="s">
        <v>388</v>
      </c>
      <c r="F121" s="57"/>
      <c r="G121" s="61"/>
      <c r="H121" s="44"/>
      <c r="I121" s="34">
        <v>95988.0</v>
      </c>
      <c r="J121" s="20"/>
      <c r="K121" s="20"/>
      <c r="L121" s="20">
        <f>I121</f>
        <v>95988</v>
      </c>
      <c r="M121" s="22"/>
      <c r="N121" s="25" t="s">
        <v>393</v>
      </c>
      <c r="O121" s="2" t="s">
        <v>24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4"/>
      <c r="B122" s="57"/>
      <c r="C122" s="49" t="s">
        <v>394</v>
      </c>
      <c r="D122" s="57"/>
      <c r="E122" s="58" t="s">
        <v>388</v>
      </c>
      <c r="F122" s="57"/>
      <c r="G122" s="61"/>
      <c r="H122" s="44"/>
      <c r="I122" s="34">
        <v>41700.0</v>
      </c>
      <c r="J122" s="20"/>
      <c r="K122" s="20"/>
      <c r="L122" s="34">
        <v>41700.0</v>
      </c>
      <c r="M122" s="22"/>
      <c r="N122" s="25" t="s">
        <v>395</v>
      </c>
      <c r="O122" s="2" t="s">
        <v>24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4"/>
      <c r="B123" s="57"/>
      <c r="C123" s="49" t="s">
        <v>396</v>
      </c>
      <c r="D123" s="57"/>
      <c r="E123" s="58" t="s">
        <v>388</v>
      </c>
      <c r="F123" s="57"/>
      <c r="G123" s="61"/>
      <c r="H123" s="44"/>
      <c r="I123" s="34">
        <v>312000.0</v>
      </c>
      <c r="J123" s="20"/>
      <c r="K123" s="20"/>
      <c r="L123" s="34">
        <v>312000.0</v>
      </c>
      <c r="M123" s="22"/>
      <c r="N123" s="25" t="s">
        <v>397</v>
      </c>
      <c r="O123" s="2" t="s">
        <v>24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4"/>
      <c r="B124" s="57"/>
      <c r="C124" s="49" t="s">
        <v>398</v>
      </c>
      <c r="D124" s="57"/>
      <c r="E124" s="58" t="s">
        <v>388</v>
      </c>
      <c r="F124" s="57"/>
      <c r="G124" s="61"/>
      <c r="H124" s="44"/>
      <c r="I124" s="34">
        <v>325838.0</v>
      </c>
      <c r="J124" s="20"/>
      <c r="K124" s="20"/>
      <c r="L124" s="34">
        <v>325838.0</v>
      </c>
      <c r="M124" s="22"/>
      <c r="N124" s="25" t="s">
        <v>399</v>
      </c>
      <c r="O124" s="2" t="s">
        <v>24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4"/>
      <c r="B125" s="57"/>
      <c r="C125" s="49" t="s">
        <v>400</v>
      </c>
      <c r="D125" s="57"/>
      <c r="E125" s="58" t="s">
        <v>388</v>
      </c>
      <c r="F125" s="57"/>
      <c r="G125" s="61"/>
      <c r="H125" s="44"/>
      <c r="I125" s="34">
        <v>153200.0</v>
      </c>
      <c r="J125" s="20"/>
      <c r="K125" s="20"/>
      <c r="L125" s="34">
        <v>153200.0</v>
      </c>
      <c r="M125" s="22"/>
      <c r="N125" s="25" t="s">
        <v>401</v>
      </c>
      <c r="O125" s="2" t="s">
        <v>24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4"/>
      <c r="B126" s="57"/>
      <c r="C126" s="49" t="s">
        <v>402</v>
      </c>
      <c r="D126" s="57"/>
      <c r="E126" s="58" t="s">
        <v>388</v>
      </c>
      <c r="F126" s="57"/>
      <c r="G126" s="61"/>
      <c r="H126" s="44"/>
      <c r="I126" s="34">
        <v>134525.0</v>
      </c>
      <c r="J126" s="20"/>
      <c r="K126" s="20"/>
      <c r="L126" s="34">
        <v>134525.0</v>
      </c>
      <c r="M126" s="22"/>
      <c r="N126" s="25" t="s">
        <v>403</v>
      </c>
      <c r="O126" s="2" t="s">
        <v>24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4"/>
      <c r="B127" s="48" t="s">
        <v>404</v>
      </c>
      <c r="C127" s="49" t="s">
        <v>405</v>
      </c>
      <c r="D127" s="57"/>
      <c r="E127" s="58" t="s">
        <v>406</v>
      </c>
      <c r="F127" s="58" t="s">
        <v>407</v>
      </c>
      <c r="G127" s="61"/>
      <c r="H127" s="44"/>
      <c r="I127" s="34">
        <v>7981420.0</v>
      </c>
      <c r="J127" s="20"/>
      <c r="K127" s="20"/>
      <c r="L127" s="20">
        <f t="shared" ref="L127:L128" si="17">I127</f>
        <v>7981420</v>
      </c>
      <c r="M127" s="22"/>
      <c r="N127" s="25" t="s">
        <v>408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4"/>
      <c r="B128" s="48" t="s">
        <v>404</v>
      </c>
      <c r="C128" s="49" t="s">
        <v>409</v>
      </c>
      <c r="D128" s="57"/>
      <c r="E128" s="58" t="s">
        <v>410</v>
      </c>
      <c r="F128" s="58" t="s">
        <v>411</v>
      </c>
      <c r="G128" s="61"/>
      <c r="H128" s="44"/>
      <c r="I128" s="34">
        <v>7399049.0</v>
      </c>
      <c r="J128" s="20"/>
      <c r="K128" s="20"/>
      <c r="L128" s="20">
        <f t="shared" si="17"/>
        <v>7399049</v>
      </c>
      <c r="M128" s="22"/>
      <c r="N128" s="2" t="s">
        <v>369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4"/>
      <c r="B129" s="57"/>
      <c r="C129" s="49" t="s">
        <v>412</v>
      </c>
      <c r="D129" s="57"/>
      <c r="E129" s="57"/>
      <c r="F129" s="57"/>
      <c r="G129" s="61"/>
      <c r="H129" s="44"/>
      <c r="I129" s="34">
        <v>2144500.0</v>
      </c>
      <c r="J129" s="20"/>
      <c r="K129" s="20"/>
      <c r="L129" s="34">
        <v>2144500.0</v>
      </c>
      <c r="M129" s="22"/>
      <c r="N129" s="25" t="s">
        <v>413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4"/>
      <c r="B130" s="57"/>
      <c r="C130" s="49" t="s">
        <v>414</v>
      </c>
      <c r="D130" s="57"/>
      <c r="E130" s="57"/>
      <c r="F130" s="57"/>
      <c r="G130" s="61"/>
      <c r="H130" s="44"/>
      <c r="I130" s="34">
        <v>489000.0</v>
      </c>
      <c r="J130" s="20"/>
      <c r="K130" s="20"/>
      <c r="L130" s="34">
        <v>489000.0</v>
      </c>
      <c r="M130" s="22"/>
      <c r="N130" s="25" t="s">
        <v>415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4"/>
      <c r="B131" s="57"/>
      <c r="C131" s="49" t="s">
        <v>416</v>
      </c>
      <c r="D131" s="57"/>
      <c r="E131" s="57"/>
      <c r="F131" s="57"/>
      <c r="G131" s="61"/>
      <c r="H131" s="44"/>
      <c r="I131" s="34">
        <v>5000000.0</v>
      </c>
      <c r="J131" s="20"/>
      <c r="K131" s="20"/>
      <c r="L131" s="34">
        <v>5000000.0</v>
      </c>
      <c r="M131" s="2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4"/>
      <c r="B132" s="57"/>
      <c r="C132" s="67"/>
      <c r="D132" s="57"/>
      <c r="E132" s="57"/>
      <c r="F132" s="57"/>
      <c r="G132" s="61"/>
      <c r="H132" s="44"/>
      <c r="I132" s="20"/>
      <c r="J132" s="20"/>
      <c r="K132" s="20"/>
      <c r="L132" s="20"/>
      <c r="M132" s="2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4"/>
      <c r="B133" s="57"/>
      <c r="C133" s="67"/>
      <c r="D133" s="57"/>
      <c r="E133" s="57"/>
      <c r="F133" s="57"/>
      <c r="G133" s="61"/>
      <c r="H133" s="44"/>
      <c r="I133" s="20"/>
      <c r="J133" s="20"/>
      <c r="K133" s="20"/>
      <c r="L133" s="20"/>
      <c r="M133" s="2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4"/>
      <c r="B134" s="57"/>
      <c r="C134" s="67"/>
      <c r="D134" s="57"/>
      <c r="E134" s="57"/>
      <c r="F134" s="57"/>
      <c r="G134" s="61"/>
      <c r="H134" s="44"/>
      <c r="I134" s="20"/>
      <c r="J134" s="20"/>
      <c r="K134" s="20"/>
      <c r="L134" s="20"/>
      <c r="M134" s="2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4"/>
      <c r="B135" s="57"/>
      <c r="C135" s="67"/>
      <c r="D135" s="57"/>
      <c r="E135" s="57"/>
      <c r="F135" s="57"/>
      <c r="G135" s="61"/>
      <c r="H135" s="44"/>
      <c r="I135" s="20"/>
      <c r="J135" s="20"/>
      <c r="K135" s="20"/>
      <c r="L135" s="20"/>
      <c r="M135" s="22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4"/>
      <c r="B136" s="57"/>
      <c r="C136" s="67"/>
      <c r="D136" s="57"/>
      <c r="E136" s="57"/>
      <c r="F136" s="57"/>
      <c r="G136" s="61"/>
      <c r="H136" s="44"/>
      <c r="I136" s="20"/>
      <c r="J136" s="20"/>
      <c r="K136" s="20"/>
      <c r="L136" s="20"/>
      <c r="M136" s="2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4"/>
      <c r="B137" s="57"/>
      <c r="C137" s="67"/>
      <c r="D137" s="57"/>
      <c r="E137" s="57"/>
      <c r="F137" s="57"/>
      <c r="G137" s="61"/>
      <c r="H137" s="44"/>
      <c r="I137" s="20"/>
      <c r="J137" s="20"/>
      <c r="K137" s="20"/>
      <c r="L137" s="20"/>
      <c r="M137" s="2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4"/>
      <c r="B138" s="57"/>
      <c r="C138" s="67"/>
      <c r="D138" s="57"/>
      <c r="E138" s="57"/>
      <c r="F138" s="57"/>
      <c r="G138" s="61"/>
      <c r="H138" s="44"/>
      <c r="I138" s="20"/>
      <c r="J138" s="20"/>
      <c r="K138" s="20"/>
      <c r="L138" s="20"/>
      <c r="M138" s="2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4"/>
      <c r="B139" s="57"/>
      <c r="C139" s="67"/>
      <c r="D139" s="57"/>
      <c r="E139" s="57"/>
      <c r="F139" s="57"/>
      <c r="G139" s="61"/>
      <c r="H139" s="44"/>
      <c r="I139" s="20"/>
      <c r="J139" s="20"/>
      <c r="K139" s="20"/>
      <c r="L139" s="20"/>
      <c r="M139" s="2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4"/>
      <c r="B140" s="57"/>
      <c r="C140" s="67"/>
      <c r="D140" s="57"/>
      <c r="E140" s="57"/>
      <c r="F140" s="57"/>
      <c r="G140" s="61"/>
      <c r="H140" s="44"/>
      <c r="I140" s="20"/>
      <c r="J140" s="20"/>
      <c r="K140" s="20"/>
      <c r="L140" s="20"/>
      <c r="M140" s="2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4"/>
      <c r="B141" s="57"/>
      <c r="C141" s="67"/>
      <c r="D141" s="57"/>
      <c r="E141" s="57"/>
      <c r="F141" s="57"/>
      <c r="G141" s="61"/>
      <c r="H141" s="44"/>
      <c r="I141" s="20"/>
      <c r="J141" s="20"/>
      <c r="K141" s="20"/>
      <c r="L141" s="20"/>
      <c r="M141" s="22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4"/>
      <c r="B142" s="57"/>
      <c r="C142" s="67"/>
      <c r="D142" s="57"/>
      <c r="E142" s="57"/>
      <c r="F142" s="57"/>
      <c r="G142" s="61"/>
      <c r="H142" s="44"/>
      <c r="I142" s="20"/>
      <c r="J142" s="20"/>
      <c r="K142" s="20"/>
      <c r="L142" s="20"/>
      <c r="M142" s="2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4"/>
      <c r="B143" s="57"/>
      <c r="C143" s="67"/>
      <c r="D143" s="57"/>
      <c r="E143" s="57"/>
      <c r="F143" s="57"/>
      <c r="G143" s="61"/>
      <c r="H143" s="44"/>
      <c r="I143" s="20"/>
      <c r="J143" s="20"/>
      <c r="K143" s="20"/>
      <c r="L143" s="20"/>
      <c r="M143" s="2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4"/>
      <c r="B144" s="57"/>
      <c r="C144" s="67"/>
      <c r="D144" s="57"/>
      <c r="E144" s="57"/>
      <c r="F144" s="57"/>
      <c r="G144" s="61"/>
      <c r="H144" s="44"/>
      <c r="I144" s="20"/>
      <c r="J144" s="20"/>
      <c r="K144" s="20"/>
      <c r="L144" s="20"/>
      <c r="M144" s="2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4"/>
      <c r="B145" s="57"/>
      <c r="C145" s="67"/>
      <c r="D145" s="57"/>
      <c r="E145" s="57"/>
      <c r="F145" s="57"/>
      <c r="G145" s="61"/>
      <c r="H145" s="44"/>
      <c r="I145" s="20"/>
      <c r="J145" s="20"/>
      <c r="K145" s="20"/>
      <c r="L145" s="20"/>
      <c r="M145" s="2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4"/>
      <c r="B146" s="57"/>
      <c r="C146" s="67"/>
      <c r="D146" s="57"/>
      <c r="E146" s="57"/>
      <c r="F146" s="57"/>
      <c r="G146" s="61"/>
      <c r="H146" s="44"/>
      <c r="I146" s="20"/>
      <c r="J146" s="20"/>
      <c r="K146" s="20"/>
      <c r="L146" s="20"/>
      <c r="M146" s="2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4"/>
      <c r="B147" s="57"/>
      <c r="C147" s="67"/>
      <c r="D147" s="57"/>
      <c r="E147" s="57"/>
      <c r="F147" s="57"/>
      <c r="G147" s="61"/>
      <c r="H147" s="44"/>
      <c r="I147" s="20"/>
      <c r="J147" s="20"/>
      <c r="K147" s="20"/>
      <c r="L147" s="20"/>
      <c r="M147" s="2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4"/>
      <c r="B148" s="57"/>
      <c r="C148" s="67"/>
      <c r="D148" s="57"/>
      <c r="E148" s="57"/>
      <c r="F148" s="57"/>
      <c r="G148" s="61"/>
      <c r="H148" s="44"/>
      <c r="I148" s="20"/>
      <c r="J148" s="20"/>
      <c r="K148" s="20"/>
      <c r="L148" s="20"/>
      <c r="M148" s="2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4"/>
      <c r="B149" s="57"/>
      <c r="C149" s="67"/>
      <c r="D149" s="57"/>
      <c r="E149" s="57"/>
      <c r="F149" s="57"/>
      <c r="G149" s="61"/>
      <c r="H149" s="44"/>
      <c r="I149" s="20"/>
      <c r="J149" s="20"/>
      <c r="K149" s="20"/>
      <c r="L149" s="20"/>
      <c r="M149" s="22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4"/>
      <c r="B150" s="57"/>
      <c r="C150" s="67"/>
      <c r="D150" s="57"/>
      <c r="E150" s="57"/>
      <c r="F150" s="57"/>
      <c r="G150" s="61"/>
      <c r="H150" s="44"/>
      <c r="I150" s="20"/>
      <c r="J150" s="20"/>
      <c r="K150" s="20"/>
      <c r="L150" s="20"/>
      <c r="M150" s="2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4"/>
      <c r="B151" s="57"/>
      <c r="C151" s="67"/>
      <c r="D151" s="57"/>
      <c r="E151" s="57"/>
      <c r="F151" s="57"/>
      <c r="G151" s="61"/>
      <c r="H151" s="44"/>
      <c r="I151" s="20"/>
      <c r="J151" s="20"/>
      <c r="K151" s="20"/>
      <c r="L151" s="20"/>
      <c r="M151" s="2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4"/>
      <c r="B152" s="57"/>
      <c r="C152" s="67"/>
      <c r="D152" s="57"/>
      <c r="E152" s="57"/>
      <c r="F152" s="57"/>
      <c r="G152" s="61"/>
      <c r="H152" s="44"/>
      <c r="I152" s="20"/>
      <c r="J152" s="20"/>
      <c r="K152" s="20"/>
      <c r="L152" s="20"/>
      <c r="M152" s="2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4"/>
      <c r="B153" s="57"/>
      <c r="C153" s="67"/>
      <c r="D153" s="57"/>
      <c r="E153" s="57"/>
      <c r="F153" s="57"/>
      <c r="G153" s="61"/>
      <c r="H153" s="44"/>
      <c r="I153" s="20"/>
      <c r="J153" s="20"/>
      <c r="K153" s="20"/>
      <c r="L153" s="20"/>
      <c r="M153" s="22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4"/>
      <c r="B154" s="57"/>
      <c r="C154" s="67"/>
      <c r="D154" s="57"/>
      <c r="E154" s="57"/>
      <c r="F154" s="57"/>
      <c r="G154" s="61"/>
      <c r="H154" s="44"/>
      <c r="I154" s="20"/>
      <c r="J154" s="20"/>
      <c r="K154" s="20"/>
      <c r="L154" s="20"/>
      <c r="M154" s="2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4"/>
      <c r="B155" s="57"/>
      <c r="C155" s="67"/>
      <c r="D155" s="57"/>
      <c r="E155" s="57"/>
      <c r="F155" s="57"/>
      <c r="G155" s="61"/>
      <c r="H155" s="44"/>
      <c r="I155" s="20"/>
      <c r="J155" s="20"/>
      <c r="K155" s="20"/>
      <c r="L155" s="20"/>
      <c r="M155" s="2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4"/>
      <c r="B156" s="57"/>
      <c r="C156" s="67"/>
      <c r="D156" s="57"/>
      <c r="E156" s="57"/>
      <c r="F156" s="57"/>
      <c r="G156" s="61"/>
      <c r="H156" s="44"/>
      <c r="I156" s="20"/>
      <c r="J156" s="20"/>
      <c r="K156" s="20"/>
      <c r="L156" s="20"/>
      <c r="M156" s="2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4"/>
      <c r="B157" s="57"/>
      <c r="C157" s="67"/>
      <c r="D157" s="57"/>
      <c r="E157" s="57"/>
      <c r="F157" s="57"/>
      <c r="G157" s="61"/>
      <c r="H157" s="44"/>
      <c r="I157" s="20"/>
      <c r="J157" s="20"/>
      <c r="K157" s="20"/>
      <c r="L157" s="20"/>
      <c r="M157" s="2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4"/>
      <c r="B158" s="57"/>
      <c r="C158" s="67"/>
      <c r="D158" s="57"/>
      <c r="E158" s="57"/>
      <c r="F158" s="57"/>
      <c r="G158" s="61"/>
      <c r="H158" s="44"/>
      <c r="I158" s="20"/>
      <c r="J158" s="20"/>
      <c r="K158" s="20"/>
      <c r="L158" s="20"/>
      <c r="M158" s="2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68"/>
      <c r="B159" s="69"/>
      <c r="C159" s="70"/>
      <c r="D159" s="69"/>
      <c r="E159" s="69"/>
      <c r="F159" s="69"/>
      <c r="G159" s="71"/>
      <c r="H159" s="68"/>
      <c r="I159" s="72"/>
      <c r="J159" s="72"/>
      <c r="K159" s="72"/>
      <c r="L159" s="72"/>
      <c r="M159" s="7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74"/>
      <c r="B160" s="75"/>
      <c r="C160" s="75"/>
      <c r="D160" s="75"/>
      <c r="E160" s="75"/>
      <c r="F160" s="75"/>
      <c r="G160" s="76"/>
      <c r="H160" s="75"/>
      <c r="I160" s="77">
        <f t="shared" ref="I160:L160" si="18">SUBTOTAL(9,I4:I159)</f>
        <v>330248279.1</v>
      </c>
      <c r="J160" s="77">
        <f t="shared" si="18"/>
        <v>17400444.96</v>
      </c>
      <c r="K160" s="77">
        <f t="shared" si="18"/>
        <v>-175096.24</v>
      </c>
      <c r="L160" s="77">
        <f t="shared" si="18"/>
        <v>347473627.8</v>
      </c>
      <c r="M160" s="78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5"/>
      <c r="J161" s="5"/>
      <c r="K161" s="5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5"/>
      <c r="J168" s="5"/>
      <c r="K168" s="5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5"/>
      <c r="J169" s="5"/>
      <c r="K169" s="5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5"/>
      <c r="J170" s="5"/>
      <c r="K170" s="5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5"/>
      <c r="J171" s="5"/>
      <c r="K171" s="5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5"/>
      <c r="J172" s="5"/>
      <c r="K172" s="5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5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5"/>
      <c r="J174" s="5"/>
      <c r="K174" s="5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5"/>
      <c r="J176" s="5"/>
      <c r="K176" s="5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5"/>
      <c r="J177" s="5"/>
      <c r="K177" s="5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5"/>
      <c r="J178" s="5"/>
      <c r="K178" s="5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5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5"/>
      <c r="J180" s="5"/>
      <c r="K180" s="5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5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5"/>
      <c r="J182" s="5"/>
      <c r="K182" s="5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5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5"/>
      <c r="J184" s="5"/>
      <c r="K184" s="5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5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5"/>
      <c r="J186" s="5"/>
      <c r="K186" s="5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5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5"/>
      <c r="J189" s="5"/>
      <c r="K189" s="5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5"/>
      <c r="J190" s="5"/>
      <c r="K190" s="5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5"/>
      <c r="J192" s="5"/>
      <c r="K192" s="5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5"/>
      <c r="J193" s="5"/>
      <c r="K193" s="5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5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5"/>
      <c r="J196" s="5"/>
      <c r="K196" s="5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5"/>
      <c r="J197" s="5"/>
      <c r="K197" s="5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5"/>
      <c r="J199" s="5"/>
      <c r="K199" s="5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5"/>
      <c r="J201" s="5"/>
      <c r="K201" s="5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5"/>
      <c r="J202" s="5"/>
      <c r="K202" s="5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5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5"/>
      <c r="J206" s="5"/>
      <c r="K206" s="5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5"/>
      <c r="J207" s="5"/>
      <c r="K207" s="5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5"/>
      <c r="J210" s="5"/>
      <c r="K210" s="5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5"/>
      <c r="J211" s="5"/>
      <c r="K211" s="5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5"/>
      <c r="J212" s="5"/>
      <c r="K212" s="5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5"/>
      <c r="J213" s="5"/>
      <c r="K213" s="5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5"/>
      <c r="J214" s="5"/>
      <c r="K214" s="5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5"/>
      <c r="J215" s="5"/>
      <c r="K215" s="5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5"/>
      <c r="J216" s="5"/>
      <c r="K216" s="5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5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5"/>
      <c r="J218" s="5"/>
      <c r="K218" s="5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5"/>
      <c r="J219" s="5"/>
      <c r="K219" s="5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5"/>
      <c r="J220" s="5"/>
      <c r="K220" s="5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5"/>
      <c r="J221" s="5"/>
      <c r="K221" s="5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5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5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5"/>
      <c r="L225" s="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5"/>
      <c r="L226" s="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5"/>
      <c r="L227" s="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5"/>
      <c r="L228" s="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5"/>
      <c r="L229" s="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5"/>
      <c r="L231" s="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5"/>
      <c r="L232" s="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5"/>
      <c r="L234" s="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5"/>
      <c r="L235" s="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5"/>
      <c r="L237" s="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5"/>
      <c r="L239" s="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5"/>
      <c r="L241" s="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5"/>
      <c r="L242" s="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5"/>
      <c r="L244" s="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/>
      <c r="L245" s="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5"/>
      <c r="L246" s="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5"/>
      <c r="L248" s="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5"/>
      <c r="L249" s="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5"/>
      <c r="L250" s="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5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5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5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5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5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5"/>
      <c r="L257" s="5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5"/>
      <c r="L258" s="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5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5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5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5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5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5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5"/>
      <c r="L268" s="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5"/>
      <c r="L269" s="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/>
      <c r="L271" s="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5"/>
      <c r="L272" s="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5"/>
      <c r="L274" s="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5"/>
      <c r="L275" s="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5"/>
      <c r="L276" s="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5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5"/>
      <c r="L280" s="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5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5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5"/>
      <c r="L283" s="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5"/>
      <c r="L284" s="5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5"/>
      <c r="L285" s="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5"/>
      <c r="L286" s="5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5"/>
      <c r="L287" s="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5"/>
      <c r="L288" s="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5"/>
      <c r="L289" s="5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5"/>
      <c r="L291" s="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5"/>
      <c r="L292" s="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5"/>
      <c r="L293" s="5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5"/>
      <c r="L294" s="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5"/>
      <c r="L295" s="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5"/>
      <c r="L296" s="5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5"/>
      <c r="L297" s="5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5"/>
      <c r="L298" s="5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5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5"/>
      <c r="L300" s="5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5"/>
      <c r="L301" s="5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5"/>
      <c r="L302" s="5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5"/>
      <c r="L303" s="5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5"/>
      <c r="L304" s="5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5"/>
      <c r="L306" s="5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5"/>
      <c r="L307" s="5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5"/>
      <c r="L308" s="5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5"/>
      <c r="L309" s="5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5"/>
      <c r="L310" s="5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5"/>
      <c r="L311" s="5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5"/>
      <c r="L312" s="5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5"/>
      <c r="L313" s="5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5"/>
      <c r="L315" s="5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5"/>
      <c r="L316" s="5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5"/>
      <c r="L317" s="5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5"/>
      <c r="L318" s="5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5"/>
      <c r="L319" s="5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5"/>
      <c r="L320" s="5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5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5"/>
      <c r="L322" s="5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5"/>
      <c r="L323" s="5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5"/>
      <c r="L324" s="5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5"/>
      <c r="L325" s="5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5"/>
      <c r="L326" s="5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5"/>
      <c r="L327" s="5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5"/>
      <c r="L328" s="5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5"/>
      <c r="L329" s="5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5"/>
      <c r="L330" s="5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5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5"/>
      <c r="L332" s="5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5"/>
      <c r="L333" s="5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5"/>
      <c r="L334" s="5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5"/>
      <c r="L335" s="5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5"/>
      <c r="L336" s="5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5"/>
      <c r="L337" s="5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5"/>
      <c r="L338" s="5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5"/>
      <c r="L339" s="5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5"/>
      <c r="L340" s="5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5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5"/>
      <c r="L342" s="5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5"/>
      <c r="L343" s="5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5"/>
      <c r="L344" s="5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5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5"/>
      <c r="L346" s="5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5"/>
      <c r="L347" s="5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5"/>
      <c r="L348" s="5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5"/>
      <c r="L349" s="5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5"/>
      <c r="L350" s="5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5"/>
      <c r="L353" s="5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5"/>
      <c r="L354" s="5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5"/>
      <c r="L355" s="5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5"/>
      <c r="L356" s="5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5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5"/>
      <c r="L358" s="5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5"/>
      <c r="L359" s="5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5"/>
      <c r="L360" s="5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</sheetData>
  <hyperlinks>
    <hyperlink r:id="rId2" ref="N4"/>
    <hyperlink r:id="rId3" ref="N5"/>
    <hyperlink r:id="rId4" ref="E6"/>
    <hyperlink r:id="rId5" ref="N6"/>
    <hyperlink r:id="rId6" ref="E7"/>
    <hyperlink r:id="rId7" ref="F7"/>
    <hyperlink r:id="rId8" ref="N7"/>
    <hyperlink r:id="rId9" ref="P7"/>
    <hyperlink r:id="rId10" ref="N8"/>
    <hyperlink r:id="rId11" ref="N9"/>
    <hyperlink r:id="rId12" ref="P9"/>
    <hyperlink r:id="rId13" ref="N10"/>
    <hyperlink r:id="rId14" ref="P10"/>
    <hyperlink r:id="rId15" ref="N11"/>
    <hyperlink r:id="rId16" ref="E12"/>
    <hyperlink r:id="rId17" ref="N12"/>
    <hyperlink r:id="rId18" ref="E13"/>
    <hyperlink r:id="rId19" ref="N13"/>
    <hyperlink r:id="rId20" ref="E14"/>
    <hyperlink r:id="rId21" ref="F14"/>
    <hyperlink r:id="rId22" ref="N14"/>
    <hyperlink r:id="rId23" ref="P14"/>
    <hyperlink r:id="rId24" ref="E15"/>
    <hyperlink r:id="rId25" ref="F15"/>
    <hyperlink r:id="rId26" ref="N15"/>
    <hyperlink r:id="rId27" ref="E16"/>
    <hyperlink r:id="rId28" ref="F16"/>
    <hyperlink r:id="rId29" ref="N16"/>
    <hyperlink r:id="rId30" ref="N17"/>
    <hyperlink r:id="rId31" ref="E18"/>
    <hyperlink r:id="rId32" ref="N18"/>
    <hyperlink r:id="rId33" ref="F19"/>
    <hyperlink r:id="rId34" ref="N19"/>
    <hyperlink r:id="rId35" ref="E20"/>
    <hyperlink r:id="rId36" ref="N20"/>
    <hyperlink r:id="rId37" ref="E21"/>
    <hyperlink r:id="rId38" ref="N21"/>
    <hyperlink r:id="rId39" ref="N22"/>
    <hyperlink r:id="rId40" ref="E23"/>
    <hyperlink r:id="rId41" ref="F23"/>
    <hyperlink r:id="rId42" ref="N23"/>
    <hyperlink r:id="rId43" ref="P23"/>
    <hyperlink r:id="rId44" ref="E24"/>
    <hyperlink r:id="rId45" ref="F24"/>
    <hyperlink r:id="rId46" ref="N24"/>
    <hyperlink r:id="rId47" ref="P24"/>
    <hyperlink r:id="rId48" ref="D25"/>
    <hyperlink r:id="rId49" ref="E25"/>
    <hyperlink r:id="rId50" ref="F25"/>
    <hyperlink r:id="rId51" ref="N25"/>
    <hyperlink r:id="rId52" ref="P25"/>
    <hyperlink r:id="rId53" ref="F26"/>
    <hyperlink r:id="rId54" ref="N26"/>
    <hyperlink r:id="rId55" ref="N27"/>
    <hyperlink r:id="rId56" ref="N28"/>
    <hyperlink r:id="rId57" ref="P28"/>
    <hyperlink r:id="rId58" ref="E29"/>
    <hyperlink r:id="rId59" ref="F29"/>
    <hyperlink r:id="rId60" ref="N29"/>
    <hyperlink r:id="rId61" ref="P29"/>
    <hyperlink r:id="rId62" ref="N30"/>
    <hyperlink r:id="rId63" ref="E31"/>
    <hyperlink r:id="rId64" ref="N31"/>
    <hyperlink r:id="rId65" ref="E32"/>
    <hyperlink r:id="rId66" ref="N32"/>
    <hyperlink r:id="rId67" ref="E33"/>
    <hyperlink r:id="rId68" ref="N33"/>
    <hyperlink r:id="rId69" ref="E34"/>
    <hyperlink r:id="rId70" ref="N34"/>
    <hyperlink r:id="rId71" ref="E35"/>
    <hyperlink r:id="rId72" ref="N35"/>
    <hyperlink r:id="rId73" ref="E36"/>
    <hyperlink r:id="rId74" ref="N36"/>
    <hyperlink r:id="rId75" ref="E37"/>
    <hyperlink r:id="rId76" ref="N37"/>
    <hyperlink r:id="rId77" ref="E38"/>
    <hyperlink r:id="rId78" ref="N38"/>
    <hyperlink r:id="rId79" ref="E39"/>
    <hyperlink r:id="rId80" ref="N39"/>
    <hyperlink r:id="rId81" ref="E40"/>
    <hyperlink r:id="rId82" ref="N40"/>
    <hyperlink r:id="rId83" ref="E41"/>
    <hyperlink r:id="rId84" ref="N41"/>
    <hyperlink r:id="rId85" ref="E42"/>
    <hyperlink r:id="rId86" ref="F42"/>
    <hyperlink r:id="rId87" ref="N42"/>
    <hyperlink r:id="rId88" ref="P42"/>
    <hyperlink r:id="rId89" ref="E43"/>
    <hyperlink r:id="rId90" ref="F43"/>
    <hyperlink r:id="rId91" ref="N43"/>
    <hyperlink r:id="rId92" ref="E44"/>
    <hyperlink r:id="rId93" ref="N44"/>
    <hyperlink r:id="rId94" ref="E45"/>
    <hyperlink r:id="rId95" ref="N45"/>
    <hyperlink r:id="rId96" ref="E46"/>
    <hyperlink r:id="rId97" ref="N46"/>
    <hyperlink r:id="rId98" ref="E47"/>
    <hyperlink r:id="rId99" ref="N47"/>
    <hyperlink r:id="rId100" ref="E48"/>
    <hyperlink r:id="rId101" ref="N48"/>
    <hyperlink r:id="rId102" ref="E49"/>
    <hyperlink r:id="rId103" ref="N49"/>
    <hyperlink r:id="rId104" ref="E50"/>
    <hyperlink r:id="rId105" ref="N50"/>
    <hyperlink r:id="rId106" ref="E51"/>
    <hyperlink r:id="rId107" ref="N51"/>
    <hyperlink r:id="rId108" ref="E52"/>
    <hyperlink r:id="rId109" ref="N52"/>
    <hyperlink r:id="rId110" ref="N53"/>
    <hyperlink r:id="rId111" ref="N54"/>
    <hyperlink r:id="rId112" ref="E55"/>
    <hyperlink r:id="rId113" ref="F55"/>
    <hyperlink r:id="rId114" ref="N55"/>
    <hyperlink r:id="rId115" ref="P55"/>
    <hyperlink r:id="rId116" ref="E56"/>
    <hyperlink r:id="rId117" ref="N56"/>
    <hyperlink r:id="rId118" ref="E57"/>
    <hyperlink r:id="rId119" ref="N57"/>
    <hyperlink r:id="rId120" ref="E58"/>
    <hyperlink r:id="rId121" ref="N58"/>
    <hyperlink r:id="rId122" ref="E60"/>
    <hyperlink r:id="rId123" ref="N60"/>
    <hyperlink r:id="rId124" ref="E61"/>
    <hyperlink r:id="rId125" ref="N61"/>
    <hyperlink r:id="rId126" ref="E62"/>
    <hyperlink r:id="rId127" ref="N62"/>
    <hyperlink r:id="rId128" ref="E63"/>
    <hyperlink r:id="rId129" ref="F63"/>
    <hyperlink r:id="rId130" ref="N63"/>
    <hyperlink r:id="rId131" ref="P63"/>
    <hyperlink r:id="rId132" ref="E64"/>
    <hyperlink r:id="rId133" ref="F64"/>
    <hyperlink r:id="rId134" ref="N64"/>
    <hyperlink r:id="rId135" ref="E65"/>
    <hyperlink r:id="rId136" ref="N65"/>
    <hyperlink r:id="rId137" ref="E66"/>
    <hyperlink r:id="rId138" ref="N66"/>
    <hyperlink r:id="rId139" ref="E67"/>
    <hyperlink r:id="rId140" ref="N67"/>
    <hyperlink r:id="rId141" ref="E69"/>
    <hyperlink r:id="rId142" ref="N69"/>
    <hyperlink r:id="rId143" ref="E70"/>
    <hyperlink r:id="rId144" ref="F70"/>
    <hyperlink r:id="rId145" ref="N70"/>
    <hyperlink r:id="rId146" ref="E71"/>
    <hyperlink r:id="rId147" ref="N71"/>
    <hyperlink r:id="rId148" ref="E72"/>
    <hyperlink r:id="rId149" ref="F72"/>
    <hyperlink r:id="rId150" ref="N72"/>
    <hyperlink r:id="rId151" ref="E73"/>
    <hyperlink r:id="rId152" ref="N73"/>
    <hyperlink r:id="rId153" ref="E74"/>
    <hyperlink r:id="rId154" ref="F74"/>
    <hyperlink r:id="rId155" ref="N74"/>
    <hyperlink r:id="rId156" ref="E75"/>
    <hyperlink r:id="rId157" ref="N75"/>
    <hyperlink r:id="rId158" ref="E76"/>
    <hyperlink r:id="rId159" ref="F76"/>
    <hyperlink r:id="rId160" ref="E77"/>
    <hyperlink r:id="rId161" ref="F77"/>
    <hyperlink r:id="rId162" ref="N77"/>
    <hyperlink r:id="rId163" ref="E78"/>
    <hyperlink r:id="rId164" ref="F78"/>
    <hyperlink r:id="rId165" ref="N78"/>
    <hyperlink r:id="rId166" ref="E79"/>
    <hyperlink r:id="rId167" ref="F79"/>
    <hyperlink r:id="rId168" ref="N79"/>
    <hyperlink r:id="rId169" ref="E80"/>
    <hyperlink r:id="rId170" ref="F80"/>
    <hyperlink r:id="rId171" ref="N80"/>
    <hyperlink r:id="rId172" ref="E81"/>
    <hyperlink r:id="rId173" ref="N81"/>
    <hyperlink r:id="rId174" ref="E82"/>
    <hyperlink r:id="rId175" ref="N82"/>
    <hyperlink r:id="rId176" ref="E83"/>
    <hyperlink r:id="rId177" ref="N83"/>
    <hyperlink r:id="rId178" ref="E84"/>
    <hyperlink r:id="rId179" ref="N84"/>
    <hyperlink r:id="rId180" ref="E85"/>
    <hyperlink r:id="rId181" ref="N85"/>
    <hyperlink r:id="rId182" ref="E86"/>
    <hyperlink r:id="rId183" ref="F86"/>
    <hyperlink r:id="rId184" ref="N86"/>
    <hyperlink r:id="rId185" ref="P86"/>
    <hyperlink r:id="rId186" ref="N87"/>
    <hyperlink r:id="rId187" ref="P87"/>
    <hyperlink r:id="rId188" ref="E88"/>
    <hyperlink r:id="rId189" ref="F88"/>
    <hyperlink r:id="rId190" ref="N88"/>
    <hyperlink r:id="rId191" ref="N89"/>
    <hyperlink r:id="rId192" ref="N90"/>
    <hyperlink r:id="rId193" ref="E91"/>
    <hyperlink r:id="rId194" ref="F91"/>
    <hyperlink r:id="rId195" ref="N91"/>
    <hyperlink r:id="rId196" ref="N92"/>
    <hyperlink r:id="rId197" ref="N93"/>
    <hyperlink r:id="rId198" ref="N94"/>
    <hyperlink r:id="rId199" ref="E95"/>
    <hyperlink r:id="rId200" ref="F95"/>
    <hyperlink r:id="rId201" ref="E96"/>
    <hyperlink r:id="rId202" ref="F96"/>
    <hyperlink r:id="rId203" ref="N97"/>
    <hyperlink r:id="rId204" ref="N98"/>
    <hyperlink r:id="rId205" ref="E99"/>
    <hyperlink r:id="rId206" ref="N99"/>
    <hyperlink r:id="rId207" ref="E100"/>
    <hyperlink r:id="rId208" ref="N100"/>
    <hyperlink r:id="rId209" ref="P100"/>
    <hyperlink r:id="rId210" ref="N101"/>
    <hyperlink r:id="rId211" ref="E102"/>
    <hyperlink r:id="rId212" ref="N102"/>
    <hyperlink r:id="rId213" ref="E103"/>
    <hyperlink r:id="rId214" ref="F103"/>
    <hyperlink r:id="rId215" ref="N103"/>
    <hyperlink r:id="rId216" ref="E104"/>
    <hyperlink r:id="rId217" ref="F104"/>
    <hyperlink r:id="rId218" ref="N104"/>
    <hyperlink r:id="rId219" ref="E105"/>
    <hyperlink r:id="rId220" ref="F105"/>
    <hyperlink r:id="rId221" ref="N105"/>
    <hyperlink r:id="rId222" ref="P105"/>
    <hyperlink r:id="rId223" ref="N107"/>
    <hyperlink r:id="rId224" ref="E109"/>
    <hyperlink r:id="rId225" ref="N109"/>
    <hyperlink r:id="rId226" ref="E110"/>
    <hyperlink r:id="rId227" ref="F110"/>
    <hyperlink r:id="rId228" ref="N110"/>
    <hyperlink r:id="rId229" ref="E111"/>
    <hyperlink r:id="rId230" ref="F111"/>
    <hyperlink r:id="rId231" ref="N111"/>
    <hyperlink r:id="rId232" ref="N112"/>
    <hyperlink r:id="rId233" ref="N113"/>
    <hyperlink r:id="rId234" ref="N114"/>
    <hyperlink r:id="rId235" ref="N116"/>
    <hyperlink r:id="rId236" ref="N117"/>
    <hyperlink r:id="rId237" ref="E119"/>
    <hyperlink r:id="rId238" ref="N119"/>
    <hyperlink r:id="rId239" ref="E120"/>
    <hyperlink r:id="rId240" ref="N120"/>
    <hyperlink r:id="rId241" ref="E121"/>
    <hyperlink r:id="rId242" ref="N121"/>
    <hyperlink r:id="rId243" ref="E122"/>
    <hyperlink r:id="rId244" ref="N122"/>
    <hyperlink r:id="rId245" ref="E123"/>
    <hyperlink r:id="rId246" ref="N123"/>
    <hyperlink r:id="rId247" ref="E124"/>
    <hyperlink r:id="rId248" ref="N124"/>
    <hyperlink r:id="rId249" ref="E125"/>
    <hyperlink r:id="rId250" ref="N125"/>
    <hyperlink r:id="rId251" ref="E126"/>
    <hyperlink r:id="rId252" ref="N126"/>
    <hyperlink r:id="rId253" ref="E127"/>
    <hyperlink r:id="rId254" ref="F127"/>
    <hyperlink r:id="rId255" ref="N127"/>
    <hyperlink r:id="rId256" ref="E128"/>
    <hyperlink r:id="rId257" ref="F128"/>
    <hyperlink r:id="rId258" ref="N129"/>
    <hyperlink r:id="rId259" ref="N130"/>
  </hyperlinks>
  <drawing r:id="rId260"/>
  <legacyDrawing r:id="rId2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E1" s="79"/>
    </row>
    <row r="2">
      <c r="E2" s="79"/>
    </row>
    <row r="3">
      <c r="E3" s="79"/>
    </row>
    <row r="4">
      <c r="E4" s="79"/>
    </row>
    <row r="5">
      <c r="E5" s="79"/>
    </row>
    <row r="6">
      <c r="E6" s="79"/>
      <c r="G6" s="47" t="s">
        <v>417</v>
      </c>
      <c r="H6" s="47" t="s">
        <v>418</v>
      </c>
    </row>
    <row r="7">
      <c r="E7" s="79"/>
    </row>
    <row r="8">
      <c r="E8" s="79"/>
    </row>
    <row r="9">
      <c r="D9" s="47" t="s">
        <v>419</v>
      </c>
      <c r="E9" s="80">
        <v>1000000.0</v>
      </c>
    </row>
    <row r="10">
      <c r="D10" s="47" t="s">
        <v>420</v>
      </c>
      <c r="E10" s="80">
        <v>500000.0</v>
      </c>
    </row>
    <row r="11">
      <c r="D11" s="47" t="s">
        <v>421</v>
      </c>
      <c r="E11" s="79">
        <f>E9+E10</f>
        <v>1500000</v>
      </c>
    </row>
    <row r="12">
      <c r="E12" s="79"/>
    </row>
    <row r="13">
      <c r="D13" s="47" t="s">
        <v>422</v>
      </c>
      <c r="E13" s="79">
        <f>E11/1.11</f>
        <v>1351351.351</v>
      </c>
      <c r="F13" s="47" t="s">
        <v>423</v>
      </c>
      <c r="G13" s="81"/>
    </row>
    <row r="14">
      <c r="D14" s="47" t="s">
        <v>184</v>
      </c>
      <c r="E14" s="82">
        <f>E13*11%</f>
        <v>148648.6486</v>
      </c>
      <c r="F14" s="83">
        <v>0.11</v>
      </c>
      <c r="G14" s="81">
        <v>0.12</v>
      </c>
    </row>
    <row r="15">
      <c r="D15" s="47" t="s">
        <v>424</v>
      </c>
      <c r="E15" s="79">
        <f>E13*1.5%</f>
        <v>20270.27027</v>
      </c>
      <c r="F15" s="83">
        <v>0.015</v>
      </c>
    </row>
    <row r="16">
      <c r="D16" s="47" t="s">
        <v>425</v>
      </c>
      <c r="E16" s="79">
        <f>E13-E14-E15</f>
        <v>1182432.432</v>
      </c>
    </row>
    <row r="17">
      <c r="E17" s="79"/>
    </row>
    <row r="18">
      <c r="D18" s="47" t="s">
        <v>426</v>
      </c>
      <c r="E18" s="79">
        <f>E13*11/12</f>
        <v>1238738.739</v>
      </c>
    </row>
    <row r="19">
      <c r="D19" s="47" t="s">
        <v>184</v>
      </c>
      <c r="E19" s="82">
        <f>E18*12%</f>
        <v>148648.6486</v>
      </c>
      <c r="F19" s="79"/>
    </row>
    <row r="20">
      <c r="E20" s="79"/>
    </row>
    <row r="21">
      <c r="E21" s="79"/>
    </row>
    <row r="22">
      <c r="E22" s="79"/>
    </row>
    <row r="23">
      <c r="E23" s="79"/>
    </row>
    <row r="24">
      <c r="E24" s="79"/>
    </row>
    <row r="25">
      <c r="E25" s="79"/>
    </row>
    <row r="26">
      <c r="E26" s="79"/>
    </row>
    <row r="27">
      <c r="E27" s="79"/>
    </row>
    <row r="28">
      <c r="E28" s="79"/>
    </row>
    <row r="29">
      <c r="E29" s="79"/>
    </row>
    <row r="30">
      <c r="E30" s="79"/>
    </row>
    <row r="31">
      <c r="E31" s="79"/>
    </row>
    <row r="32">
      <c r="E32" s="79"/>
    </row>
    <row r="33">
      <c r="E33" s="79"/>
    </row>
    <row r="34">
      <c r="E34" s="79"/>
    </row>
    <row r="35">
      <c r="E35" s="79"/>
    </row>
    <row r="36">
      <c r="E36" s="79"/>
    </row>
    <row r="37">
      <c r="E37" s="79"/>
    </row>
    <row r="38">
      <c r="E38" s="79"/>
    </row>
    <row r="39">
      <c r="E39" s="79"/>
    </row>
    <row r="40">
      <c r="E40" s="79"/>
    </row>
    <row r="41">
      <c r="E41" s="79"/>
    </row>
    <row r="42">
      <c r="E42" s="79"/>
    </row>
    <row r="43">
      <c r="E43" s="79"/>
    </row>
    <row r="44">
      <c r="E44" s="79"/>
    </row>
    <row r="45">
      <c r="E45" s="79"/>
    </row>
    <row r="46">
      <c r="E46" s="79"/>
    </row>
    <row r="47">
      <c r="E47" s="79"/>
    </row>
    <row r="48">
      <c r="E48" s="79"/>
    </row>
    <row r="49">
      <c r="E49" s="79"/>
    </row>
    <row r="50">
      <c r="E50" s="79"/>
    </row>
    <row r="51">
      <c r="E51" s="79"/>
    </row>
    <row r="52">
      <c r="E52" s="79"/>
    </row>
    <row r="53">
      <c r="E53" s="79"/>
    </row>
    <row r="54">
      <c r="E54" s="79"/>
    </row>
    <row r="55">
      <c r="E55" s="79"/>
    </row>
    <row r="56">
      <c r="E56" s="79"/>
    </row>
    <row r="57">
      <c r="E57" s="79"/>
    </row>
    <row r="58">
      <c r="E58" s="79"/>
    </row>
    <row r="59">
      <c r="E59" s="79"/>
    </row>
    <row r="60">
      <c r="E60" s="79"/>
    </row>
    <row r="61">
      <c r="E61" s="79"/>
    </row>
    <row r="62">
      <c r="E62" s="79"/>
    </row>
    <row r="63">
      <c r="E63" s="79"/>
    </row>
    <row r="64">
      <c r="E64" s="79"/>
    </row>
    <row r="65">
      <c r="E65" s="79"/>
    </row>
    <row r="66">
      <c r="E66" s="79"/>
    </row>
    <row r="67">
      <c r="E67" s="79"/>
    </row>
    <row r="68">
      <c r="E68" s="79"/>
    </row>
    <row r="69">
      <c r="E69" s="79"/>
    </row>
    <row r="70">
      <c r="E70" s="79"/>
    </row>
    <row r="71">
      <c r="E71" s="79"/>
    </row>
    <row r="72">
      <c r="E72" s="79"/>
    </row>
    <row r="73">
      <c r="E73" s="79"/>
    </row>
    <row r="74">
      <c r="E74" s="79"/>
    </row>
    <row r="75">
      <c r="E75" s="79"/>
    </row>
    <row r="76">
      <c r="E76" s="79"/>
    </row>
    <row r="77">
      <c r="E77" s="79"/>
    </row>
    <row r="78">
      <c r="E78" s="79"/>
    </row>
    <row r="79">
      <c r="E79" s="79"/>
    </row>
    <row r="80">
      <c r="E80" s="79"/>
    </row>
    <row r="81">
      <c r="E81" s="79"/>
    </row>
    <row r="82">
      <c r="E82" s="79"/>
    </row>
    <row r="83">
      <c r="E83" s="79"/>
    </row>
    <row r="84">
      <c r="E84" s="79"/>
    </row>
    <row r="85">
      <c r="E85" s="79"/>
    </row>
    <row r="86">
      <c r="E86" s="79"/>
    </row>
    <row r="87">
      <c r="E87" s="79"/>
    </row>
    <row r="88">
      <c r="E88" s="79"/>
    </row>
    <row r="89">
      <c r="E89" s="79"/>
    </row>
    <row r="90">
      <c r="E90" s="79"/>
    </row>
    <row r="91">
      <c r="E91" s="79"/>
    </row>
    <row r="92">
      <c r="E92" s="79"/>
    </row>
    <row r="93">
      <c r="E93" s="79"/>
    </row>
    <row r="94">
      <c r="E94" s="79"/>
    </row>
    <row r="95">
      <c r="E95" s="79"/>
    </row>
    <row r="96">
      <c r="E96" s="79"/>
    </row>
    <row r="97">
      <c r="E97" s="79"/>
    </row>
    <row r="98">
      <c r="E98" s="79"/>
    </row>
    <row r="99">
      <c r="E99" s="79"/>
    </row>
    <row r="100">
      <c r="E100" s="79"/>
    </row>
    <row r="101">
      <c r="E101" s="79"/>
    </row>
    <row r="102">
      <c r="E102" s="79"/>
    </row>
    <row r="103">
      <c r="E103" s="79"/>
    </row>
    <row r="104">
      <c r="E104" s="79"/>
    </row>
    <row r="105">
      <c r="E105" s="79"/>
    </row>
    <row r="106">
      <c r="E106" s="79"/>
    </row>
    <row r="107">
      <c r="E107" s="79"/>
    </row>
    <row r="108">
      <c r="E108" s="79"/>
    </row>
    <row r="109">
      <c r="E109" s="79"/>
    </row>
    <row r="110">
      <c r="E110" s="79"/>
    </row>
    <row r="111">
      <c r="E111" s="79"/>
    </row>
    <row r="112">
      <c r="E112" s="79"/>
    </row>
    <row r="113">
      <c r="E113" s="79"/>
    </row>
    <row r="114">
      <c r="E114" s="79"/>
    </row>
    <row r="115">
      <c r="E115" s="79"/>
    </row>
    <row r="116">
      <c r="E116" s="79"/>
    </row>
    <row r="117">
      <c r="E117" s="79"/>
    </row>
    <row r="118">
      <c r="E118" s="79"/>
    </row>
    <row r="119">
      <c r="E119" s="79"/>
    </row>
    <row r="120">
      <c r="E120" s="79"/>
    </row>
    <row r="121">
      <c r="E121" s="79"/>
    </row>
    <row r="122">
      <c r="E122" s="79"/>
    </row>
    <row r="123">
      <c r="E123" s="79"/>
    </row>
    <row r="124">
      <c r="E124" s="79"/>
    </row>
    <row r="125">
      <c r="E125" s="79"/>
    </row>
    <row r="126">
      <c r="E126" s="79"/>
    </row>
    <row r="127">
      <c r="E127" s="79"/>
    </row>
    <row r="128">
      <c r="E128" s="79"/>
    </row>
    <row r="129">
      <c r="E129" s="79"/>
    </row>
    <row r="130">
      <c r="E130" s="79"/>
    </row>
    <row r="131">
      <c r="E131" s="79"/>
    </row>
    <row r="132">
      <c r="E132" s="79"/>
    </row>
    <row r="133">
      <c r="E133" s="79"/>
    </row>
    <row r="134">
      <c r="E134" s="79"/>
    </row>
    <row r="135">
      <c r="E135" s="79"/>
    </row>
    <row r="136">
      <c r="E136" s="79"/>
    </row>
    <row r="137">
      <c r="E137" s="79"/>
    </row>
    <row r="138">
      <c r="E138" s="79"/>
    </row>
    <row r="139">
      <c r="E139" s="79"/>
    </row>
    <row r="140">
      <c r="E140" s="79"/>
    </row>
    <row r="141">
      <c r="E141" s="79"/>
    </row>
    <row r="142">
      <c r="E142" s="79"/>
    </row>
    <row r="143">
      <c r="E143" s="79"/>
    </row>
    <row r="144">
      <c r="E144" s="79"/>
    </row>
    <row r="145">
      <c r="E145" s="79"/>
    </row>
    <row r="146">
      <c r="E146" s="79"/>
    </row>
    <row r="147">
      <c r="E147" s="79"/>
    </row>
    <row r="148">
      <c r="E148" s="79"/>
    </row>
    <row r="149">
      <c r="E149" s="79"/>
    </row>
    <row r="150">
      <c r="E150" s="79"/>
    </row>
    <row r="151">
      <c r="E151" s="79"/>
    </row>
    <row r="152">
      <c r="E152" s="79"/>
    </row>
    <row r="153">
      <c r="E153" s="79"/>
    </row>
    <row r="154">
      <c r="E154" s="79"/>
    </row>
    <row r="155">
      <c r="E155" s="79"/>
    </row>
    <row r="156">
      <c r="E156" s="79"/>
    </row>
    <row r="157">
      <c r="E157" s="79"/>
    </row>
    <row r="158">
      <c r="E158" s="79"/>
    </row>
    <row r="159">
      <c r="E159" s="79"/>
    </row>
    <row r="160">
      <c r="E160" s="79"/>
    </row>
    <row r="161">
      <c r="E161" s="79"/>
    </row>
    <row r="162">
      <c r="E162" s="79"/>
    </row>
    <row r="163">
      <c r="E163" s="79"/>
    </row>
    <row r="164">
      <c r="E164" s="79"/>
    </row>
    <row r="165">
      <c r="E165" s="79"/>
    </row>
    <row r="166">
      <c r="E166" s="79"/>
    </row>
    <row r="167">
      <c r="E167" s="79"/>
    </row>
    <row r="168">
      <c r="E168" s="79"/>
    </row>
    <row r="169">
      <c r="E169" s="79"/>
    </row>
    <row r="170">
      <c r="E170" s="79"/>
    </row>
    <row r="171">
      <c r="E171" s="79"/>
    </row>
    <row r="172">
      <c r="E172" s="79"/>
    </row>
    <row r="173">
      <c r="E173" s="79"/>
    </row>
    <row r="174">
      <c r="E174" s="79"/>
    </row>
    <row r="175">
      <c r="E175" s="79"/>
    </row>
    <row r="176">
      <c r="E176" s="79"/>
    </row>
    <row r="177">
      <c r="E177" s="79"/>
    </row>
    <row r="178">
      <c r="E178" s="79"/>
    </row>
    <row r="179">
      <c r="E179" s="79"/>
    </row>
    <row r="180">
      <c r="E180" s="79"/>
    </row>
    <row r="181">
      <c r="E181" s="79"/>
    </row>
    <row r="182">
      <c r="E182" s="79"/>
    </row>
    <row r="183">
      <c r="E183" s="79"/>
    </row>
    <row r="184">
      <c r="E184" s="79"/>
    </row>
    <row r="185">
      <c r="E185" s="79"/>
    </row>
    <row r="186">
      <c r="E186" s="79"/>
    </row>
    <row r="187">
      <c r="E187" s="79"/>
    </row>
    <row r="188">
      <c r="E188" s="79"/>
    </row>
    <row r="189">
      <c r="E189" s="79"/>
    </row>
    <row r="190">
      <c r="E190" s="79"/>
    </row>
    <row r="191">
      <c r="E191" s="79"/>
    </row>
    <row r="192">
      <c r="E192" s="79"/>
    </row>
    <row r="193">
      <c r="E193" s="79"/>
    </row>
    <row r="194">
      <c r="E194" s="79"/>
    </row>
    <row r="195">
      <c r="E195" s="79"/>
    </row>
    <row r="196">
      <c r="E196" s="79"/>
    </row>
    <row r="197">
      <c r="E197" s="79"/>
    </row>
    <row r="198">
      <c r="E198" s="79"/>
    </row>
    <row r="199">
      <c r="E199" s="79"/>
    </row>
    <row r="200">
      <c r="E200" s="79"/>
    </row>
    <row r="201">
      <c r="E201" s="79"/>
    </row>
    <row r="202">
      <c r="E202" s="79"/>
    </row>
    <row r="203">
      <c r="E203" s="79"/>
    </row>
    <row r="204">
      <c r="E204" s="79"/>
    </row>
    <row r="205">
      <c r="E205" s="79"/>
    </row>
    <row r="206">
      <c r="E206" s="79"/>
    </row>
    <row r="207">
      <c r="E207" s="79"/>
    </row>
    <row r="208">
      <c r="E208" s="79"/>
    </row>
    <row r="209">
      <c r="E209" s="79"/>
    </row>
    <row r="210">
      <c r="E210" s="79"/>
    </row>
    <row r="211">
      <c r="E211" s="79"/>
    </row>
    <row r="212">
      <c r="E212" s="79"/>
    </row>
    <row r="213">
      <c r="E213" s="79"/>
    </row>
    <row r="214">
      <c r="E214" s="79"/>
    </row>
    <row r="215">
      <c r="E215" s="79"/>
    </row>
    <row r="216">
      <c r="E216" s="79"/>
    </row>
    <row r="217">
      <c r="E217" s="79"/>
    </row>
    <row r="218">
      <c r="E218" s="79"/>
    </row>
    <row r="219">
      <c r="E219" s="79"/>
    </row>
    <row r="220">
      <c r="E220" s="79"/>
    </row>
    <row r="221">
      <c r="E221" s="79"/>
    </row>
    <row r="222">
      <c r="E222" s="79"/>
    </row>
    <row r="223">
      <c r="E223" s="79"/>
    </row>
    <row r="224">
      <c r="E224" s="79"/>
    </row>
    <row r="225">
      <c r="E225" s="79"/>
    </row>
    <row r="226">
      <c r="E226" s="79"/>
    </row>
    <row r="227">
      <c r="E227" s="79"/>
    </row>
    <row r="228">
      <c r="E228" s="79"/>
    </row>
    <row r="229">
      <c r="E229" s="79"/>
    </row>
    <row r="230">
      <c r="E230" s="79"/>
    </row>
    <row r="231">
      <c r="E231" s="79"/>
    </row>
    <row r="232">
      <c r="E232" s="79"/>
    </row>
    <row r="233">
      <c r="E233" s="79"/>
    </row>
    <row r="234">
      <c r="E234" s="79"/>
    </row>
    <row r="235">
      <c r="E235" s="79"/>
    </row>
    <row r="236">
      <c r="E236" s="79"/>
    </row>
    <row r="237">
      <c r="E237" s="79"/>
    </row>
    <row r="238">
      <c r="E238" s="79"/>
    </row>
    <row r="239">
      <c r="E239" s="79"/>
    </row>
    <row r="240">
      <c r="E240" s="79"/>
    </row>
    <row r="241">
      <c r="E241" s="79"/>
    </row>
    <row r="242">
      <c r="E242" s="79"/>
    </row>
    <row r="243">
      <c r="E243" s="79"/>
    </row>
    <row r="244">
      <c r="E244" s="79"/>
    </row>
    <row r="245">
      <c r="E245" s="79"/>
    </row>
    <row r="246">
      <c r="E246" s="79"/>
    </row>
    <row r="247">
      <c r="E247" s="79"/>
    </row>
    <row r="248">
      <c r="E248" s="79"/>
    </row>
    <row r="249">
      <c r="E249" s="79"/>
    </row>
    <row r="250">
      <c r="E250" s="79"/>
    </row>
    <row r="251">
      <c r="E251" s="79"/>
    </row>
    <row r="252">
      <c r="E252" s="79"/>
    </row>
    <row r="253">
      <c r="E253" s="79"/>
    </row>
    <row r="254">
      <c r="E254" s="79"/>
    </row>
    <row r="255">
      <c r="E255" s="79"/>
    </row>
    <row r="256">
      <c r="E256" s="79"/>
    </row>
    <row r="257">
      <c r="E257" s="79"/>
    </row>
    <row r="258">
      <c r="E258" s="79"/>
    </row>
    <row r="259">
      <c r="E259" s="79"/>
    </row>
    <row r="260">
      <c r="E260" s="79"/>
    </row>
    <row r="261">
      <c r="E261" s="79"/>
    </row>
    <row r="262">
      <c r="E262" s="79"/>
    </row>
    <row r="263">
      <c r="E263" s="79"/>
    </row>
    <row r="264">
      <c r="E264" s="79"/>
    </row>
    <row r="265">
      <c r="E265" s="79"/>
    </row>
    <row r="266">
      <c r="E266" s="79"/>
    </row>
    <row r="267">
      <c r="E267" s="79"/>
    </row>
    <row r="268">
      <c r="E268" s="79"/>
    </row>
    <row r="269">
      <c r="E269" s="79"/>
    </row>
    <row r="270">
      <c r="E270" s="79"/>
    </row>
    <row r="271">
      <c r="E271" s="79"/>
    </row>
    <row r="272">
      <c r="E272" s="79"/>
    </row>
    <row r="273">
      <c r="E273" s="79"/>
    </row>
    <row r="274">
      <c r="E274" s="79"/>
    </row>
    <row r="275">
      <c r="E275" s="79"/>
    </row>
    <row r="276">
      <c r="E276" s="79"/>
    </row>
    <row r="277">
      <c r="E277" s="79"/>
    </row>
    <row r="278">
      <c r="E278" s="79"/>
    </row>
    <row r="279">
      <c r="E279" s="79"/>
    </row>
    <row r="280">
      <c r="E280" s="79"/>
    </row>
    <row r="281">
      <c r="E281" s="79"/>
    </row>
    <row r="282">
      <c r="E282" s="79"/>
    </row>
    <row r="283">
      <c r="E283" s="79"/>
    </row>
    <row r="284">
      <c r="E284" s="79"/>
    </row>
    <row r="285">
      <c r="E285" s="79"/>
    </row>
    <row r="286">
      <c r="E286" s="79"/>
    </row>
    <row r="287">
      <c r="E287" s="79"/>
    </row>
    <row r="288">
      <c r="E288" s="79"/>
    </row>
    <row r="289">
      <c r="E289" s="79"/>
    </row>
    <row r="290">
      <c r="E290" s="79"/>
    </row>
    <row r="291">
      <c r="E291" s="79"/>
    </row>
    <row r="292">
      <c r="E292" s="79"/>
    </row>
    <row r="293">
      <c r="E293" s="79"/>
    </row>
    <row r="294">
      <c r="E294" s="79"/>
    </row>
    <row r="295">
      <c r="E295" s="79"/>
    </row>
    <row r="296">
      <c r="E296" s="79"/>
    </row>
    <row r="297">
      <c r="E297" s="79"/>
    </row>
    <row r="298">
      <c r="E298" s="79"/>
    </row>
    <row r="299">
      <c r="E299" s="79"/>
    </row>
    <row r="300">
      <c r="E300" s="79"/>
    </row>
    <row r="301">
      <c r="E301" s="79"/>
    </row>
    <row r="302">
      <c r="E302" s="79"/>
    </row>
    <row r="303">
      <c r="E303" s="79"/>
    </row>
    <row r="304">
      <c r="E304" s="79"/>
    </row>
    <row r="305">
      <c r="E305" s="79"/>
    </row>
    <row r="306">
      <c r="E306" s="79"/>
    </row>
    <row r="307">
      <c r="E307" s="79"/>
    </row>
    <row r="308">
      <c r="E308" s="79"/>
    </row>
    <row r="309">
      <c r="E309" s="79"/>
    </row>
    <row r="310">
      <c r="E310" s="79"/>
    </row>
    <row r="311">
      <c r="E311" s="79"/>
    </row>
    <row r="312">
      <c r="E312" s="79"/>
    </row>
    <row r="313">
      <c r="E313" s="79"/>
    </row>
    <row r="314">
      <c r="E314" s="79"/>
    </row>
    <row r="315">
      <c r="E315" s="79"/>
    </row>
    <row r="316">
      <c r="E316" s="79"/>
    </row>
    <row r="317">
      <c r="E317" s="79"/>
    </row>
    <row r="318">
      <c r="E318" s="79"/>
    </row>
    <row r="319">
      <c r="E319" s="79"/>
    </row>
    <row r="320">
      <c r="E320" s="79"/>
    </row>
    <row r="321">
      <c r="E321" s="79"/>
    </row>
    <row r="322">
      <c r="E322" s="79"/>
    </row>
    <row r="323">
      <c r="E323" s="79"/>
    </row>
    <row r="324">
      <c r="E324" s="79"/>
    </row>
    <row r="325">
      <c r="E325" s="79"/>
    </row>
    <row r="326">
      <c r="E326" s="79"/>
    </row>
    <row r="327">
      <c r="E327" s="79"/>
    </row>
    <row r="328">
      <c r="E328" s="79"/>
    </row>
    <row r="329">
      <c r="E329" s="79"/>
    </row>
    <row r="330">
      <c r="E330" s="79"/>
    </row>
    <row r="331">
      <c r="E331" s="79"/>
    </row>
    <row r="332">
      <c r="E332" s="79"/>
    </row>
    <row r="333">
      <c r="E333" s="79"/>
    </row>
    <row r="334">
      <c r="E334" s="79"/>
    </row>
    <row r="335">
      <c r="E335" s="79"/>
    </row>
    <row r="336">
      <c r="E336" s="79"/>
    </row>
    <row r="337">
      <c r="E337" s="79"/>
    </row>
    <row r="338">
      <c r="E338" s="79"/>
    </row>
    <row r="339">
      <c r="E339" s="79"/>
    </row>
    <row r="340">
      <c r="E340" s="79"/>
    </row>
    <row r="341">
      <c r="E341" s="79"/>
    </row>
    <row r="342">
      <c r="E342" s="79"/>
    </row>
    <row r="343">
      <c r="E343" s="79"/>
    </row>
    <row r="344">
      <c r="E344" s="79"/>
    </row>
    <row r="345">
      <c r="E345" s="79"/>
    </row>
    <row r="346">
      <c r="E346" s="79"/>
    </row>
    <row r="347">
      <c r="E347" s="79"/>
    </row>
    <row r="348">
      <c r="E348" s="79"/>
    </row>
    <row r="349">
      <c r="E349" s="79"/>
    </row>
    <row r="350">
      <c r="E350" s="79"/>
    </row>
    <row r="351">
      <c r="E351" s="79"/>
    </row>
    <row r="352">
      <c r="E352" s="79"/>
    </row>
    <row r="353">
      <c r="E353" s="79"/>
    </row>
    <row r="354">
      <c r="E354" s="79"/>
    </row>
    <row r="355">
      <c r="E355" s="79"/>
    </row>
    <row r="356">
      <c r="E356" s="79"/>
    </row>
    <row r="357">
      <c r="E357" s="79"/>
    </row>
    <row r="358">
      <c r="E358" s="79"/>
    </row>
    <row r="359">
      <c r="E359" s="79"/>
    </row>
    <row r="360">
      <c r="E360" s="79"/>
    </row>
    <row r="361">
      <c r="E361" s="79"/>
    </row>
    <row r="362">
      <c r="E362" s="79"/>
    </row>
    <row r="363">
      <c r="E363" s="79"/>
    </row>
    <row r="364">
      <c r="E364" s="79"/>
    </row>
    <row r="365">
      <c r="E365" s="79"/>
    </row>
    <row r="366">
      <c r="E366" s="79"/>
    </row>
    <row r="367">
      <c r="E367" s="79"/>
    </row>
    <row r="368">
      <c r="E368" s="79"/>
    </row>
    <row r="369">
      <c r="E369" s="79"/>
    </row>
    <row r="370">
      <c r="E370" s="79"/>
    </row>
    <row r="371">
      <c r="E371" s="79"/>
    </row>
    <row r="372">
      <c r="E372" s="79"/>
    </row>
    <row r="373">
      <c r="E373" s="79"/>
    </row>
    <row r="374">
      <c r="E374" s="79"/>
    </row>
    <row r="375">
      <c r="E375" s="79"/>
    </row>
    <row r="376">
      <c r="E376" s="79"/>
    </row>
    <row r="377">
      <c r="E377" s="79"/>
    </row>
    <row r="378">
      <c r="E378" s="79"/>
    </row>
    <row r="379">
      <c r="E379" s="79"/>
    </row>
    <row r="380">
      <c r="E380" s="79"/>
    </row>
    <row r="381">
      <c r="E381" s="79"/>
    </row>
    <row r="382">
      <c r="E382" s="79"/>
    </row>
    <row r="383">
      <c r="E383" s="79"/>
    </row>
    <row r="384">
      <c r="E384" s="79"/>
    </row>
    <row r="385">
      <c r="E385" s="79"/>
    </row>
    <row r="386">
      <c r="E386" s="79"/>
    </row>
    <row r="387">
      <c r="E387" s="79"/>
    </row>
    <row r="388">
      <c r="E388" s="79"/>
    </row>
    <row r="389">
      <c r="E389" s="79"/>
    </row>
    <row r="390">
      <c r="E390" s="79"/>
    </row>
    <row r="391">
      <c r="E391" s="79"/>
    </row>
    <row r="392">
      <c r="E392" s="79"/>
    </row>
    <row r="393">
      <c r="E393" s="79"/>
    </row>
    <row r="394">
      <c r="E394" s="79"/>
    </row>
    <row r="395">
      <c r="E395" s="79"/>
    </row>
    <row r="396">
      <c r="E396" s="79"/>
    </row>
    <row r="397">
      <c r="E397" s="79"/>
    </row>
    <row r="398">
      <c r="E398" s="79"/>
    </row>
    <row r="399">
      <c r="E399" s="79"/>
    </row>
    <row r="400">
      <c r="E400" s="79"/>
    </row>
    <row r="401">
      <c r="E401" s="79"/>
    </row>
    <row r="402">
      <c r="E402" s="79"/>
    </row>
    <row r="403">
      <c r="E403" s="79"/>
    </row>
    <row r="404">
      <c r="E404" s="79"/>
    </row>
    <row r="405">
      <c r="E405" s="79"/>
    </row>
    <row r="406">
      <c r="E406" s="79"/>
    </row>
    <row r="407">
      <c r="E407" s="79"/>
    </row>
    <row r="408">
      <c r="E408" s="79"/>
    </row>
    <row r="409">
      <c r="E409" s="79"/>
    </row>
    <row r="410">
      <c r="E410" s="79"/>
    </row>
    <row r="411">
      <c r="E411" s="79"/>
    </row>
    <row r="412">
      <c r="E412" s="79"/>
    </row>
    <row r="413">
      <c r="E413" s="79"/>
    </row>
    <row r="414">
      <c r="E414" s="79"/>
    </row>
    <row r="415">
      <c r="E415" s="79"/>
    </row>
    <row r="416">
      <c r="E416" s="79"/>
    </row>
    <row r="417">
      <c r="E417" s="79"/>
    </row>
    <row r="418">
      <c r="E418" s="79"/>
    </row>
    <row r="419">
      <c r="E419" s="79"/>
    </row>
    <row r="420">
      <c r="E420" s="79"/>
    </row>
    <row r="421">
      <c r="E421" s="79"/>
    </row>
    <row r="422">
      <c r="E422" s="79"/>
    </row>
    <row r="423">
      <c r="E423" s="79"/>
    </row>
    <row r="424">
      <c r="E424" s="79"/>
    </row>
    <row r="425">
      <c r="E425" s="79"/>
    </row>
    <row r="426">
      <c r="E426" s="79"/>
    </row>
    <row r="427">
      <c r="E427" s="79"/>
    </row>
    <row r="428">
      <c r="E428" s="79"/>
    </row>
    <row r="429">
      <c r="E429" s="79"/>
    </row>
    <row r="430">
      <c r="E430" s="79"/>
    </row>
    <row r="431">
      <c r="E431" s="79"/>
    </row>
    <row r="432">
      <c r="E432" s="79"/>
    </row>
    <row r="433">
      <c r="E433" s="79"/>
    </row>
    <row r="434">
      <c r="E434" s="79"/>
    </row>
    <row r="435">
      <c r="E435" s="79"/>
    </row>
    <row r="436">
      <c r="E436" s="79"/>
    </row>
    <row r="437">
      <c r="E437" s="79"/>
    </row>
    <row r="438">
      <c r="E438" s="79"/>
    </row>
    <row r="439">
      <c r="E439" s="79"/>
    </row>
    <row r="440">
      <c r="E440" s="79"/>
    </row>
    <row r="441">
      <c r="E441" s="79"/>
    </row>
    <row r="442">
      <c r="E442" s="79"/>
    </row>
    <row r="443">
      <c r="E443" s="79"/>
    </row>
    <row r="444">
      <c r="E444" s="79"/>
    </row>
    <row r="445">
      <c r="E445" s="79"/>
    </row>
    <row r="446">
      <c r="E446" s="79"/>
    </row>
    <row r="447">
      <c r="E447" s="79"/>
    </row>
    <row r="448">
      <c r="E448" s="79"/>
    </row>
    <row r="449">
      <c r="E449" s="79"/>
    </row>
    <row r="450">
      <c r="E450" s="79"/>
    </row>
    <row r="451">
      <c r="E451" s="79"/>
    </row>
    <row r="452">
      <c r="E452" s="79"/>
    </row>
    <row r="453">
      <c r="E453" s="79"/>
    </row>
    <row r="454">
      <c r="E454" s="79"/>
    </row>
    <row r="455">
      <c r="E455" s="79"/>
    </row>
    <row r="456">
      <c r="E456" s="79"/>
    </row>
    <row r="457">
      <c r="E457" s="79"/>
    </row>
    <row r="458">
      <c r="E458" s="79"/>
    </row>
    <row r="459">
      <c r="E459" s="79"/>
    </row>
    <row r="460">
      <c r="E460" s="79"/>
    </row>
    <row r="461">
      <c r="E461" s="79"/>
    </row>
    <row r="462">
      <c r="E462" s="79"/>
    </row>
    <row r="463">
      <c r="E463" s="79"/>
    </row>
    <row r="464">
      <c r="E464" s="79"/>
    </row>
    <row r="465">
      <c r="E465" s="79"/>
    </row>
    <row r="466">
      <c r="E466" s="79"/>
    </row>
    <row r="467">
      <c r="E467" s="79"/>
    </row>
    <row r="468">
      <c r="E468" s="79"/>
    </row>
    <row r="469">
      <c r="E469" s="79"/>
    </row>
    <row r="470">
      <c r="E470" s="79"/>
    </row>
    <row r="471">
      <c r="E471" s="79"/>
    </row>
    <row r="472">
      <c r="E472" s="79"/>
    </row>
    <row r="473">
      <c r="E473" s="79"/>
    </row>
    <row r="474">
      <c r="E474" s="79"/>
    </row>
    <row r="475">
      <c r="E475" s="79"/>
    </row>
    <row r="476">
      <c r="E476" s="79"/>
    </row>
    <row r="477">
      <c r="E477" s="79"/>
    </row>
    <row r="478">
      <c r="E478" s="79"/>
    </row>
    <row r="479">
      <c r="E479" s="79"/>
    </row>
    <row r="480">
      <c r="E480" s="79"/>
    </row>
    <row r="481">
      <c r="E481" s="79"/>
    </row>
    <row r="482">
      <c r="E482" s="79"/>
    </row>
    <row r="483">
      <c r="E483" s="79"/>
    </row>
    <row r="484">
      <c r="E484" s="79"/>
    </row>
    <row r="485">
      <c r="E485" s="79"/>
    </row>
    <row r="486">
      <c r="E486" s="79"/>
    </row>
    <row r="487">
      <c r="E487" s="79"/>
    </row>
    <row r="488">
      <c r="E488" s="79"/>
    </row>
    <row r="489">
      <c r="E489" s="79"/>
    </row>
    <row r="490">
      <c r="E490" s="79"/>
    </row>
    <row r="491">
      <c r="E491" s="79"/>
    </row>
    <row r="492">
      <c r="E492" s="79"/>
    </row>
    <row r="493">
      <c r="E493" s="79"/>
    </row>
    <row r="494">
      <c r="E494" s="79"/>
    </row>
    <row r="495">
      <c r="E495" s="79"/>
    </row>
    <row r="496">
      <c r="E496" s="79"/>
    </row>
    <row r="497">
      <c r="E497" s="79"/>
    </row>
    <row r="498">
      <c r="E498" s="79"/>
    </row>
    <row r="499">
      <c r="E499" s="79"/>
    </row>
    <row r="500">
      <c r="E500" s="79"/>
    </row>
    <row r="501">
      <c r="E501" s="79"/>
    </row>
    <row r="502">
      <c r="E502" s="79"/>
    </row>
    <row r="503">
      <c r="E503" s="79"/>
    </row>
    <row r="504">
      <c r="E504" s="79"/>
    </row>
    <row r="505">
      <c r="E505" s="79"/>
    </row>
    <row r="506">
      <c r="E506" s="79"/>
    </row>
    <row r="507">
      <c r="E507" s="79"/>
    </row>
    <row r="508">
      <c r="E508" s="79"/>
    </row>
    <row r="509">
      <c r="E509" s="79"/>
    </row>
    <row r="510">
      <c r="E510" s="79"/>
    </row>
    <row r="511">
      <c r="E511" s="79"/>
    </row>
    <row r="512">
      <c r="E512" s="79"/>
    </row>
    <row r="513">
      <c r="E513" s="79"/>
    </row>
    <row r="514">
      <c r="E514" s="79"/>
    </row>
    <row r="515">
      <c r="E515" s="79"/>
    </row>
    <row r="516">
      <c r="E516" s="79"/>
    </row>
    <row r="517">
      <c r="E517" s="79"/>
    </row>
    <row r="518">
      <c r="E518" s="79"/>
    </row>
    <row r="519">
      <c r="E519" s="79"/>
    </row>
    <row r="520">
      <c r="E520" s="79"/>
    </row>
    <row r="521">
      <c r="E521" s="79"/>
    </row>
    <row r="522">
      <c r="E522" s="79"/>
    </row>
    <row r="523">
      <c r="E523" s="79"/>
    </row>
    <row r="524">
      <c r="E524" s="79"/>
    </row>
    <row r="525">
      <c r="E525" s="79"/>
    </row>
    <row r="526">
      <c r="E526" s="79"/>
    </row>
    <row r="527">
      <c r="E527" s="79"/>
    </row>
    <row r="528">
      <c r="E528" s="79"/>
    </row>
    <row r="529">
      <c r="E529" s="79"/>
    </row>
    <row r="530">
      <c r="E530" s="79"/>
    </row>
    <row r="531">
      <c r="E531" s="79"/>
    </row>
    <row r="532">
      <c r="E532" s="79"/>
    </row>
    <row r="533">
      <c r="E533" s="79"/>
    </row>
    <row r="534">
      <c r="E534" s="79"/>
    </row>
    <row r="535">
      <c r="E535" s="79"/>
    </row>
    <row r="536">
      <c r="E536" s="79"/>
    </row>
    <row r="537">
      <c r="E537" s="79"/>
    </row>
    <row r="538">
      <c r="E538" s="79"/>
    </row>
    <row r="539">
      <c r="E539" s="79"/>
    </row>
    <row r="540">
      <c r="E540" s="79"/>
    </row>
    <row r="541">
      <c r="E541" s="79"/>
    </row>
    <row r="542">
      <c r="E542" s="79"/>
    </row>
    <row r="543">
      <c r="E543" s="79"/>
    </row>
    <row r="544">
      <c r="E544" s="79"/>
    </row>
    <row r="545">
      <c r="E545" s="79"/>
    </row>
    <row r="546">
      <c r="E546" s="79"/>
    </row>
    <row r="547">
      <c r="E547" s="79"/>
    </row>
    <row r="548">
      <c r="E548" s="79"/>
    </row>
    <row r="549">
      <c r="E549" s="79"/>
    </row>
    <row r="550">
      <c r="E550" s="79"/>
    </row>
    <row r="551">
      <c r="E551" s="79"/>
    </row>
    <row r="552">
      <c r="E552" s="79"/>
    </row>
    <row r="553">
      <c r="E553" s="79"/>
    </row>
    <row r="554">
      <c r="E554" s="79"/>
    </row>
    <row r="555">
      <c r="E555" s="79"/>
    </row>
    <row r="556">
      <c r="E556" s="79"/>
    </row>
    <row r="557">
      <c r="E557" s="79"/>
    </row>
    <row r="558">
      <c r="E558" s="79"/>
    </row>
    <row r="559">
      <c r="E559" s="79"/>
    </row>
    <row r="560">
      <c r="E560" s="79"/>
    </row>
    <row r="561">
      <c r="E561" s="79"/>
    </row>
    <row r="562">
      <c r="E562" s="79"/>
    </row>
    <row r="563">
      <c r="E563" s="79"/>
    </row>
    <row r="564">
      <c r="E564" s="79"/>
    </row>
    <row r="565">
      <c r="E565" s="79"/>
    </row>
    <row r="566">
      <c r="E566" s="79"/>
    </row>
    <row r="567">
      <c r="E567" s="79"/>
    </row>
    <row r="568">
      <c r="E568" s="79"/>
    </row>
    <row r="569">
      <c r="E569" s="79"/>
    </row>
    <row r="570">
      <c r="E570" s="79"/>
    </row>
    <row r="571">
      <c r="E571" s="79"/>
    </row>
    <row r="572">
      <c r="E572" s="79"/>
    </row>
    <row r="573">
      <c r="E573" s="79"/>
    </row>
    <row r="574">
      <c r="E574" s="79"/>
    </row>
    <row r="575">
      <c r="E575" s="79"/>
    </row>
    <row r="576">
      <c r="E576" s="79"/>
    </row>
    <row r="577">
      <c r="E577" s="79"/>
    </row>
    <row r="578">
      <c r="E578" s="79"/>
    </row>
    <row r="579">
      <c r="E579" s="79"/>
    </row>
    <row r="580">
      <c r="E580" s="79"/>
    </row>
    <row r="581">
      <c r="E581" s="79"/>
    </row>
    <row r="582">
      <c r="E582" s="79"/>
    </row>
    <row r="583">
      <c r="E583" s="79"/>
    </row>
    <row r="584">
      <c r="E584" s="79"/>
    </row>
    <row r="585">
      <c r="E585" s="79"/>
    </row>
    <row r="586">
      <c r="E586" s="79"/>
    </row>
    <row r="587">
      <c r="E587" s="79"/>
    </row>
    <row r="588">
      <c r="E588" s="79"/>
    </row>
    <row r="589">
      <c r="E589" s="79"/>
    </row>
    <row r="590">
      <c r="E590" s="79"/>
    </row>
    <row r="591">
      <c r="E591" s="79"/>
    </row>
    <row r="592">
      <c r="E592" s="79"/>
    </row>
    <row r="593">
      <c r="E593" s="79"/>
    </row>
    <row r="594">
      <c r="E594" s="79"/>
    </row>
    <row r="595">
      <c r="E595" s="79"/>
    </row>
    <row r="596">
      <c r="E596" s="79"/>
    </row>
    <row r="597">
      <c r="E597" s="79"/>
    </row>
    <row r="598">
      <c r="E598" s="79"/>
    </row>
    <row r="599">
      <c r="E599" s="79"/>
    </row>
    <row r="600">
      <c r="E600" s="79"/>
    </row>
    <row r="601">
      <c r="E601" s="79"/>
    </row>
    <row r="602">
      <c r="E602" s="79"/>
    </row>
    <row r="603">
      <c r="E603" s="79"/>
    </row>
    <row r="604">
      <c r="E604" s="79"/>
    </row>
    <row r="605">
      <c r="E605" s="79"/>
    </row>
    <row r="606">
      <c r="E606" s="79"/>
    </row>
    <row r="607">
      <c r="E607" s="79"/>
    </row>
    <row r="608">
      <c r="E608" s="79"/>
    </row>
    <row r="609">
      <c r="E609" s="79"/>
    </row>
    <row r="610">
      <c r="E610" s="79"/>
    </row>
    <row r="611">
      <c r="E611" s="79"/>
    </row>
    <row r="612">
      <c r="E612" s="79"/>
    </row>
    <row r="613">
      <c r="E613" s="79"/>
    </row>
    <row r="614">
      <c r="E614" s="79"/>
    </row>
    <row r="615">
      <c r="E615" s="79"/>
    </row>
    <row r="616">
      <c r="E616" s="79"/>
    </row>
    <row r="617">
      <c r="E617" s="79"/>
    </row>
    <row r="618">
      <c r="E618" s="79"/>
    </row>
    <row r="619">
      <c r="E619" s="79"/>
    </row>
    <row r="620">
      <c r="E620" s="79"/>
    </row>
    <row r="621">
      <c r="E621" s="79"/>
    </row>
    <row r="622">
      <c r="E622" s="79"/>
    </row>
    <row r="623">
      <c r="E623" s="79"/>
    </row>
    <row r="624">
      <c r="E624" s="79"/>
    </row>
    <row r="625">
      <c r="E625" s="79"/>
    </row>
    <row r="626">
      <c r="E626" s="79"/>
    </row>
    <row r="627">
      <c r="E627" s="79"/>
    </row>
    <row r="628">
      <c r="E628" s="79"/>
    </row>
    <row r="629">
      <c r="E629" s="79"/>
    </row>
    <row r="630">
      <c r="E630" s="79"/>
    </row>
    <row r="631">
      <c r="E631" s="79"/>
    </row>
    <row r="632">
      <c r="E632" s="79"/>
    </row>
    <row r="633">
      <c r="E633" s="79"/>
    </row>
    <row r="634">
      <c r="E634" s="79"/>
    </row>
    <row r="635">
      <c r="E635" s="79"/>
    </row>
    <row r="636">
      <c r="E636" s="79"/>
    </row>
    <row r="637">
      <c r="E637" s="79"/>
    </row>
    <row r="638">
      <c r="E638" s="79"/>
    </row>
    <row r="639">
      <c r="E639" s="79"/>
    </row>
    <row r="640">
      <c r="E640" s="79"/>
    </row>
    <row r="641">
      <c r="E641" s="79"/>
    </row>
    <row r="642">
      <c r="E642" s="79"/>
    </row>
    <row r="643">
      <c r="E643" s="79"/>
    </row>
    <row r="644">
      <c r="E644" s="79"/>
    </row>
    <row r="645">
      <c r="E645" s="79"/>
    </row>
    <row r="646">
      <c r="E646" s="79"/>
    </row>
    <row r="647">
      <c r="E647" s="79"/>
    </row>
    <row r="648">
      <c r="E648" s="79"/>
    </row>
    <row r="649">
      <c r="E649" s="79"/>
    </row>
    <row r="650">
      <c r="E650" s="79"/>
    </row>
    <row r="651">
      <c r="E651" s="79"/>
    </row>
    <row r="652">
      <c r="E652" s="79"/>
    </row>
    <row r="653">
      <c r="E653" s="79"/>
    </row>
    <row r="654">
      <c r="E654" s="79"/>
    </row>
    <row r="655">
      <c r="E655" s="79"/>
    </row>
    <row r="656">
      <c r="E656" s="79"/>
    </row>
    <row r="657">
      <c r="E657" s="79"/>
    </row>
    <row r="658">
      <c r="E658" s="79"/>
    </row>
    <row r="659">
      <c r="E659" s="79"/>
    </row>
    <row r="660">
      <c r="E660" s="79"/>
    </row>
    <row r="661">
      <c r="E661" s="79"/>
    </row>
    <row r="662">
      <c r="E662" s="79"/>
    </row>
    <row r="663">
      <c r="E663" s="79"/>
    </row>
    <row r="664">
      <c r="E664" s="79"/>
    </row>
    <row r="665">
      <c r="E665" s="79"/>
    </row>
    <row r="666">
      <c r="E666" s="79"/>
    </row>
    <row r="667">
      <c r="E667" s="79"/>
    </row>
    <row r="668">
      <c r="E668" s="79"/>
    </row>
    <row r="669">
      <c r="E669" s="79"/>
    </row>
    <row r="670">
      <c r="E670" s="79"/>
    </row>
    <row r="671">
      <c r="E671" s="79"/>
    </row>
    <row r="672">
      <c r="E672" s="79"/>
    </row>
    <row r="673">
      <c r="E673" s="79"/>
    </row>
    <row r="674">
      <c r="E674" s="79"/>
    </row>
    <row r="675">
      <c r="E675" s="79"/>
    </row>
    <row r="676">
      <c r="E676" s="79"/>
    </row>
    <row r="677">
      <c r="E677" s="79"/>
    </row>
    <row r="678">
      <c r="E678" s="79"/>
    </row>
    <row r="679">
      <c r="E679" s="79"/>
    </row>
    <row r="680">
      <c r="E680" s="79"/>
    </row>
    <row r="681">
      <c r="E681" s="79"/>
    </row>
    <row r="682">
      <c r="E682" s="79"/>
    </row>
    <row r="683">
      <c r="E683" s="79"/>
    </row>
    <row r="684">
      <c r="E684" s="79"/>
    </row>
    <row r="685">
      <c r="E685" s="79"/>
    </row>
    <row r="686">
      <c r="E686" s="79"/>
    </row>
    <row r="687">
      <c r="E687" s="79"/>
    </row>
    <row r="688">
      <c r="E688" s="79"/>
    </row>
    <row r="689">
      <c r="E689" s="79"/>
    </row>
    <row r="690">
      <c r="E690" s="79"/>
    </row>
    <row r="691">
      <c r="E691" s="79"/>
    </row>
    <row r="692">
      <c r="E692" s="79"/>
    </row>
    <row r="693">
      <c r="E693" s="79"/>
    </row>
    <row r="694">
      <c r="E694" s="79"/>
    </row>
    <row r="695">
      <c r="E695" s="79"/>
    </row>
    <row r="696">
      <c r="E696" s="79"/>
    </row>
    <row r="697">
      <c r="E697" s="79"/>
    </row>
    <row r="698">
      <c r="E698" s="79"/>
    </row>
    <row r="699">
      <c r="E699" s="79"/>
    </row>
    <row r="700">
      <c r="E700" s="79"/>
    </row>
    <row r="701">
      <c r="E701" s="79"/>
    </row>
    <row r="702">
      <c r="E702" s="79"/>
    </row>
    <row r="703">
      <c r="E703" s="79"/>
    </row>
    <row r="704">
      <c r="E704" s="79"/>
    </row>
    <row r="705">
      <c r="E705" s="79"/>
    </row>
    <row r="706">
      <c r="E706" s="79"/>
    </row>
    <row r="707">
      <c r="E707" s="79"/>
    </row>
    <row r="708">
      <c r="E708" s="79"/>
    </row>
    <row r="709">
      <c r="E709" s="79"/>
    </row>
    <row r="710">
      <c r="E710" s="79"/>
    </row>
    <row r="711">
      <c r="E711" s="79"/>
    </row>
    <row r="712">
      <c r="E712" s="79"/>
    </row>
    <row r="713">
      <c r="E713" s="79"/>
    </row>
    <row r="714">
      <c r="E714" s="79"/>
    </row>
    <row r="715">
      <c r="E715" s="79"/>
    </row>
    <row r="716">
      <c r="E716" s="79"/>
    </row>
    <row r="717">
      <c r="E717" s="79"/>
    </row>
    <row r="718">
      <c r="E718" s="79"/>
    </row>
    <row r="719">
      <c r="E719" s="79"/>
    </row>
    <row r="720">
      <c r="E720" s="79"/>
    </row>
    <row r="721">
      <c r="E721" s="79"/>
    </row>
    <row r="722">
      <c r="E722" s="79"/>
    </row>
    <row r="723">
      <c r="E723" s="79"/>
    </row>
    <row r="724">
      <c r="E724" s="79"/>
    </row>
    <row r="725">
      <c r="E725" s="79"/>
    </row>
    <row r="726">
      <c r="E726" s="79"/>
    </row>
    <row r="727">
      <c r="E727" s="79"/>
    </row>
    <row r="728">
      <c r="E728" s="79"/>
    </row>
    <row r="729">
      <c r="E729" s="79"/>
    </row>
    <row r="730">
      <c r="E730" s="79"/>
    </row>
    <row r="731">
      <c r="E731" s="79"/>
    </row>
    <row r="732">
      <c r="E732" s="79"/>
    </row>
    <row r="733">
      <c r="E733" s="79"/>
    </row>
    <row r="734">
      <c r="E734" s="79"/>
    </row>
    <row r="735">
      <c r="E735" s="79"/>
    </row>
    <row r="736">
      <c r="E736" s="79"/>
    </row>
    <row r="737">
      <c r="E737" s="79"/>
    </row>
    <row r="738">
      <c r="E738" s="79"/>
    </row>
    <row r="739">
      <c r="E739" s="79"/>
    </row>
    <row r="740">
      <c r="E740" s="79"/>
    </row>
    <row r="741">
      <c r="E741" s="79"/>
    </row>
    <row r="742">
      <c r="E742" s="79"/>
    </row>
    <row r="743">
      <c r="E743" s="79"/>
    </row>
    <row r="744">
      <c r="E744" s="79"/>
    </row>
    <row r="745">
      <c r="E745" s="79"/>
    </row>
    <row r="746">
      <c r="E746" s="79"/>
    </row>
    <row r="747">
      <c r="E747" s="79"/>
    </row>
    <row r="748">
      <c r="E748" s="79"/>
    </row>
    <row r="749">
      <c r="E749" s="79"/>
    </row>
    <row r="750">
      <c r="E750" s="79"/>
    </row>
    <row r="751">
      <c r="E751" s="79"/>
    </row>
    <row r="752">
      <c r="E752" s="79"/>
    </row>
    <row r="753">
      <c r="E753" s="79"/>
    </row>
    <row r="754">
      <c r="E754" s="79"/>
    </row>
    <row r="755">
      <c r="E755" s="79"/>
    </row>
    <row r="756">
      <c r="E756" s="79"/>
    </row>
    <row r="757">
      <c r="E757" s="79"/>
    </row>
    <row r="758">
      <c r="E758" s="79"/>
    </row>
    <row r="759">
      <c r="E759" s="79"/>
    </row>
    <row r="760">
      <c r="E760" s="79"/>
    </row>
    <row r="761">
      <c r="E761" s="79"/>
    </row>
    <row r="762">
      <c r="E762" s="79"/>
    </row>
    <row r="763">
      <c r="E763" s="79"/>
    </row>
    <row r="764">
      <c r="E764" s="79"/>
    </row>
    <row r="765">
      <c r="E765" s="79"/>
    </row>
    <row r="766">
      <c r="E766" s="79"/>
    </row>
    <row r="767">
      <c r="E767" s="79"/>
    </row>
    <row r="768">
      <c r="E768" s="79"/>
    </row>
    <row r="769">
      <c r="E769" s="79"/>
    </row>
    <row r="770">
      <c r="E770" s="79"/>
    </row>
    <row r="771">
      <c r="E771" s="79"/>
    </row>
    <row r="772">
      <c r="E772" s="79"/>
    </row>
    <row r="773">
      <c r="E773" s="79"/>
    </row>
    <row r="774">
      <c r="E774" s="79"/>
    </row>
    <row r="775">
      <c r="E775" s="79"/>
    </row>
    <row r="776">
      <c r="E776" s="79"/>
    </row>
    <row r="777">
      <c r="E777" s="79"/>
    </row>
    <row r="778">
      <c r="E778" s="79"/>
    </row>
    <row r="779">
      <c r="E779" s="79"/>
    </row>
    <row r="780">
      <c r="E780" s="79"/>
    </row>
    <row r="781">
      <c r="E781" s="79"/>
    </row>
    <row r="782">
      <c r="E782" s="79"/>
    </row>
    <row r="783">
      <c r="E783" s="79"/>
    </row>
    <row r="784">
      <c r="E784" s="79"/>
    </row>
    <row r="785">
      <c r="E785" s="79"/>
    </row>
    <row r="786">
      <c r="E786" s="79"/>
    </row>
    <row r="787">
      <c r="E787" s="79"/>
    </row>
    <row r="788">
      <c r="E788" s="79"/>
    </row>
    <row r="789">
      <c r="E789" s="79"/>
    </row>
    <row r="790">
      <c r="E790" s="79"/>
    </row>
    <row r="791">
      <c r="E791" s="79"/>
    </row>
    <row r="792">
      <c r="E792" s="79"/>
    </row>
    <row r="793">
      <c r="E793" s="79"/>
    </row>
    <row r="794">
      <c r="E794" s="79"/>
    </row>
    <row r="795">
      <c r="E795" s="79"/>
    </row>
    <row r="796">
      <c r="E796" s="79"/>
    </row>
    <row r="797">
      <c r="E797" s="79"/>
    </row>
    <row r="798">
      <c r="E798" s="79"/>
    </row>
    <row r="799">
      <c r="E799" s="79"/>
    </row>
    <row r="800">
      <c r="E800" s="79"/>
    </row>
    <row r="801">
      <c r="E801" s="79"/>
    </row>
    <row r="802">
      <c r="E802" s="79"/>
    </row>
    <row r="803">
      <c r="E803" s="79"/>
    </row>
    <row r="804">
      <c r="E804" s="79"/>
    </row>
    <row r="805">
      <c r="E805" s="79"/>
    </row>
    <row r="806">
      <c r="E806" s="79"/>
    </row>
    <row r="807">
      <c r="E807" s="79"/>
    </row>
    <row r="808">
      <c r="E808" s="79"/>
    </row>
    <row r="809">
      <c r="E809" s="79"/>
    </row>
    <row r="810">
      <c r="E810" s="79"/>
    </row>
    <row r="811">
      <c r="E811" s="79"/>
    </row>
    <row r="812">
      <c r="E812" s="79"/>
    </row>
    <row r="813">
      <c r="E813" s="79"/>
    </row>
    <row r="814">
      <c r="E814" s="79"/>
    </row>
    <row r="815">
      <c r="E815" s="79"/>
    </row>
    <row r="816">
      <c r="E816" s="79"/>
    </row>
    <row r="817">
      <c r="E817" s="79"/>
    </row>
    <row r="818">
      <c r="E818" s="79"/>
    </row>
    <row r="819">
      <c r="E819" s="79"/>
    </row>
    <row r="820">
      <c r="E820" s="79"/>
    </row>
    <row r="821">
      <c r="E821" s="79"/>
    </row>
    <row r="822">
      <c r="E822" s="79"/>
    </row>
    <row r="823">
      <c r="E823" s="79"/>
    </row>
    <row r="824">
      <c r="E824" s="79"/>
    </row>
    <row r="825">
      <c r="E825" s="79"/>
    </row>
    <row r="826">
      <c r="E826" s="79"/>
    </row>
    <row r="827">
      <c r="E827" s="79"/>
    </row>
    <row r="828">
      <c r="E828" s="79"/>
    </row>
    <row r="829">
      <c r="E829" s="79"/>
    </row>
    <row r="830">
      <c r="E830" s="79"/>
    </row>
    <row r="831">
      <c r="E831" s="79"/>
    </row>
    <row r="832">
      <c r="E832" s="79"/>
    </row>
    <row r="833">
      <c r="E833" s="79"/>
    </row>
    <row r="834">
      <c r="E834" s="79"/>
    </row>
    <row r="835">
      <c r="E835" s="79"/>
    </row>
    <row r="836">
      <c r="E836" s="79"/>
    </row>
    <row r="837">
      <c r="E837" s="79"/>
    </row>
    <row r="838">
      <c r="E838" s="79"/>
    </row>
    <row r="839">
      <c r="E839" s="79"/>
    </row>
    <row r="840">
      <c r="E840" s="79"/>
    </row>
    <row r="841">
      <c r="E841" s="79"/>
    </row>
    <row r="842">
      <c r="E842" s="79"/>
    </row>
    <row r="843">
      <c r="E843" s="79"/>
    </row>
    <row r="844">
      <c r="E844" s="79"/>
    </row>
    <row r="845">
      <c r="E845" s="79"/>
    </row>
    <row r="846">
      <c r="E846" s="79"/>
    </row>
    <row r="847">
      <c r="E847" s="79"/>
    </row>
    <row r="848">
      <c r="E848" s="79"/>
    </row>
    <row r="849">
      <c r="E849" s="79"/>
    </row>
    <row r="850">
      <c r="E850" s="79"/>
    </row>
    <row r="851">
      <c r="E851" s="79"/>
    </row>
    <row r="852">
      <c r="E852" s="79"/>
    </row>
    <row r="853">
      <c r="E853" s="79"/>
    </row>
    <row r="854">
      <c r="E854" s="79"/>
    </row>
    <row r="855">
      <c r="E855" s="79"/>
    </row>
    <row r="856">
      <c r="E856" s="79"/>
    </row>
    <row r="857">
      <c r="E857" s="79"/>
    </row>
    <row r="858">
      <c r="E858" s="79"/>
    </row>
    <row r="859">
      <c r="E859" s="79"/>
    </row>
    <row r="860">
      <c r="E860" s="79"/>
    </row>
    <row r="861">
      <c r="E861" s="79"/>
    </row>
    <row r="862">
      <c r="E862" s="79"/>
    </row>
    <row r="863">
      <c r="E863" s="79"/>
    </row>
    <row r="864">
      <c r="E864" s="79"/>
    </row>
    <row r="865">
      <c r="E865" s="79"/>
    </row>
    <row r="866">
      <c r="E866" s="79"/>
    </row>
    <row r="867">
      <c r="E867" s="79"/>
    </row>
    <row r="868">
      <c r="E868" s="79"/>
    </row>
    <row r="869">
      <c r="E869" s="79"/>
    </row>
    <row r="870">
      <c r="E870" s="79"/>
    </row>
    <row r="871">
      <c r="E871" s="79"/>
    </row>
    <row r="872">
      <c r="E872" s="79"/>
    </row>
    <row r="873">
      <c r="E873" s="79"/>
    </row>
    <row r="874">
      <c r="E874" s="79"/>
    </row>
    <row r="875">
      <c r="E875" s="79"/>
    </row>
    <row r="876">
      <c r="E876" s="79"/>
    </row>
    <row r="877">
      <c r="E877" s="79"/>
    </row>
    <row r="878">
      <c r="E878" s="79"/>
    </row>
    <row r="879">
      <c r="E879" s="79"/>
    </row>
    <row r="880">
      <c r="E880" s="79"/>
    </row>
    <row r="881">
      <c r="E881" s="79"/>
    </row>
    <row r="882">
      <c r="E882" s="79"/>
    </row>
    <row r="883">
      <c r="E883" s="79"/>
    </row>
    <row r="884">
      <c r="E884" s="79"/>
    </row>
    <row r="885">
      <c r="E885" s="79"/>
    </row>
    <row r="886">
      <c r="E886" s="79"/>
    </row>
    <row r="887">
      <c r="E887" s="79"/>
    </row>
    <row r="888">
      <c r="E888" s="79"/>
    </row>
    <row r="889">
      <c r="E889" s="79"/>
    </row>
    <row r="890">
      <c r="E890" s="79"/>
    </row>
    <row r="891">
      <c r="E891" s="79"/>
    </row>
    <row r="892">
      <c r="E892" s="79"/>
    </row>
    <row r="893">
      <c r="E893" s="79"/>
    </row>
    <row r="894">
      <c r="E894" s="79"/>
    </row>
    <row r="895">
      <c r="E895" s="79"/>
    </row>
    <row r="896">
      <c r="E896" s="79"/>
    </row>
    <row r="897">
      <c r="E897" s="79"/>
    </row>
    <row r="898">
      <c r="E898" s="79"/>
    </row>
    <row r="899">
      <c r="E899" s="79"/>
    </row>
    <row r="900">
      <c r="E900" s="79"/>
    </row>
    <row r="901">
      <c r="E901" s="79"/>
    </row>
    <row r="902">
      <c r="E902" s="79"/>
    </row>
    <row r="903">
      <c r="E903" s="79"/>
    </row>
    <row r="904">
      <c r="E904" s="79"/>
    </row>
    <row r="905">
      <c r="E905" s="79"/>
    </row>
    <row r="906">
      <c r="E906" s="79"/>
    </row>
    <row r="907">
      <c r="E907" s="79"/>
    </row>
    <row r="908">
      <c r="E908" s="79"/>
    </row>
    <row r="909">
      <c r="E909" s="79"/>
    </row>
    <row r="910">
      <c r="E910" s="79"/>
    </row>
    <row r="911">
      <c r="E911" s="79"/>
    </row>
    <row r="912">
      <c r="E912" s="79"/>
    </row>
    <row r="913">
      <c r="E913" s="79"/>
    </row>
    <row r="914">
      <c r="E914" s="79"/>
    </row>
    <row r="915">
      <c r="E915" s="79"/>
    </row>
    <row r="916">
      <c r="E916" s="79"/>
    </row>
    <row r="917">
      <c r="E917" s="79"/>
    </row>
    <row r="918">
      <c r="E918" s="79"/>
    </row>
    <row r="919">
      <c r="E919" s="79"/>
    </row>
    <row r="920">
      <c r="E920" s="79"/>
    </row>
    <row r="921">
      <c r="E921" s="79"/>
    </row>
    <row r="922">
      <c r="E922" s="79"/>
    </row>
    <row r="923">
      <c r="E923" s="79"/>
    </row>
    <row r="924">
      <c r="E924" s="79"/>
    </row>
    <row r="925">
      <c r="E925" s="79"/>
    </row>
    <row r="926">
      <c r="E926" s="79"/>
    </row>
    <row r="927">
      <c r="E927" s="79"/>
    </row>
    <row r="928">
      <c r="E928" s="79"/>
    </row>
    <row r="929">
      <c r="E929" s="79"/>
    </row>
    <row r="930">
      <c r="E930" s="79"/>
    </row>
    <row r="931">
      <c r="E931" s="79"/>
    </row>
    <row r="932">
      <c r="E932" s="79"/>
    </row>
    <row r="933">
      <c r="E933" s="79"/>
    </row>
    <row r="934">
      <c r="E934" s="79"/>
    </row>
    <row r="935">
      <c r="E935" s="79"/>
    </row>
    <row r="936">
      <c r="E936" s="79"/>
    </row>
    <row r="937">
      <c r="E937" s="79"/>
    </row>
    <row r="938">
      <c r="E938" s="79"/>
    </row>
    <row r="939">
      <c r="E939" s="79"/>
    </row>
    <row r="940">
      <c r="E940" s="79"/>
    </row>
    <row r="941">
      <c r="E941" s="79"/>
    </row>
    <row r="942">
      <c r="E942" s="79"/>
    </row>
    <row r="943">
      <c r="E943" s="79"/>
    </row>
    <row r="944">
      <c r="E944" s="79"/>
    </row>
    <row r="945">
      <c r="E945" s="79"/>
    </row>
    <row r="946">
      <c r="E946" s="79"/>
    </row>
    <row r="947">
      <c r="E947" s="79"/>
    </row>
    <row r="948">
      <c r="E948" s="79"/>
    </row>
    <row r="949">
      <c r="E949" s="79"/>
    </row>
    <row r="950">
      <c r="E950" s="79"/>
    </row>
    <row r="951">
      <c r="E951" s="79"/>
    </row>
    <row r="952">
      <c r="E952" s="79"/>
    </row>
    <row r="953">
      <c r="E953" s="79"/>
    </row>
    <row r="954">
      <c r="E954" s="79"/>
    </row>
    <row r="955">
      <c r="E955" s="79"/>
    </row>
    <row r="956">
      <c r="E956" s="79"/>
    </row>
    <row r="957">
      <c r="E957" s="79"/>
    </row>
    <row r="958">
      <c r="E958" s="79"/>
    </row>
    <row r="959">
      <c r="E959" s="79"/>
    </row>
    <row r="960">
      <c r="E960" s="79"/>
    </row>
    <row r="961">
      <c r="E961" s="79"/>
    </row>
    <row r="962">
      <c r="E962" s="79"/>
    </row>
    <row r="963">
      <c r="E963" s="79"/>
    </row>
    <row r="964">
      <c r="E964" s="79"/>
    </row>
    <row r="965">
      <c r="E965" s="79"/>
    </row>
    <row r="966">
      <c r="E966" s="79"/>
    </row>
    <row r="967">
      <c r="E967" s="79"/>
    </row>
    <row r="968">
      <c r="E968" s="79"/>
    </row>
    <row r="969">
      <c r="E969" s="79"/>
    </row>
    <row r="970">
      <c r="E970" s="79"/>
    </row>
    <row r="971">
      <c r="E971" s="79"/>
    </row>
    <row r="972">
      <c r="E972" s="79"/>
    </row>
    <row r="973">
      <c r="E973" s="79"/>
    </row>
    <row r="974">
      <c r="E974" s="79"/>
    </row>
    <row r="975">
      <c r="E975" s="79"/>
    </row>
    <row r="976">
      <c r="E976" s="79"/>
    </row>
    <row r="977">
      <c r="E977" s="79"/>
    </row>
    <row r="978">
      <c r="E978" s="79"/>
    </row>
    <row r="979">
      <c r="E979" s="79"/>
    </row>
    <row r="980">
      <c r="E980" s="79"/>
    </row>
    <row r="981">
      <c r="E981" s="79"/>
    </row>
    <row r="982">
      <c r="E982" s="79"/>
    </row>
    <row r="983">
      <c r="E983" s="79"/>
    </row>
    <row r="984">
      <c r="E984" s="79"/>
    </row>
    <row r="985">
      <c r="E985" s="79"/>
    </row>
    <row r="986">
      <c r="E986" s="79"/>
    </row>
    <row r="987">
      <c r="E987" s="79"/>
    </row>
    <row r="988">
      <c r="E988" s="79"/>
    </row>
    <row r="989">
      <c r="E989" s="79"/>
    </row>
    <row r="990">
      <c r="E990" s="79"/>
    </row>
    <row r="991">
      <c r="E991" s="79"/>
    </row>
    <row r="992">
      <c r="E992" s="79"/>
    </row>
    <row r="993">
      <c r="E993" s="79"/>
    </row>
    <row r="994">
      <c r="E994" s="79"/>
    </row>
    <row r="995">
      <c r="E995" s="79"/>
    </row>
    <row r="996">
      <c r="E996" s="79"/>
    </row>
    <row r="997">
      <c r="E997" s="79"/>
    </row>
    <row r="998">
      <c r="E998" s="79"/>
    </row>
    <row r="999">
      <c r="E999" s="79"/>
    </row>
    <row r="1000">
      <c r="E1000" s="7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5"/>
    <col customWidth="1" min="3" max="3" width="62.25"/>
    <col customWidth="1" min="4" max="6" width="30.5"/>
    <col customWidth="1" min="7" max="7" width="12.63"/>
    <col customWidth="1" min="8" max="8" width="16.75"/>
    <col customWidth="1" min="10" max="13" width="16.75"/>
    <col customWidth="1" min="14" max="14" width="11.5"/>
    <col customWidth="1" min="21" max="21" width="25.88"/>
  </cols>
  <sheetData>
    <row r="1" ht="15.75" customHeight="1">
      <c r="A1" s="4"/>
      <c r="B1" s="84" t="s">
        <v>427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85" t="s">
        <v>428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15.75" customHeight="1">
      <c r="A2" s="86"/>
      <c r="B2" s="86"/>
      <c r="C2" s="86"/>
      <c r="D2" s="86"/>
      <c r="E2" s="87"/>
      <c r="F2" s="88"/>
      <c r="G2" s="86"/>
      <c r="H2" s="86"/>
      <c r="I2" s="88" t="s">
        <v>13</v>
      </c>
      <c r="J2" s="89"/>
      <c r="K2" s="89"/>
      <c r="L2" s="89"/>
      <c r="M2" s="90" t="s">
        <v>429</v>
      </c>
      <c r="N2" s="91"/>
      <c r="O2" s="91"/>
      <c r="P2" s="91"/>
      <c r="Q2" s="92"/>
      <c r="R2" s="93" t="s">
        <v>16</v>
      </c>
      <c r="S2" s="88" t="s">
        <v>20</v>
      </c>
      <c r="T2" s="94" t="s">
        <v>20</v>
      </c>
      <c r="U2" s="95" t="s">
        <v>430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75" customHeight="1">
      <c r="A3" s="96" t="s">
        <v>5</v>
      </c>
      <c r="B3" s="96" t="s">
        <v>6</v>
      </c>
      <c r="C3" s="96" t="s">
        <v>7</v>
      </c>
      <c r="D3" s="97" t="s">
        <v>8</v>
      </c>
      <c r="E3" s="97" t="s">
        <v>9</v>
      </c>
      <c r="F3" s="96" t="s">
        <v>10</v>
      </c>
      <c r="G3" s="97" t="s">
        <v>431</v>
      </c>
      <c r="H3" s="96" t="s">
        <v>12</v>
      </c>
      <c r="I3" s="96" t="s">
        <v>432</v>
      </c>
      <c r="J3" s="12" t="s">
        <v>14</v>
      </c>
      <c r="K3" s="12" t="s">
        <v>15</v>
      </c>
      <c r="L3" s="12" t="s">
        <v>16</v>
      </c>
      <c r="M3" s="98" t="s">
        <v>8</v>
      </c>
      <c r="N3" s="99" t="s">
        <v>433</v>
      </c>
      <c r="O3" s="100" t="s">
        <v>432</v>
      </c>
      <c r="P3" s="101" t="s">
        <v>8</v>
      </c>
      <c r="Q3" s="102" t="s">
        <v>434</v>
      </c>
      <c r="R3" s="96" t="s">
        <v>435</v>
      </c>
      <c r="S3" s="103"/>
      <c r="T3" s="104"/>
      <c r="U3" s="97" t="s">
        <v>436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15.75" customHeight="1">
      <c r="A4" s="105" t="str">
        <f>PURCHASES!A4</f>
        <v/>
      </c>
      <c r="B4" s="16" t="str">
        <f>IFERROR(__xludf.DUMMYFUNCTION("QUERY(PURCHASES!B4:L157)"),"Tokopedia")</f>
        <v>Tokopedia</v>
      </c>
      <c r="C4" s="16" t="str">
        <f>IFERROR(__xludf.DUMMYFUNCTION("""COMPUTED_VALUE"""),"Pembelian Termometer PKM Balekambang")</f>
        <v>Pembelian Termometer PKM Balekambang</v>
      </c>
      <c r="D4" s="16"/>
      <c r="E4" s="106"/>
      <c r="F4" s="17"/>
      <c r="G4" s="107">
        <f>IFERROR(__xludf.DUMMYFUNCTION("""COMPUTED_VALUE"""),45816.0)</f>
        <v>45816</v>
      </c>
      <c r="H4" s="16"/>
      <c r="I4" s="36">
        <f>IFERROR(__xludf.DUMMYFUNCTION("""COMPUTED_VALUE"""),705700.0)</f>
        <v>705700</v>
      </c>
      <c r="J4" s="108"/>
      <c r="K4" s="108"/>
      <c r="L4" s="108">
        <f>IFERROR(__xludf.DUMMYFUNCTION("""COMPUTED_VALUE"""),705700.0)</f>
        <v>705700</v>
      </c>
      <c r="M4" s="108">
        <v>45969.0</v>
      </c>
      <c r="N4" s="109" t="s">
        <v>437</v>
      </c>
      <c r="O4" s="110">
        <v>705700.0</v>
      </c>
      <c r="P4" s="111">
        <v>45969.0</v>
      </c>
      <c r="Q4" s="112"/>
      <c r="R4" s="113">
        <f t="shared" ref="R4:R61" si="1">O4-L4</f>
        <v>0</v>
      </c>
      <c r="S4" s="114" t="str">
        <f t="shared" ref="S4:S45" si="2">IF(R4&gt;0,"ost","-")</f>
        <v>-</v>
      </c>
      <c r="T4" s="115" t="s">
        <v>438</v>
      </c>
      <c r="U4" s="23" t="s">
        <v>23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15.75" customHeight="1">
      <c r="A5" s="105"/>
      <c r="B5" s="16" t="str">
        <f>IFERROR(__xludf.DUMMYFUNCTION("""COMPUTED_VALUE"""),"Shopee")</f>
        <v>Shopee</v>
      </c>
      <c r="C5" s="16" t="str">
        <f>IFERROR(__xludf.DUMMYFUNCTION("""COMPUTED_VALUE"""),"Pembelian Kursi, Meja dan Lemari PKM Gandoang ")</f>
        <v>Pembelian Kursi, Meja dan Lemari PKM Gandoang </v>
      </c>
      <c r="D5" s="16"/>
      <c r="E5" s="106"/>
      <c r="F5" s="17"/>
      <c r="G5" s="107">
        <f>IFERROR(__xludf.DUMMYFUNCTION("""COMPUTED_VALUE"""),45882.0)</f>
        <v>45882</v>
      </c>
      <c r="H5" s="16"/>
      <c r="I5" s="36">
        <f>IFERROR(__xludf.DUMMYFUNCTION("""COMPUTED_VALUE"""),1.13816E7)</f>
        <v>11381600</v>
      </c>
      <c r="J5" s="116"/>
      <c r="K5" s="116"/>
      <c r="L5" s="116">
        <f>IFERROR(__xludf.DUMMYFUNCTION("""COMPUTED_VALUE"""),1.13816E7)</f>
        <v>11381600</v>
      </c>
      <c r="M5" s="109" t="s">
        <v>439</v>
      </c>
      <c r="N5" s="109" t="s">
        <v>437</v>
      </c>
      <c r="O5" s="110">
        <v>1.13816E7</v>
      </c>
      <c r="P5" s="117" t="s">
        <v>440</v>
      </c>
      <c r="Q5" s="112"/>
      <c r="R5" s="113">
        <f t="shared" si="1"/>
        <v>0</v>
      </c>
      <c r="S5" s="114" t="str">
        <f t="shared" si="2"/>
        <v>-</v>
      </c>
      <c r="T5" s="115" t="s">
        <v>438</v>
      </c>
      <c r="U5" s="25" t="s">
        <v>27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5.75" customHeight="1">
      <c r="A6" s="105" t="str">
        <f>PURCHASES!A6</f>
        <v/>
      </c>
      <c r="B6" s="16" t="str">
        <f>IFERROR(__xludf.DUMMYFUNCTION("""COMPUTED_VALUE"""),"Shopee")</f>
        <v>Shopee</v>
      </c>
      <c r="C6" s="16" t="str">
        <f>IFERROR(__xludf.DUMMYFUNCTION("""COMPUTED_VALUE"""),"Pembelian Composit Resin, Umblical, Bonding, Gludaten, Bisturi PKM DPT Saketi")</f>
        <v>Pembelian Composit Resin, Umblical, Bonding, Gludaten, Bisturi PKM DPT Saketi</v>
      </c>
      <c r="D6" s="16"/>
      <c r="E6" s="64" t="str">
        <f>IFERROR(__xludf.DUMMYFUNCTION("""COMPUTED_VALUE"""),"SURAT PESANAN PKM DPT SAKETI.jpeg")</f>
        <v>SURAT PESANAN PKM DPT SAKETI.jpeg</v>
      </c>
      <c r="F6" s="17"/>
      <c r="G6" s="107">
        <f>IFERROR(__xludf.DUMMYFUNCTION("""COMPUTED_VALUE"""),45882.0)</f>
        <v>45882</v>
      </c>
      <c r="H6" s="16"/>
      <c r="I6" s="36">
        <f>IFERROR(__xludf.DUMMYFUNCTION("""COMPUTED_VALUE"""),2654410.0)</f>
        <v>2654410</v>
      </c>
      <c r="J6" s="118"/>
      <c r="K6" s="118"/>
      <c r="L6" s="118">
        <f>IFERROR(__xludf.DUMMYFUNCTION("""COMPUTED_VALUE"""),2654410.0)</f>
        <v>2654410</v>
      </c>
      <c r="M6" s="119" t="s">
        <v>441</v>
      </c>
      <c r="N6" s="119" t="s">
        <v>437</v>
      </c>
      <c r="O6" s="110">
        <v>2654410.0</v>
      </c>
      <c r="P6" s="110" t="s">
        <v>442</v>
      </c>
      <c r="Q6" s="113"/>
      <c r="R6" s="113">
        <f t="shared" si="1"/>
        <v>0</v>
      </c>
      <c r="S6" s="114" t="str">
        <f t="shared" si="2"/>
        <v>-</v>
      </c>
      <c r="T6" s="115" t="s">
        <v>438</v>
      </c>
      <c r="U6" s="25" t="s">
        <v>443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75" customHeight="1">
      <c r="A7" s="105" t="str">
        <f>PURCHASES!A7</f>
        <v/>
      </c>
      <c r="B7" s="105" t="str">
        <f>IFERROR(__xludf.DUMMYFUNCTION("""COMPUTED_VALUE"""),"PT. Top Point Medical")</f>
        <v>PT. Top Point Medical</v>
      </c>
      <c r="C7" s="16" t="str">
        <f>IFERROR(__xludf.DUMMYFUNCTION("""COMPUTED_VALUE"""),"TP Infusion Set Advance")</f>
        <v>TP Infusion Set Advance</v>
      </c>
      <c r="D7" s="16"/>
      <c r="E7" s="64" t="str">
        <f>IFERROR(__xludf.DUMMYFUNCTION("""COMPUTED_VALUE"""),"Surat Pesanan RSPP")</f>
        <v>Surat Pesanan RSPP</v>
      </c>
      <c r="F7" s="26" t="str">
        <f>IFERROR(__xludf.DUMMYFUNCTION("""COMPUTED_VALUE"""),"PO Infusion Set - Top Point")</f>
        <v>PO Infusion Set - Top Point</v>
      </c>
      <c r="G7" s="107">
        <f>IFERROR(__xludf.DUMMYFUNCTION("""COMPUTED_VALUE"""),45880.0)</f>
        <v>45880</v>
      </c>
      <c r="H7" s="16"/>
      <c r="I7" s="36">
        <f>IFERROR(__xludf.DUMMYFUNCTION("""COMPUTED_VALUE"""),3040541.0)</f>
        <v>3040541</v>
      </c>
      <c r="J7" s="118">
        <f>IFERROR(__xludf.DUMMYFUNCTION("""COMPUTED_VALUE"""),334459.51)</f>
        <v>334459.51</v>
      </c>
      <c r="K7" s="118"/>
      <c r="L7" s="118">
        <f>IFERROR(__xludf.DUMMYFUNCTION("""COMPUTED_VALUE"""),3375000.51)</f>
        <v>3375000.51</v>
      </c>
      <c r="M7" s="119" t="s">
        <v>444</v>
      </c>
      <c r="N7" s="119" t="s">
        <v>437</v>
      </c>
      <c r="O7" s="110">
        <v>3375000.0</v>
      </c>
      <c r="P7" s="119" t="s">
        <v>444</v>
      </c>
      <c r="Q7" s="113"/>
      <c r="R7" s="113">
        <f t="shared" si="1"/>
        <v>-0.5099999998</v>
      </c>
      <c r="S7" s="114" t="str">
        <f t="shared" si="2"/>
        <v>-</v>
      </c>
      <c r="T7" s="115" t="s">
        <v>438</v>
      </c>
      <c r="U7" s="120" t="s">
        <v>445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75" customHeight="1">
      <c r="A8" s="105" t="str">
        <f>PURCHASES!A8</f>
        <v/>
      </c>
      <c r="B8" s="105" t="str">
        <f>IFERROR(__xludf.DUMMYFUNCTION("""COMPUTED_VALUE"""),"Shopee")</f>
        <v>Shopee</v>
      </c>
      <c r="C8" s="16" t="str">
        <f>IFERROR(__xludf.DUMMYFUNCTION("""COMPUTED_VALUE"""),"Pembelian Gludenta DPT Saketi")</f>
        <v>Pembelian Gludenta DPT Saketi</v>
      </c>
      <c r="D8" s="16"/>
      <c r="E8" s="106" t="str">
        <f>IFERROR(__xludf.DUMMYFUNCTION("""COMPUTED_VALUE"""),"part of SO no.3")</f>
        <v>part of SO no.3</v>
      </c>
      <c r="F8" s="17"/>
      <c r="G8" s="107">
        <f>IFERROR(__xludf.DUMMYFUNCTION("""COMPUTED_VALUE"""),45882.0)</f>
        <v>45882</v>
      </c>
      <c r="H8" s="16"/>
      <c r="I8" s="36">
        <f>IFERROR(__xludf.DUMMYFUNCTION("""COMPUTED_VALUE"""),1408256.0)</f>
        <v>1408256</v>
      </c>
      <c r="J8" s="118"/>
      <c r="K8" s="118"/>
      <c r="L8" s="118">
        <f>IFERROR(__xludf.DUMMYFUNCTION("""COMPUTED_VALUE"""),1408256.0)</f>
        <v>1408256</v>
      </c>
      <c r="M8" s="119" t="s">
        <v>439</v>
      </c>
      <c r="N8" s="119" t="s">
        <v>437</v>
      </c>
      <c r="O8" s="110">
        <v>1408256.0</v>
      </c>
      <c r="P8" s="119" t="s">
        <v>439</v>
      </c>
      <c r="Q8" s="113"/>
      <c r="R8" s="113">
        <f t="shared" si="1"/>
        <v>0</v>
      </c>
      <c r="S8" s="114" t="str">
        <f t="shared" si="2"/>
        <v>-</v>
      </c>
      <c r="T8" s="115" t="s">
        <v>438</v>
      </c>
      <c r="U8" s="25" t="s">
        <v>446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75" customHeight="1">
      <c r="A9" s="105"/>
      <c r="B9" s="105" t="str">
        <f>IFERROR(__xludf.DUMMYFUNCTION("""COMPUTED_VALUE"""),"Top Point")</f>
        <v>Top Point</v>
      </c>
      <c r="C9" s="16" t="str">
        <f>IFERROR(__xludf.DUMMYFUNCTION("""COMPUTED_VALUE"""),"Pembelian Suntikan DPT Saketi")</f>
        <v>Pembelian Suntikan DPT Saketi</v>
      </c>
      <c r="D9" s="16"/>
      <c r="E9" s="106" t="str">
        <f>IFERROR(__xludf.DUMMYFUNCTION("""COMPUTED_VALUE"""),"part of SO no.3")</f>
        <v>part of SO no.3</v>
      </c>
      <c r="F9" s="17"/>
      <c r="G9" s="107">
        <f>IFERROR(__xludf.DUMMYFUNCTION("""COMPUTED_VALUE"""),45888.0)</f>
        <v>45888</v>
      </c>
      <c r="H9" s="16"/>
      <c r="I9" s="36">
        <f>IFERROR(__xludf.DUMMYFUNCTION("""COMPUTED_VALUE"""),136554.0)</f>
        <v>136554</v>
      </c>
      <c r="J9" s="118">
        <f>IFERROR(__xludf.DUMMYFUNCTION("""COMPUTED_VALUE"""),15020.94)</f>
        <v>15020.94</v>
      </c>
      <c r="K9" s="118"/>
      <c r="L9" s="118">
        <f>IFERROR(__xludf.DUMMYFUNCTION("""COMPUTED_VALUE"""),151574.94)</f>
        <v>151574.94</v>
      </c>
      <c r="M9" s="119" t="s">
        <v>447</v>
      </c>
      <c r="N9" s="119" t="s">
        <v>437</v>
      </c>
      <c r="O9" s="110">
        <v>151575.0</v>
      </c>
      <c r="P9" s="119" t="s">
        <v>447</v>
      </c>
      <c r="Q9" s="113"/>
      <c r="R9" s="113">
        <f t="shared" si="1"/>
        <v>0.06</v>
      </c>
      <c r="S9" s="114" t="str">
        <f t="shared" si="2"/>
        <v>ost</v>
      </c>
      <c r="T9" s="115" t="s">
        <v>438</v>
      </c>
      <c r="U9" s="25" t="s">
        <v>448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75" customHeight="1">
      <c r="A10" s="105"/>
      <c r="B10" s="105" t="str">
        <f>IFERROR(__xludf.DUMMYFUNCTION("""COMPUTED_VALUE"""),"Sarana Megamedilab Sejahtera (SMS)")</f>
        <v>Sarana Megamedilab Sejahtera (SMS)</v>
      </c>
      <c r="C10" s="16" t="str">
        <f>IFERROR(__xludf.DUMMYFUNCTION("""COMPUTED_VALUE"""),"Pembelian Lampu ")</f>
        <v>Pembelian Lampu </v>
      </c>
      <c r="D10" s="16"/>
      <c r="E10" s="106" t="str">
        <f>IFERROR(__xludf.DUMMYFUNCTION("""COMPUTED_VALUE"""),"RSUD Cibinong")</f>
        <v>RSUD Cibinong</v>
      </c>
      <c r="F10" s="17"/>
      <c r="G10" s="107">
        <f>IFERROR(__xludf.DUMMYFUNCTION("""COMPUTED_VALUE"""),45869.0)</f>
        <v>45869</v>
      </c>
      <c r="H10" s="16"/>
      <c r="I10" s="36">
        <f>IFERROR(__xludf.DUMMYFUNCTION("""COMPUTED_VALUE"""),2800000.0)</f>
        <v>2800000</v>
      </c>
      <c r="J10" s="118">
        <f>IFERROR(__xludf.DUMMYFUNCTION("""COMPUTED_VALUE"""),308000.0)</f>
        <v>308000</v>
      </c>
      <c r="K10" s="118"/>
      <c r="L10" s="118">
        <f>IFERROR(__xludf.DUMMYFUNCTION("""COMPUTED_VALUE"""),3108000.0)</f>
        <v>3108000</v>
      </c>
      <c r="M10" s="119" t="s">
        <v>449</v>
      </c>
      <c r="N10" s="119" t="s">
        <v>437</v>
      </c>
      <c r="O10" s="110">
        <v>3108000.0</v>
      </c>
      <c r="P10" s="119" t="s">
        <v>449</v>
      </c>
      <c r="Q10" s="113"/>
      <c r="R10" s="113">
        <f t="shared" si="1"/>
        <v>0</v>
      </c>
      <c r="S10" s="114" t="str">
        <f t="shared" si="2"/>
        <v>-</v>
      </c>
      <c r="T10" s="115" t="s">
        <v>438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75" customHeight="1">
      <c r="A11" s="105"/>
      <c r="B11" s="105" t="str">
        <f>IFERROR(__xludf.DUMMYFUNCTION("""COMPUTED_VALUE"""),"Shopee")</f>
        <v>Shopee</v>
      </c>
      <c r="C11" s="16" t="str">
        <f>IFERROR(__xludf.DUMMYFUNCTION("""COMPUTED_VALUE"""),"Pembelian Pesanan Plastik (PKM Cimandala)")</f>
        <v>Pembelian Pesanan Plastik (PKM Cimandala)</v>
      </c>
      <c r="D11" s="16"/>
      <c r="E11" s="106" t="str">
        <f>IFERROR(__xludf.DUMMYFUNCTION("""COMPUTED_VALUE"""),"-Menyusul-")</f>
        <v>-Menyusul-</v>
      </c>
      <c r="F11" s="17"/>
      <c r="G11" s="107">
        <f>IFERROR(__xludf.DUMMYFUNCTION("""COMPUTED_VALUE"""),45895.0)</f>
        <v>45895</v>
      </c>
      <c r="H11" s="16"/>
      <c r="I11" s="36">
        <f>IFERROR(__xludf.DUMMYFUNCTION("""COMPUTED_VALUE"""),2021100.0)</f>
        <v>2021100</v>
      </c>
      <c r="J11" s="118"/>
      <c r="K11" s="118"/>
      <c r="L11" s="118">
        <f>IFERROR(__xludf.DUMMYFUNCTION("""COMPUTED_VALUE"""),2021100.0)</f>
        <v>2021100</v>
      </c>
      <c r="M11" s="119" t="s">
        <v>449</v>
      </c>
      <c r="N11" s="119" t="s">
        <v>437</v>
      </c>
      <c r="O11" s="110">
        <v>2021100.0</v>
      </c>
      <c r="P11" s="119" t="s">
        <v>449</v>
      </c>
      <c r="Q11" s="113"/>
      <c r="R11" s="113">
        <f t="shared" si="1"/>
        <v>0</v>
      </c>
      <c r="S11" s="114" t="str">
        <f t="shared" si="2"/>
        <v>-</v>
      </c>
      <c r="T11" s="115" t="s">
        <v>438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75" customHeight="1">
      <c r="A12" s="105"/>
      <c r="B12" s="105" t="str">
        <f>IFERROR(__xludf.DUMMYFUNCTION("""COMPUTED_VALUE"""),"Shopee")</f>
        <v>Shopee</v>
      </c>
      <c r="C12" s="16" t="str">
        <f>IFERROR(__xludf.DUMMYFUNCTION("""COMPUTED_VALUE"""),"Pembelian Yellow dan Blue Tip (PKM Cangkurawok)")</f>
        <v>Pembelian Yellow dan Blue Tip (PKM Cangkurawok)</v>
      </c>
      <c r="D12" s="16"/>
      <c r="E12" s="64" t="str">
        <f>IFERROR(__xludf.DUMMYFUNCTION("""COMPUTED_VALUE"""),"surat-pesanan-EP-01K387EQ0896Y44BX6R9RSJ2FA (Pkm Cangkurawok)")</f>
        <v>surat-pesanan-EP-01K387EQ0896Y44BX6R9RSJ2FA (Pkm Cangkurawok)</v>
      </c>
      <c r="F12" s="17"/>
      <c r="G12" s="107">
        <f>IFERROR(__xludf.DUMMYFUNCTION("""COMPUTED_VALUE"""),45895.0)</f>
        <v>45895</v>
      </c>
      <c r="H12" s="16"/>
      <c r="I12" s="36">
        <f>IFERROR(__xludf.DUMMYFUNCTION("""COMPUTED_VALUE"""),82499.0)</f>
        <v>82499</v>
      </c>
      <c r="J12" s="118"/>
      <c r="K12" s="118"/>
      <c r="L12" s="118">
        <f>IFERROR(__xludf.DUMMYFUNCTION("""COMPUTED_VALUE"""),82499.0)</f>
        <v>82499</v>
      </c>
      <c r="M12" s="119" t="s">
        <v>449</v>
      </c>
      <c r="N12" s="119" t="s">
        <v>437</v>
      </c>
      <c r="O12" s="110">
        <v>82499.0</v>
      </c>
      <c r="P12" s="119" t="s">
        <v>449</v>
      </c>
      <c r="Q12" s="113"/>
      <c r="R12" s="113">
        <f t="shared" si="1"/>
        <v>0</v>
      </c>
      <c r="S12" s="114" t="str">
        <f t="shared" si="2"/>
        <v>-</v>
      </c>
      <c r="T12" s="115" t="s">
        <v>438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75" customHeight="1">
      <c r="A13" s="105"/>
      <c r="B13" s="105" t="str">
        <f>IFERROR(__xludf.DUMMYFUNCTION("""COMPUTED_VALUE"""),"Shopee")</f>
        <v>Shopee</v>
      </c>
      <c r="C13" s="16" t="str">
        <f>IFERROR(__xludf.DUMMYFUNCTION("""COMPUTED_VALUE"""),"Pembelanjaan Pesanan  (PKM Pasir Angin)")</f>
        <v>Pembelanjaan Pesanan  (PKM Pasir Angin)</v>
      </c>
      <c r="D13" s="16"/>
      <c r="E13" s="64" t="str">
        <f>IFERROR(__xludf.DUMMYFUNCTION("""COMPUTED_VALUE"""),"surat-pesanan-EP-01K381B70E6329EG57Q86XG5DH.pdf (PKM Pasir angin) 27-08-25")</f>
        <v>surat-pesanan-EP-01K381B70E6329EG57Q86XG5DH.pdf (PKM Pasir angin) 27-08-25</v>
      </c>
      <c r="F13" s="17"/>
      <c r="G13" s="107">
        <f>IFERROR(__xludf.DUMMYFUNCTION("""COMPUTED_VALUE"""),45896.0)</f>
        <v>45896</v>
      </c>
      <c r="H13" s="16"/>
      <c r="I13" s="36">
        <f>IFERROR(__xludf.DUMMYFUNCTION("""COMPUTED_VALUE"""),1086000.0)</f>
        <v>1086000</v>
      </c>
      <c r="J13" s="118"/>
      <c r="K13" s="118"/>
      <c r="L13" s="118">
        <f>IFERROR(__xludf.DUMMYFUNCTION("""COMPUTED_VALUE"""),1086000.0)</f>
        <v>1086000</v>
      </c>
      <c r="M13" s="119" t="s">
        <v>450</v>
      </c>
      <c r="N13" s="119" t="s">
        <v>437</v>
      </c>
      <c r="O13" s="110">
        <v>1086000.0</v>
      </c>
      <c r="P13" s="119" t="s">
        <v>450</v>
      </c>
      <c r="Q13" s="113"/>
      <c r="R13" s="113">
        <f t="shared" si="1"/>
        <v>0</v>
      </c>
      <c r="S13" s="114" t="str">
        <f t="shared" si="2"/>
        <v>-</v>
      </c>
      <c r="T13" s="115" t="s">
        <v>438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75" customHeight="1">
      <c r="A14" s="105"/>
      <c r="B14" s="105" t="str">
        <f>IFERROR(__xludf.DUMMYFUNCTION("""COMPUTED_VALUE"""),"Top Point")</f>
        <v>Top Point</v>
      </c>
      <c r="C14" s="16" t="str">
        <f>IFERROR(__xludf.DUMMYFUNCTION("""COMPUTED_VALUE"""),"Pembelian TP Infusion Set Advance (RSPP)")</f>
        <v>Pembelian TP Infusion Set Advance (RSPP)</v>
      </c>
      <c r="D14" s="16"/>
      <c r="E14" s="64" t="str">
        <f>IFERROR(__xludf.DUMMYFUNCTION("""COMPUTED_VALUE"""),"Surat Pesanan RSPP PO 2 (20-08-25)")</f>
        <v>Surat Pesanan RSPP PO 2 (20-08-25)</v>
      </c>
      <c r="F14" s="26" t="str">
        <f>IFERROR(__xludf.DUMMYFUNCTION("""COMPUTED_VALUE"""),"PO ke Top Point (20-08-25)")</f>
        <v>PO ke Top Point (20-08-25)</v>
      </c>
      <c r="G14" s="107">
        <f>IFERROR(__xludf.DUMMYFUNCTION("""COMPUTED_VALUE"""),45890.0)</f>
        <v>45890</v>
      </c>
      <c r="H14" s="16"/>
      <c r="I14" s="36">
        <f>IFERROR(__xludf.DUMMYFUNCTION("""COMPUTED_VALUE"""),3040541.0)</f>
        <v>3040541</v>
      </c>
      <c r="J14" s="118">
        <f>IFERROR(__xludf.DUMMYFUNCTION("""COMPUTED_VALUE"""),334459.0)</f>
        <v>334459</v>
      </c>
      <c r="K14" s="118"/>
      <c r="L14" s="118">
        <f>IFERROR(__xludf.DUMMYFUNCTION("""COMPUTED_VALUE"""),3375000.0)</f>
        <v>3375000</v>
      </c>
      <c r="M14" s="119" t="s">
        <v>450</v>
      </c>
      <c r="N14" s="119" t="s">
        <v>437</v>
      </c>
      <c r="O14" s="121">
        <v>3375000.0</v>
      </c>
      <c r="P14" s="119" t="s">
        <v>450</v>
      </c>
      <c r="Q14" s="113"/>
      <c r="R14" s="113">
        <f t="shared" si="1"/>
        <v>0</v>
      </c>
      <c r="S14" s="114" t="str">
        <f t="shared" si="2"/>
        <v>-</v>
      </c>
      <c r="T14" s="115" t="s">
        <v>438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75" customHeight="1">
      <c r="A15" s="105"/>
      <c r="B15" s="105" t="str">
        <f>IFERROR(__xludf.DUMMYFUNCTION("""COMPUTED_VALUE"""),"PT Demaz Noer Abadi")</f>
        <v>PT Demaz Noer Abadi</v>
      </c>
      <c r="C15" s="16" t="str">
        <f>IFERROR(__xludf.DUMMYFUNCTION("""COMPUTED_VALUE"""),"Pembelian Pesanan (PKM Karyamekar) Test Strip")</f>
        <v>Pembelian Pesanan (PKM Karyamekar) Test Strip</v>
      </c>
      <c r="D15" s="16"/>
      <c r="E15" s="64" t="str">
        <f>IFERROR(__xludf.DUMMYFUNCTION("""COMPUTED_VALUE"""),"Pesanan PKM Karya Mekar (28-08-25)")</f>
        <v>Pesanan PKM Karya Mekar (28-08-25)</v>
      </c>
      <c r="F15" s="26" t="str">
        <f>IFERROR(__xludf.DUMMYFUNCTION("""COMPUTED_VALUE"""),"PO MPG-270825008 Biosensor.pdf")</f>
        <v>PO MPG-270825008 Biosensor.pdf</v>
      </c>
      <c r="G15" s="107">
        <f>IFERROR(__xludf.DUMMYFUNCTION("""COMPUTED_VALUE"""),45897.0)</f>
        <v>45897</v>
      </c>
      <c r="H15" s="16"/>
      <c r="I15" s="36">
        <f>IFERROR(__xludf.DUMMYFUNCTION("""COMPUTED_VALUE"""),700000.0)</f>
        <v>700000</v>
      </c>
      <c r="J15" s="118">
        <f>IFERROR(__xludf.DUMMYFUNCTION("""COMPUTED_VALUE"""),77000.0)</f>
        <v>77000</v>
      </c>
      <c r="K15" s="118"/>
      <c r="L15" s="118">
        <f>IFERROR(__xludf.DUMMYFUNCTION("""COMPUTED_VALUE"""),777000.0)</f>
        <v>777000</v>
      </c>
      <c r="M15" s="119" t="s">
        <v>451</v>
      </c>
      <c r="N15" s="119" t="s">
        <v>437</v>
      </c>
      <c r="O15" s="110">
        <v>777000.0</v>
      </c>
      <c r="P15" s="119" t="s">
        <v>451</v>
      </c>
      <c r="Q15" s="113"/>
      <c r="R15" s="113">
        <f t="shared" si="1"/>
        <v>0</v>
      </c>
      <c r="S15" s="114" t="str">
        <f t="shared" si="2"/>
        <v>-</v>
      </c>
      <c r="T15" s="115" t="s">
        <v>438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75" customHeight="1">
      <c r="A16" s="105"/>
      <c r="B16" s="105" t="str">
        <f>IFERROR(__xludf.DUMMYFUNCTION("""COMPUTED_VALUE"""),"PT. Elba Lab Medika")</f>
        <v>PT. Elba Lab Medika</v>
      </c>
      <c r="C16" s="16" t="str">
        <f>IFERROR(__xludf.DUMMYFUNCTION("""COMPUTED_VALUE"""),"Pembelian Pesanan (PKM Ciawi ) Uric acid dan Glucose")</f>
        <v>Pembelian Pesanan (PKM Ciawi ) Uric acid dan Glucose</v>
      </c>
      <c r="D16" s="16"/>
      <c r="E16" s="64" t="str">
        <f>IFERROR(__xludf.DUMMYFUNCTION("""COMPUTED_VALUE"""),"surat-pesanan-EP-01K3Q5WHEXQ3VZNQBKWARSAMDH Pkm Ciawi Erba.pdf")</f>
        <v>surat-pesanan-EP-01K3Q5WHEXQ3VZNQBKWARSAMDH Pkm Ciawi Erba.pdf</v>
      </c>
      <c r="F16" s="26" t="str">
        <f>IFERROR(__xludf.DUMMYFUNCTION("""COMPUTED_VALUE"""),"PO MPG-270825006 Elba Medika Revisi.pdf")</f>
        <v>PO MPG-270825006 Elba Medika Revisi.pdf</v>
      </c>
      <c r="G16" s="107">
        <f>IFERROR(__xludf.DUMMYFUNCTION("""COMPUTED_VALUE"""),45896.0)</f>
        <v>45896</v>
      </c>
      <c r="H16" s="16"/>
      <c r="I16" s="36">
        <f>IFERROR(__xludf.DUMMYFUNCTION("""COMPUTED_VALUE"""),6088810.0)</f>
        <v>6088810</v>
      </c>
      <c r="J16" s="118">
        <f>IFERROR(__xludf.DUMMYFUNCTION("""COMPUTED_VALUE"""),669769.0)</f>
        <v>669769</v>
      </c>
      <c r="K16" s="118"/>
      <c r="L16" s="118">
        <f>IFERROR(__xludf.DUMMYFUNCTION("""COMPUTED_VALUE"""),6758579.0)</f>
        <v>6758579</v>
      </c>
      <c r="M16" s="119" t="s">
        <v>451</v>
      </c>
      <c r="N16" s="119" t="s">
        <v>437</v>
      </c>
      <c r="O16" s="121">
        <v>6758579.0</v>
      </c>
      <c r="P16" s="119" t="s">
        <v>451</v>
      </c>
      <c r="Q16" s="113"/>
      <c r="R16" s="113">
        <f t="shared" si="1"/>
        <v>0</v>
      </c>
      <c r="S16" s="114" t="str">
        <f t="shared" si="2"/>
        <v>-</v>
      </c>
      <c r="T16" s="115" t="s">
        <v>438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75" customHeight="1">
      <c r="A17" s="105"/>
      <c r="B17" s="105" t="str">
        <f>IFERROR(__xludf.DUMMYFUNCTION("""COMPUTED_VALUE"""),"Shopee")</f>
        <v>Shopee</v>
      </c>
      <c r="C17" s="16" t="str">
        <f>IFERROR(__xludf.DUMMYFUNCTION("""COMPUTED_VALUE"""),"Pembelian Pesanan (PKM Karyamekar) Alcohol swab, blue dan yellow tip")</f>
        <v>Pembelian Pesanan (PKM Karyamekar) Alcohol swab, blue dan yellow tip</v>
      </c>
      <c r="D17" s="16"/>
      <c r="E17" s="106" t="str">
        <f>IFERROR(__xludf.DUMMYFUNCTION("""COMPUTED_VALUE"""),"part of SO no.15")</f>
        <v>part of SO no.15</v>
      </c>
      <c r="F17" s="17"/>
      <c r="G17" s="107">
        <f>IFERROR(__xludf.DUMMYFUNCTION("""COMPUTED_VALUE"""),45896.0)</f>
        <v>45896</v>
      </c>
      <c r="H17" s="16"/>
      <c r="I17" s="36">
        <f>IFERROR(__xludf.DUMMYFUNCTION("""COMPUTED_VALUE"""),206508.0)</f>
        <v>206508</v>
      </c>
      <c r="J17" s="122"/>
      <c r="K17" s="122"/>
      <c r="L17" s="122">
        <f>IFERROR(__xludf.DUMMYFUNCTION("""COMPUTED_VALUE"""),206508.0)</f>
        <v>206508</v>
      </c>
      <c r="M17" s="123" t="s">
        <v>452</v>
      </c>
      <c r="N17" s="119" t="s">
        <v>437</v>
      </c>
      <c r="O17" s="110">
        <v>206508.0</v>
      </c>
      <c r="P17" s="123" t="s">
        <v>452</v>
      </c>
      <c r="Q17" s="113"/>
      <c r="R17" s="113">
        <f t="shared" si="1"/>
        <v>0</v>
      </c>
      <c r="S17" s="114" t="str">
        <f t="shared" si="2"/>
        <v>-</v>
      </c>
      <c r="T17" s="115" t="s">
        <v>438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75" customHeight="1">
      <c r="A18" s="105"/>
      <c r="B18" s="105" t="str">
        <f>IFERROR(__xludf.DUMMYFUNCTION("""COMPUTED_VALUE"""),"Shopee ")</f>
        <v>Shopee </v>
      </c>
      <c r="C18" s="16" t="str">
        <f>IFERROR(__xludf.DUMMYFUNCTION("""COMPUTED_VALUE"""),"Pembelian Pesanan (PKM Pasir Angin) Apar 3kg")</f>
        <v>Pembelian Pesanan (PKM Pasir Angin) Apar 3kg</v>
      </c>
      <c r="D18" s="16"/>
      <c r="E18" s="64" t="str">
        <f>IFERROR(__xludf.DUMMYFUNCTION("""COMPUTED_VALUE"""),"surat-pesanan-EP-01K3T38R3TQ03RS3GZPYQRVWJ9 PKM Pasir Angin (Apar)")</f>
        <v>surat-pesanan-EP-01K3T38R3TQ03RS3GZPYQRVWJ9 PKM Pasir Angin (Apar)</v>
      </c>
      <c r="F18" s="17"/>
      <c r="G18" s="107">
        <f>IFERROR(__xludf.DUMMYFUNCTION("""COMPUTED_VALUE"""),45898.0)</f>
        <v>45898</v>
      </c>
      <c r="H18" s="16"/>
      <c r="I18" s="36">
        <f>IFERROR(__xludf.DUMMYFUNCTION("""COMPUTED_VALUE"""),541000.0)</f>
        <v>541000</v>
      </c>
      <c r="J18" s="124"/>
      <c r="K18" s="124"/>
      <c r="L18" s="124">
        <f>IFERROR(__xludf.DUMMYFUNCTION("""COMPUTED_VALUE"""),541000.0)</f>
        <v>541000</v>
      </c>
      <c r="M18" s="124">
        <v>45901.0</v>
      </c>
      <c r="N18" s="119" t="s">
        <v>437</v>
      </c>
      <c r="O18" s="110">
        <v>541000.0</v>
      </c>
      <c r="P18" s="124">
        <v>45901.0</v>
      </c>
      <c r="Q18" s="113"/>
      <c r="R18" s="113">
        <f t="shared" si="1"/>
        <v>0</v>
      </c>
      <c r="S18" s="114" t="str">
        <f t="shared" si="2"/>
        <v>-</v>
      </c>
      <c r="T18" s="115" t="s">
        <v>438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75" customHeight="1">
      <c r="A19" s="105"/>
      <c r="B19" s="105" t="str">
        <f>IFERROR(__xludf.DUMMYFUNCTION("""COMPUTED_VALUE"""),"PT. Burhan Sejahtera Mulia")</f>
        <v>PT. Burhan Sejahtera Mulia</v>
      </c>
      <c r="C19" s="16" t="str">
        <f>IFERROR(__xludf.DUMMYFUNCTION("""COMPUTED_VALUE"""),"Pembelian Pesanan (PKM Karyamekar) Vacum Tube Plain")</f>
        <v>Pembelian Pesanan (PKM Karyamekar) Vacum Tube Plain</v>
      </c>
      <c r="D19" s="16"/>
      <c r="E19" s="106" t="str">
        <f>IFERROR(__xludf.DUMMYFUNCTION("""COMPUTED_VALUE"""),"Patt of SO np.15")</f>
        <v>Patt of SO np.15</v>
      </c>
      <c r="F19" s="26" t="str">
        <f>IFERROR(__xludf.DUMMYFUNCTION("""COMPUTED_VALUE"""),"PO ke PT. BSM (vacum tube)")</f>
        <v>PO ke PT. BSM (vacum tube)</v>
      </c>
      <c r="G19" s="107">
        <f>IFERROR(__xludf.DUMMYFUNCTION("""COMPUTED_VALUE"""),45898.0)</f>
        <v>45898</v>
      </c>
      <c r="H19" s="16"/>
      <c r="I19" s="36">
        <f>IFERROR(__xludf.DUMMYFUNCTION("""COMPUTED_VALUE"""),425000.0)</f>
        <v>425000</v>
      </c>
      <c r="J19" s="124">
        <f>IFERROR(__xludf.DUMMYFUNCTION("""COMPUTED_VALUE"""),46750.0)</f>
        <v>46750</v>
      </c>
      <c r="K19" s="124"/>
      <c r="L19" s="124">
        <f>IFERROR(__xludf.DUMMYFUNCTION("""COMPUTED_VALUE"""),471750.0)</f>
        <v>471750</v>
      </c>
      <c r="M19" s="124">
        <v>45901.0</v>
      </c>
      <c r="N19" s="119" t="s">
        <v>437</v>
      </c>
      <c r="O19" s="110">
        <v>471750.0</v>
      </c>
      <c r="P19" s="124">
        <v>45901.0</v>
      </c>
      <c r="Q19" s="113"/>
      <c r="R19" s="113">
        <f t="shared" si="1"/>
        <v>0</v>
      </c>
      <c r="S19" s="114" t="str">
        <f t="shared" si="2"/>
        <v>-</v>
      </c>
      <c r="T19" s="115" t="s">
        <v>438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75" customHeight="1">
      <c r="A20" s="105"/>
      <c r="B20" s="105" t="str">
        <f>IFERROR(__xludf.DUMMYFUNCTION("""COMPUTED_VALUE"""),"Shopee")</f>
        <v>Shopee</v>
      </c>
      <c r="C20" s="16" t="str">
        <f>IFERROR(__xludf.DUMMYFUNCTION("""COMPUTED_VALUE"""),"Pembelian Pesanan (PKM Bojong) cover glass dan bisturi")</f>
        <v>Pembelian Pesanan (PKM Bojong) cover glass dan bisturi</v>
      </c>
      <c r="D20" s="16"/>
      <c r="E20" s="64" t="str">
        <f>IFERROR(__xludf.DUMMYFUNCTION("""COMPUTED_VALUE"""),"Surat Pesanan PKM Bojong (3 Sep 2025)")</f>
        <v>Surat Pesanan PKM Bojong (3 Sep 2025)</v>
      </c>
      <c r="F20" s="17"/>
      <c r="G20" s="107">
        <f>IFERROR(__xludf.DUMMYFUNCTION("""COMPUTED_VALUE"""),45903.0)</f>
        <v>45903</v>
      </c>
      <c r="H20" s="16"/>
      <c r="I20" s="36">
        <f>IFERROR(__xludf.DUMMYFUNCTION("""COMPUTED_VALUE"""),96580.0)</f>
        <v>96580</v>
      </c>
      <c r="J20" s="125"/>
      <c r="K20" s="125"/>
      <c r="L20" s="125">
        <f>IFERROR(__xludf.DUMMYFUNCTION("""COMPUTED_VALUE"""),96580.0)</f>
        <v>96580</v>
      </c>
      <c r="M20" s="125">
        <v>45903.0</v>
      </c>
      <c r="N20" s="119" t="s">
        <v>437</v>
      </c>
      <c r="O20" s="110">
        <v>96580.0</v>
      </c>
      <c r="P20" s="125">
        <v>45903.0</v>
      </c>
      <c r="Q20" s="113"/>
      <c r="R20" s="113">
        <f t="shared" si="1"/>
        <v>0</v>
      </c>
      <c r="S20" s="114" t="str">
        <f t="shared" si="2"/>
        <v>-</v>
      </c>
      <c r="T20" s="115" t="s">
        <v>438</v>
      </c>
      <c r="U20" s="25" t="s">
        <v>453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75" customHeight="1">
      <c r="A21" s="105"/>
      <c r="B21" s="105" t="str">
        <f>IFERROR(__xludf.DUMMYFUNCTION("""COMPUTED_VALUE"""),"Shopee")</f>
        <v>Shopee</v>
      </c>
      <c r="C21" s="16" t="str">
        <f>IFERROR(__xludf.DUMMYFUNCTION("""COMPUTED_VALUE"""),"Pembelian Pesanan (PKM Bojong) kassa steril")</f>
        <v>Pembelian Pesanan (PKM Bojong) kassa steril</v>
      </c>
      <c r="D21" s="16"/>
      <c r="E21" s="64" t="str">
        <f>IFERROR(__xludf.DUMMYFUNCTION("""COMPUTED_VALUE"""),"Surat Pesanan PKM Bojong (3 Sep 2025)")</f>
        <v>Surat Pesanan PKM Bojong (3 Sep 2025)</v>
      </c>
      <c r="F21" s="17"/>
      <c r="G21" s="107">
        <f>IFERROR(__xludf.DUMMYFUNCTION("""COMPUTED_VALUE"""),45903.0)</f>
        <v>45903</v>
      </c>
      <c r="H21" s="16"/>
      <c r="I21" s="36">
        <f>IFERROR(__xludf.DUMMYFUNCTION("""COMPUTED_VALUE"""),402500.0)</f>
        <v>402500</v>
      </c>
      <c r="J21" s="125"/>
      <c r="K21" s="125"/>
      <c r="L21" s="125">
        <f>IFERROR(__xludf.DUMMYFUNCTION("""COMPUTED_VALUE"""),402500.0)</f>
        <v>402500</v>
      </c>
      <c r="M21" s="125">
        <v>45903.0</v>
      </c>
      <c r="N21" s="119" t="s">
        <v>437</v>
      </c>
      <c r="O21" s="110">
        <v>402500.0</v>
      </c>
      <c r="P21" s="125">
        <v>45903.0</v>
      </c>
      <c r="Q21" s="113"/>
      <c r="R21" s="113">
        <f t="shared" si="1"/>
        <v>0</v>
      </c>
      <c r="S21" s="114" t="str">
        <f t="shared" si="2"/>
        <v>-</v>
      </c>
      <c r="T21" s="115" t="s">
        <v>438</v>
      </c>
      <c r="U21" s="25" t="s">
        <v>454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75" customHeight="1">
      <c r="A22" s="105"/>
      <c r="B22" s="105" t="str">
        <f>IFERROR(__xludf.DUMMYFUNCTION("""COMPUTED_VALUE"""),"Toko Pramuka")</f>
        <v>Toko Pramuka</v>
      </c>
      <c r="C22" s="16" t="str">
        <f>IFERROR(__xludf.DUMMYFUNCTION("""COMPUTED_VALUE"""),"Pembelian Pesanan (PKM Sentul) 10box Safeguard")</f>
        <v>Pembelian Pesanan (PKM Sentul) 10box Safeguard</v>
      </c>
      <c r="D22" s="16"/>
      <c r="E22" s="106" t="str">
        <f>IFERROR(__xludf.DUMMYFUNCTION("""COMPUTED_VALUE"""),"-Menyusul-")</f>
        <v>-Menyusul-</v>
      </c>
      <c r="F22" s="17"/>
      <c r="G22" s="107">
        <f>IFERROR(__xludf.DUMMYFUNCTION("""COMPUTED_VALUE"""),45903.0)</f>
        <v>45903</v>
      </c>
      <c r="H22" s="16"/>
      <c r="I22" s="36">
        <f>IFERROR(__xludf.DUMMYFUNCTION("""COMPUTED_VALUE"""),430000.0)</f>
        <v>430000</v>
      </c>
      <c r="J22" s="118"/>
      <c r="K22" s="118"/>
      <c r="L22" s="118">
        <f>IFERROR(__xludf.DUMMYFUNCTION("""COMPUTED_VALUE"""),430000.0)</f>
        <v>430000</v>
      </c>
      <c r="M22" s="119" t="s">
        <v>455</v>
      </c>
      <c r="N22" s="119" t="s">
        <v>437</v>
      </c>
      <c r="O22" s="113"/>
      <c r="P22" s="113"/>
      <c r="Q22" s="113"/>
      <c r="R22" s="113">
        <f t="shared" si="1"/>
        <v>-430000</v>
      </c>
      <c r="S22" s="114" t="str">
        <f t="shared" si="2"/>
        <v>-</v>
      </c>
      <c r="T22" s="115" t="s">
        <v>438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75" customHeight="1">
      <c r="A23" s="105"/>
      <c r="B23" s="105" t="str">
        <f>IFERROR(__xludf.DUMMYFUNCTION("""COMPUTED_VALUE"""),"Top Point")</f>
        <v>Top Point</v>
      </c>
      <c r="C23" s="16" t="str">
        <f>IFERROR(__xludf.DUMMYFUNCTION("""COMPUTED_VALUE"""),"Pembelian Pesanan (RSPP) PO ke 3 ")</f>
        <v>Pembelian Pesanan (RSPP) PO ke 3 </v>
      </c>
      <c r="D23" s="16"/>
      <c r="E23" s="64" t="str">
        <f>IFERROR(__xludf.DUMMYFUNCTION("""COMPUTED_VALUE"""),"Surat Pesanan RSPP (PO 3)")</f>
        <v>Surat Pesanan RSPP (PO 3)</v>
      </c>
      <c r="F23" s="26" t="str">
        <f>IFERROR(__xludf.DUMMYFUNCTION("""COMPUTED_VALUE"""),"PO ke Top Point (Pesanan RSPP PO 3)")</f>
        <v>PO ke Top Point (Pesanan RSPP PO 3)</v>
      </c>
      <c r="G23" s="107">
        <f>IFERROR(__xludf.DUMMYFUNCTION("""COMPUTED_VALUE"""),45896.0)</f>
        <v>45896</v>
      </c>
      <c r="H23" s="16"/>
      <c r="I23" s="36">
        <f>IFERROR(__xludf.DUMMYFUNCTION("""COMPUTED_VALUE"""),6081081.0)</f>
        <v>6081081</v>
      </c>
      <c r="J23" s="125">
        <f>IFERROR(__xludf.DUMMYFUNCTION("""COMPUTED_VALUE"""),668919.0)</f>
        <v>668919</v>
      </c>
      <c r="K23" s="125"/>
      <c r="L23" s="125">
        <f>IFERROR(__xludf.DUMMYFUNCTION("""COMPUTED_VALUE"""),6750000.0)</f>
        <v>6750000</v>
      </c>
      <c r="M23" s="125">
        <v>45903.0</v>
      </c>
      <c r="N23" s="119" t="s">
        <v>437</v>
      </c>
      <c r="O23" s="110">
        <v>6750000.0</v>
      </c>
      <c r="P23" s="125">
        <v>45903.0</v>
      </c>
      <c r="Q23" s="113"/>
      <c r="R23" s="113">
        <f t="shared" si="1"/>
        <v>0</v>
      </c>
      <c r="S23" s="114" t="str">
        <f t="shared" si="2"/>
        <v>-</v>
      </c>
      <c r="T23" s="115" t="s">
        <v>438</v>
      </c>
      <c r="U23" s="25" t="s">
        <v>456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75" customHeight="1">
      <c r="A24" s="105"/>
      <c r="B24" s="105" t="str">
        <f>IFERROR(__xludf.DUMMYFUNCTION("""COMPUTED_VALUE"""),"Top Point")</f>
        <v>Top Point</v>
      </c>
      <c r="C24" s="16" t="str">
        <f>IFERROR(__xludf.DUMMYFUNCTION("""COMPUTED_VALUE"""),"Pembelian Kekurangan Stock Suntikan RSUD")</f>
        <v>Pembelian Kekurangan Stock Suntikan RSUD</v>
      </c>
      <c r="D24" s="28"/>
      <c r="E24" s="126" t="str">
        <f>IFERROR(__xludf.DUMMYFUNCTION("""COMPUTED_VALUE"""),"Surat Pesanan Suntikan RSUD Cibinong")</f>
        <v>Surat Pesanan Suntikan RSUD Cibinong</v>
      </c>
      <c r="F24" s="127" t="str">
        <f>IFERROR(__xludf.DUMMYFUNCTION("""COMPUTED_VALUE"""),"PO ke TOP POINT (stok suntikan rsud)")</f>
        <v>PO ke TOP POINT (stok suntikan rsud)</v>
      </c>
      <c r="G24" s="28">
        <f>IFERROR(__xludf.DUMMYFUNCTION("""COMPUTED_VALUE"""),45897.0)</f>
        <v>45897</v>
      </c>
      <c r="H24" s="15"/>
      <c r="I24" s="113">
        <f>IFERROR(__xludf.DUMMYFUNCTION("""COMPUTED_VALUE"""),3386086.0)</f>
        <v>3386086</v>
      </c>
      <c r="J24" s="125">
        <f>IFERROR(__xludf.DUMMYFUNCTION("""COMPUTED_VALUE"""),372469.0)</f>
        <v>372469</v>
      </c>
      <c r="K24" s="125"/>
      <c r="L24" s="125">
        <f>IFERROR(__xludf.DUMMYFUNCTION("""COMPUTED_VALUE"""),3758555.0)</f>
        <v>3758555</v>
      </c>
      <c r="M24" s="125">
        <v>45903.0</v>
      </c>
      <c r="N24" s="119" t="s">
        <v>437</v>
      </c>
      <c r="O24" s="110">
        <v>3758555.0</v>
      </c>
      <c r="P24" s="125">
        <v>45903.0</v>
      </c>
      <c r="Q24" s="113"/>
      <c r="R24" s="113">
        <f t="shared" si="1"/>
        <v>0</v>
      </c>
      <c r="S24" s="114" t="str">
        <f t="shared" si="2"/>
        <v>-</v>
      </c>
      <c r="T24" s="115" t="s">
        <v>438</v>
      </c>
      <c r="U24" s="25" t="s">
        <v>457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75" customHeight="1">
      <c r="A25" s="105"/>
      <c r="B25" s="105" t="str">
        <f>IFERROR(__xludf.DUMMYFUNCTION("""COMPUTED_VALUE"""),"Sarana Megamedilab Sejahtera (SMS)")</f>
        <v>Sarana Megamedilab Sejahtera (SMS)</v>
      </c>
      <c r="C25" s="16" t="str">
        <f>IFERROR(__xludf.DUMMYFUNCTION("""COMPUTED_VALUE"""),"Pembelian Reagen RSUD Cibinong (Nodin 15)")</f>
        <v>Pembelian Reagen RSUD Cibinong (Nodin 15)</v>
      </c>
      <c r="D25" s="127" t="str">
        <f>IFERROR(__xludf.DUMMYFUNCTION("""COMPUTED_VALUE"""),"SPH RSUD CIBINONG NODIN 15 (1).pdf")</f>
        <v>SPH RSUD CIBINONG NODIN 15 (1).pdf</v>
      </c>
      <c r="E25" s="126" t="str">
        <f>IFERROR(__xludf.DUMMYFUNCTION("""COMPUTED_VALUE"""),"nodin 15 rsud cibinong")</f>
        <v>nodin 15 rsud cibinong</v>
      </c>
      <c r="F25" s="127" t="str">
        <f>IFERROR(__xludf.DUMMYFUNCTION("""COMPUTED_VALUE"""),"PO ke SMS (nodin 15 RSUD Cibinong)")</f>
        <v>PO ke SMS (nodin 15 RSUD Cibinong)</v>
      </c>
      <c r="G25" s="28">
        <f>IFERROR(__xludf.DUMMYFUNCTION("""COMPUTED_VALUE"""),45876.0)</f>
        <v>45876</v>
      </c>
      <c r="H25" s="15"/>
      <c r="I25" s="113">
        <f>IFERROR(__xludf.DUMMYFUNCTION("""COMPUTED_VALUE"""),1.228401E7)</f>
        <v>12284010</v>
      </c>
      <c r="J25" s="125">
        <f>IFERROR(__xludf.DUMMYFUNCTION("""COMPUTED_VALUE"""),1351241.0)</f>
        <v>1351241</v>
      </c>
      <c r="K25" s="125"/>
      <c r="L25" s="125">
        <f>IFERROR(__xludf.DUMMYFUNCTION("""COMPUTED_VALUE"""),1.3635251E7)</f>
        <v>13635251</v>
      </c>
      <c r="M25" s="125">
        <v>45904.0</v>
      </c>
      <c r="N25" s="119" t="s">
        <v>437</v>
      </c>
      <c r="O25" s="110">
        <v>1.3635251E7</v>
      </c>
      <c r="P25" s="125">
        <v>45904.0</v>
      </c>
      <c r="Q25" s="113"/>
      <c r="R25" s="113">
        <f t="shared" si="1"/>
        <v>0</v>
      </c>
      <c r="S25" s="114" t="str">
        <f t="shared" si="2"/>
        <v>-</v>
      </c>
      <c r="T25" s="115" t="s">
        <v>438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A26" s="105"/>
      <c r="B26" s="105" t="str">
        <f>IFERROR(__xludf.DUMMYFUNCTION("""COMPUTED_VALUE"""),"PT. Burhan Sejahtera Mulia")</f>
        <v>PT. Burhan Sejahtera Mulia</v>
      </c>
      <c r="C26" s="16" t="str">
        <f>IFERROR(__xludf.DUMMYFUNCTION("""COMPUTED_VALUE"""),"Pembelian Pesanan (PKM Bojong) Reagen Asam Urat")</f>
        <v>Pembelian Pesanan (PKM Bojong) Reagen Asam Urat</v>
      </c>
      <c r="D26" s="28"/>
      <c r="E26" s="128" t="str">
        <f>IFERROR(__xludf.DUMMYFUNCTION("""COMPUTED_VALUE"""),"part of SO no.20")</f>
        <v>part of SO no.20</v>
      </c>
      <c r="F26" s="127" t="str">
        <f>IFERROR(__xludf.DUMMYFUNCTION("""COMPUTED_VALUE"""),"PO MPG-080925003 BSM.pdf")</f>
        <v>PO MPG-080925003 BSM.pdf</v>
      </c>
      <c r="G26" s="28">
        <f>IFERROR(__xludf.DUMMYFUNCTION("""COMPUTED_VALUE"""),45908.0)</f>
        <v>45908</v>
      </c>
      <c r="H26" s="15"/>
      <c r="I26" s="113">
        <f>IFERROR(__xludf.DUMMYFUNCTION("""COMPUTED_VALUE"""),720440.0)</f>
        <v>720440</v>
      </c>
      <c r="J26" s="125">
        <f>IFERROR(__xludf.DUMMYFUNCTION("""COMPUTED_VALUE"""),79248.0)</f>
        <v>79248</v>
      </c>
      <c r="K26" s="125"/>
      <c r="L26" s="125">
        <f>IFERROR(__xludf.DUMMYFUNCTION("""COMPUTED_VALUE"""),799688.0)</f>
        <v>799688</v>
      </c>
      <c r="M26" s="125">
        <v>45908.0</v>
      </c>
      <c r="N26" s="119" t="s">
        <v>437</v>
      </c>
      <c r="O26" s="110">
        <v>799688.0</v>
      </c>
      <c r="P26" s="125">
        <v>45908.0</v>
      </c>
      <c r="Q26" s="129"/>
      <c r="R26" s="113">
        <f t="shared" si="1"/>
        <v>0</v>
      </c>
      <c r="S26" s="114" t="str">
        <f t="shared" si="2"/>
        <v>-</v>
      </c>
      <c r="T26" s="115" t="s">
        <v>438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A27" s="105"/>
      <c r="B27" s="105" t="str">
        <f>IFERROR(__xludf.DUMMYFUNCTION("""COMPUTED_VALUE"""),"Shopee")</f>
        <v>Shopee</v>
      </c>
      <c r="C27" s="16" t="str">
        <f>IFERROR(__xludf.DUMMYFUNCTION("""COMPUTED_VALUE"""),"Pembelanjaan Pesanan Tambahan (PKM Bojong) Carpule dan Plastik Sampah Medis")</f>
        <v>Pembelanjaan Pesanan Tambahan (PKM Bojong) Carpule dan Plastik Sampah Medis</v>
      </c>
      <c r="D27" s="28"/>
      <c r="E27" s="128" t="str">
        <f>IFERROR(__xludf.DUMMYFUNCTION("""COMPUTED_VALUE"""),"-Menyusul-")</f>
        <v>-Menyusul-</v>
      </c>
      <c r="F27" s="28"/>
      <c r="G27" s="28">
        <f>IFERROR(__xludf.DUMMYFUNCTION("""COMPUTED_VALUE"""),45908.0)</f>
        <v>45908</v>
      </c>
      <c r="H27" s="15"/>
      <c r="I27" s="130">
        <f>IFERROR(__xludf.DUMMYFUNCTION("""COMPUTED_VALUE"""),543000.0)</f>
        <v>543000</v>
      </c>
      <c r="J27" s="125"/>
      <c r="K27" s="125"/>
      <c r="L27" s="125">
        <f>IFERROR(__xludf.DUMMYFUNCTION("""COMPUTED_VALUE"""),543000.0)</f>
        <v>543000</v>
      </c>
      <c r="M27" s="125">
        <v>45908.0</v>
      </c>
      <c r="N27" s="119" t="s">
        <v>437</v>
      </c>
      <c r="O27" s="110">
        <v>543000.0</v>
      </c>
      <c r="P27" s="125">
        <v>45908.0</v>
      </c>
      <c r="Q27" s="113"/>
      <c r="R27" s="113">
        <f t="shared" si="1"/>
        <v>0</v>
      </c>
      <c r="S27" s="114" t="str">
        <f t="shared" si="2"/>
        <v>-</v>
      </c>
      <c r="T27" s="115" t="s">
        <v>438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75" customHeight="1">
      <c r="A28" s="105"/>
      <c r="B28" s="105" t="str">
        <f>IFERROR(__xludf.DUMMYFUNCTION("""COMPUTED_VALUE"""),"PT. Tirta Investama")</f>
        <v>PT. Tirta Investama</v>
      </c>
      <c r="C28" s="16" t="str">
        <f>IFERROR(__xludf.DUMMYFUNCTION("""COMPUTED_VALUE"""),"Pembaayaran Aqua Galon Gedung")</f>
        <v>Pembaayaran Aqua Galon Gedung</v>
      </c>
      <c r="D28" s="28"/>
      <c r="E28" s="128"/>
      <c r="F28" s="28"/>
      <c r="G28" s="28">
        <f>IFERROR(__xludf.DUMMYFUNCTION("""COMPUTED_VALUE"""),45900.0)</f>
        <v>45900</v>
      </c>
      <c r="H28" s="15"/>
      <c r="I28" s="113">
        <f>IFERROR(__xludf.DUMMYFUNCTION("""COMPUTED_VALUE"""),400000.0)</f>
        <v>400000</v>
      </c>
      <c r="J28" s="125"/>
      <c r="K28" s="125"/>
      <c r="L28" s="125">
        <f>IFERROR(__xludf.DUMMYFUNCTION("""COMPUTED_VALUE"""),400000.0)</f>
        <v>400000</v>
      </c>
      <c r="M28" s="125">
        <v>45908.0</v>
      </c>
      <c r="N28" s="119" t="s">
        <v>437</v>
      </c>
      <c r="O28" s="121">
        <v>400000.0</v>
      </c>
      <c r="P28" s="125">
        <v>45908.0</v>
      </c>
      <c r="Q28" s="131"/>
      <c r="R28" s="113">
        <f t="shared" si="1"/>
        <v>0</v>
      </c>
      <c r="S28" s="114" t="str">
        <f t="shared" si="2"/>
        <v>-</v>
      </c>
      <c r="T28" s="115" t="s">
        <v>438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75" customHeight="1">
      <c r="A29" s="105"/>
      <c r="B29" s="105" t="str">
        <f>IFERROR(__xludf.DUMMYFUNCTION("""COMPUTED_VALUE"""),"PT. Top Point Medical")</f>
        <v>PT. Top Point Medical</v>
      </c>
      <c r="C29" s="16" t="str">
        <f>IFERROR(__xludf.DUMMYFUNCTION("""COMPUTED_VALUE"""),"Pembellian Pesanan (RSPP) PO ke 4")</f>
        <v>Pembellian Pesanan (RSPP) PO ke 4</v>
      </c>
      <c r="D29" s="28"/>
      <c r="E29" s="126" t="str">
        <f>IFERROR(__xludf.DUMMYFUNCTION("""COMPUTED_VALUE"""),"PO KE 4 RSPP")</f>
        <v>PO KE 4 RSPP</v>
      </c>
      <c r="F29" s="127" t="str">
        <f>IFERROR(__xludf.DUMMYFUNCTION("""COMPUTED_VALUE"""),"po ke tp (rspp ke 4)")</f>
        <v>po ke tp (rspp ke 4)</v>
      </c>
      <c r="G29" s="28">
        <f>IFERROR(__xludf.DUMMYFUNCTION("""COMPUTED_VALUE"""),45909.0)</f>
        <v>45909</v>
      </c>
      <c r="H29" s="15"/>
      <c r="I29" s="113">
        <f>IFERROR(__xludf.DUMMYFUNCTION("""COMPUTED_VALUE"""),4560811.0)</f>
        <v>4560811</v>
      </c>
      <c r="J29" s="132">
        <f>IFERROR(__xludf.DUMMYFUNCTION("""COMPUTED_VALUE"""),501689.0)</f>
        <v>501689</v>
      </c>
      <c r="K29" s="132"/>
      <c r="L29" s="132">
        <f>IFERROR(__xludf.DUMMYFUNCTION("""COMPUTED_VALUE"""),5062500.0)</f>
        <v>5062500</v>
      </c>
      <c r="M29" s="132">
        <v>45915.0</v>
      </c>
      <c r="N29" s="119" t="s">
        <v>437</v>
      </c>
      <c r="O29" s="110">
        <v>5062500.0</v>
      </c>
      <c r="P29" s="132">
        <v>45915.0</v>
      </c>
      <c r="Q29" s="129"/>
      <c r="R29" s="113">
        <f t="shared" si="1"/>
        <v>0</v>
      </c>
      <c r="S29" s="114" t="str">
        <f t="shared" si="2"/>
        <v>-</v>
      </c>
      <c r="T29" s="115" t="s">
        <v>438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A30" s="105"/>
      <c r="B30" s="105" t="str">
        <f>IFERROR(__xludf.DUMMYFUNCTION("""COMPUTED_VALUE"""),"Gedung")</f>
        <v>Gedung</v>
      </c>
      <c r="C30" s="16" t="str">
        <f>IFERROR(__xludf.DUMMYFUNCTION("""COMPUTED_VALUE"""),"Pembayaran Listrik dan Parkir Gedung (pemakaian agustus)")</f>
        <v>Pembayaran Listrik dan Parkir Gedung (pemakaian agustus)</v>
      </c>
      <c r="D30" s="28"/>
      <c r="E30" s="128"/>
      <c r="F30" s="28"/>
      <c r="G30" s="28">
        <f>IFERROR(__xludf.DUMMYFUNCTION("""COMPUTED_VALUE"""),45915.0)</f>
        <v>45915</v>
      </c>
      <c r="H30" s="15"/>
      <c r="I30" s="113">
        <f>IFERROR(__xludf.DUMMYFUNCTION("""COMPUTED_VALUE"""),4684781.0)</f>
        <v>4684781</v>
      </c>
      <c r="J30" s="132"/>
      <c r="K30" s="132"/>
      <c r="L30" s="132">
        <f>IFERROR(__xludf.DUMMYFUNCTION("""COMPUTED_VALUE"""),4684781.0)</f>
        <v>4684781</v>
      </c>
      <c r="M30" s="132">
        <v>45915.0</v>
      </c>
      <c r="N30" s="119" t="s">
        <v>437</v>
      </c>
      <c r="O30" s="110">
        <v>4684781.0</v>
      </c>
      <c r="P30" s="132">
        <v>45915.0</v>
      </c>
      <c r="Q30" s="129"/>
      <c r="R30" s="113">
        <f t="shared" si="1"/>
        <v>0</v>
      </c>
      <c r="S30" s="114" t="str">
        <f t="shared" si="2"/>
        <v>-</v>
      </c>
      <c r="T30" s="115" t="s">
        <v>438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75" customHeight="1">
      <c r="A31" s="105"/>
      <c r="B31" s="105" t="str">
        <f>IFERROR(__xludf.DUMMYFUNCTION("""COMPUTED_VALUE"""),"Shopee")</f>
        <v>Shopee</v>
      </c>
      <c r="C31" s="16" t="str">
        <f>IFERROR(__xludf.DUMMYFUNCTION("""COMPUTED_VALUE"""),"Pembelian Kekurangan Plastik Sampah Medis (PKM Bojong)")</f>
        <v>Pembelian Kekurangan Plastik Sampah Medis (PKM Bojong)</v>
      </c>
      <c r="D31" s="28"/>
      <c r="E31" s="126" t="str">
        <f>IFERROR(__xludf.DUMMYFUNCTION("""COMPUTED_VALUE"""),"NOTA PERABOT KANTOR MATA PENSIL 09 25.pdf")</f>
        <v>NOTA PERABOT KANTOR MATA PENSIL 09 25.pdf</v>
      </c>
      <c r="F31" s="28"/>
      <c r="G31" s="28">
        <f>IFERROR(__xludf.DUMMYFUNCTION("""COMPUTED_VALUE"""),45915.0)</f>
        <v>45915</v>
      </c>
      <c r="H31" s="15"/>
      <c r="I31" s="130">
        <f>IFERROR(__xludf.DUMMYFUNCTION("""COMPUTED_VALUE"""),53380.0)</f>
        <v>53380</v>
      </c>
      <c r="J31" s="132"/>
      <c r="K31" s="132"/>
      <c r="L31" s="132">
        <f>IFERROR(__xludf.DUMMYFUNCTION("""COMPUTED_VALUE"""),53380.0)</f>
        <v>53380</v>
      </c>
      <c r="M31" s="132">
        <v>45915.0</v>
      </c>
      <c r="N31" s="119" t="s">
        <v>437</v>
      </c>
      <c r="O31" s="110">
        <v>53380.0</v>
      </c>
      <c r="P31" s="132">
        <v>45915.0</v>
      </c>
      <c r="Q31" s="129"/>
      <c r="R31" s="113">
        <f t="shared" si="1"/>
        <v>0</v>
      </c>
      <c r="S31" s="114" t="str">
        <f t="shared" si="2"/>
        <v>-</v>
      </c>
      <c r="T31" s="115" t="s">
        <v>438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75" customHeight="1">
      <c r="A32" s="105"/>
      <c r="B32" s="105" t="str">
        <f>IFERROR(__xludf.DUMMYFUNCTION("""COMPUTED_VALUE"""),"Shopee")</f>
        <v>Shopee</v>
      </c>
      <c r="C32" s="16" t="str">
        <f>IFERROR(__xludf.DUMMYFUNCTION("""COMPUTED_VALUE"""),"Pembelian Kontrol Kimia (PKM Balekambang)")</f>
        <v>Pembelian Kontrol Kimia (PKM Balekambang)</v>
      </c>
      <c r="D32" s="28"/>
      <c r="E32" s="126" t="str">
        <f>IFERROR(__xludf.DUMMYFUNCTION("""COMPUTED_VALUE"""),"Pesanan Balekambang ")</f>
        <v>Pesanan Balekambang </v>
      </c>
      <c r="F32" s="28"/>
      <c r="G32" s="28">
        <f>IFERROR(__xludf.DUMMYFUNCTION("""COMPUTED_VALUE"""),45916.0)</f>
        <v>45916</v>
      </c>
      <c r="H32" s="15"/>
      <c r="I32" s="113">
        <f>IFERROR(__xludf.DUMMYFUNCTION("""COMPUTED_VALUE"""),1277500.0)</f>
        <v>1277500</v>
      </c>
      <c r="J32" s="132"/>
      <c r="K32" s="132"/>
      <c r="L32" s="132">
        <f>IFERROR(__xludf.DUMMYFUNCTION("""COMPUTED_VALUE"""),1277500.0)</f>
        <v>1277500</v>
      </c>
      <c r="M32" s="132">
        <v>45916.0</v>
      </c>
      <c r="N32" s="119" t="s">
        <v>437</v>
      </c>
      <c r="O32" s="110">
        <v>1277500.0</v>
      </c>
      <c r="P32" s="132">
        <v>45916.0</v>
      </c>
      <c r="Q32" s="129"/>
      <c r="R32" s="113">
        <f t="shared" si="1"/>
        <v>0</v>
      </c>
      <c r="S32" s="114" t="str">
        <f t="shared" si="2"/>
        <v>-</v>
      </c>
      <c r="T32" s="115" t="s">
        <v>438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75" customHeight="1">
      <c r="A33" s="105"/>
      <c r="B33" s="105" t="str">
        <f>IFERROR(__xludf.DUMMYFUNCTION("""COMPUTED_VALUE"""),"Shopee")</f>
        <v>Shopee</v>
      </c>
      <c r="C33" s="16" t="str">
        <f>IFERROR(__xludf.DUMMYFUNCTION("""COMPUTED_VALUE"""),"Pembelian Pesanan (PKM Cipeucang)")</f>
        <v>Pembelian Pesanan (PKM Cipeucang)</v>
      </c>
      <c r="D33" s="28"/>
      <c r="E33" s="126" t="str">
        <f>IFERROR(__xludf.DUMMYFUNCTION("""COMPUTED_VALUE"""),"Surat Pesanan  BMHP PKM Cipeucang.pdf")</f>
        <v>Surat Pesanan  BMHP PKM Cipeucang.pdf</v>
      </c>
      <c r="F33" s="28"/>
      <c r="G33" s="28">
        <f>IFERROR(__xludf.DUMMYFUNCTION("""COMPUTED_VALUE"""),45917.0)</f>
        <v>45917</v>
      </c>
      <c r="H33" s="15"/>
      <c r="I33" s="113">
        <f>IFERROR(__xludf.DUMMYFUNCTION("""COMPUTED_VALUE"""),2676315.0)</f>
        <v>2676315</v>
      </c>
      <c r="J33" s="132"/>
      <c r="K33" s="132"/>
      <c r="L33" s="132">
        <f>IFERROR(__xludf.DUMMYFUNCTION("""COMPUTED_VALUE"""),2676315.0)</f>
        <v>2676315</v>
      </c>
      <c r="M33" s="132">
        <v>45917.0</v>
      </c>
      <c r="N33" s="119" t="s">
        <v>437</v>
      </c>
      <c r="O33" s="110">
        <v>2676315.0</v>
      </c>
      <c r="P33" s="132">
        <v>45917.0</v>
      </c>
      <c r="Q33" s="129"/>
      <c r="R33" s="113">
        <f t="shared" si="1"/>
        <v>0</v>
      </c>
      <c r="S33" s="114" t="str">
        <f t="shared" si="2"/>
        <v>-</v>
      </c>
      <c r="T33" s="115" t="s">
        <v>438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75" customHeight="1">
      <c r="A34" s="105"/>
      <c r="B34" s="133" t="str">
        <f>IFERROR(__xludf.DUMMYFUNCTION("""COMPUTED_VALUE"""),"Shopee")</f>
        <v>Shopee</v>
      </c>
      <c r="C34" s="134" t="str">
        <f>IFERROR(__xludf.DUMMYFUNCTION("""COMPUTED_VALUE"""),"Pembelian Pesanan (PKM Kelapa Dua) Plastik Sampah")</f>
        <v>Pembelian Pesanan (PKM Kelapa Dua) Plastik Sampah</v>
      </c>
      <c r="D34" s="28"/>
      <c r="E34" s="126" t="str">
        <f>IFERROR(__xludf.DUMMYFUNCTION("""COMPUTED_VALUE"""),"SP Belanja Kebersihan Puskesmas Kelapa Dua September 2025.pdf")</f>
        <v>SP Belanja Kebersihan Puskesmas Kelapa Dua September 2025.pdf</v>
      </c>
      <c r="F34" s="28"/>
      <c r="G34" s="28">
        <f>IFERROR(__xludf.DUMMYFUNCTION("""COMPUTED_VALUE"""),45925.0)</f>
        <v>45925</v>
      </c>
      <c r="H34" s="15"/>
      <c r="I34" s="113">
        <f>IFERROR(__xludf.DUMMYFUNCTION("""COMPUTED_VALUE"""),1827490.0)</f>
        <v>1827490</v>
      </c>
      <c r="J34" s="132"/>
      <c r="K34" s="132"/>
      <c r="L34" s="132">
        <f>IFERROR(__xludf.DUMMYFUNCTION("""COMPUTED_VALUE"""),1827490.0)</f>
        <v>1827490</v>
      </c>
      <c r="M34" s="132">
        <v>45925.0</v>
      </c>
      <c r="N34" s="119" t="s">
        <v>437</v>
      </c>
      <c r="O34" s="110">
        <v>1827490.0</v>
      </c>
      <c r="P34" s="132">
        <v>45925.0</v>
      </c>
      <c r="Q34" s="129"/>
      <c r="R34" s="113">
        <f t="shared" si="1"/>
        <v>0</v>
      </c>
      <c r="S34" s="114" t="str">
        <f t="shared" si="2"/>
        <v>-</v>
      </c>
      <c r="T34" s="115" t="s">
        <v>438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75" customHeight="1">
      <c r="A35" s="105"/>
      <c r="B35" s="133" t="str">
        <f>IFERROR(__xludf.DUMMYFUNCTION("""COMPUTED_VALUE"""),"Shopee")</f>
        <v>Shopee</v>
      </c>
      <c r="C35" s="134" t="str">
        <f>IFERROR(__xludf.DUMMYFUNCTION("""COMPUTED_VALUE"""),"Pembelian Pesanan (PKM Kelapa Dua) Pengharum Ruangan spray dan gantung dahlia")</f>
        <v>Pembelian Pesanan (PKM Kelapa Dua) Pengharum Ruangan spray dan gantung dahlia</v>
      </c>
      <c r="D35" s="28"/>
      <c r="E35" s="126" t="str">
        <f>IFERROR(__xludf.DUMMYFUNCTION("""COMPUTED_VALUE"""),"SP Belanja Kebersihan Puskesmas Kelapa Dua September 2025.pdf")</f>
        <v>SP Belanja Kebersihan Puskesmas Kelapa Dua September 2025.pdf</v>
      </c>
      <c r="F35" s="28"/>
      <c r="G35" s="28">
        <f>IFERROR(__xludf.DUMMYFUNCTION("""COMPUTED_VALUE"""),45925.0)</f>
        <v>45925</v>
      </c>
      <c r="H35" s="15"/>
      <c r="I35" s="113">
        <f>IFERROR(__xludf.DUMMYFUNCTION("""COMPUTED_VALUE"""),937200.0)</f>
        <v>937200</v>
      </c>
      <c r="J35" s="132"/>
      <c r="K35" s="132"/>
      <c r="L35" s="132">
        <f>IFERROR(__xludf.DUMMYFUNCTION("""COMPUTED_VALUE"""),937200.0)</f>
        <v>937200</v>
      </c>
      <c r="M35" s="132">
        <v>45925.0</v>
      </c>
      <c r="N35" s="119" t="s">
        <v>437</v>
      </c>
      <c r="O35" s="110">
        <v>937200.0</v>
      </c>
      <c r="P35" s="132">
        <v>45925.0</v>
      </c>
      <c r="Q35" s="129"/>
      <c r="R35" s="113">
        <f t="shared" si="1"/>
        <v>0</v>
      </c>
      <c r="S35" s="114" t="str">
        <f t="shared" si="2"/>
        <v>-</v>
      </c>
      <c r="T35" s="115" t="s">
        <v>438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75" customHeight="1">
      <c r="A36" s="105"/>
      <c r="B36" s="133" t="str">
        <f>IFERROR(__xludf.DUMMYFUNCTION("""COMPUTED_VALUE"""),"Shopee")</f>
        <v>Shopee</v>
      </c>
      <c r="C36" s="134" t="str">
        <f>IFERROR(__xludf.DUMMYFUNCTION("""COMPUTED_VALUE"""),"Pembelian Pesanan (PKM Kelapa Dua) tissue livi dan paseo")</f>
        <v>Pembelian Pesanan (PKM Kelapa Dua) tissue livi dan paseo</v>
      </c>
      <c r="D36" s="28"/>
      <c r="E36" s="126" t="str">
        <f>IFERROR(__xludf.DUMMYFUNCTION("""COMPUTED_VALUE"""),"SP Belanja Kebersihan Puskesmas Kelapa Dua September 2025.pdf")</f>
        <v>SP Belanja Kebersihan Puskesmas Kelapa Dua September 2025.pdf</v>
      </c>
      <c r="F36" s="28"/>
      <c r="G36" s="28">
        <f>IFERROR(__xludf.DUMMYFUNCTION("""COMPUTED_VALUE"""),45925.0)</f>
        <v>45925</v>
      </c>
      <c r="H36" s="15"/>
      <c r="I36" s="113">
        <f>IFERROR(__xludf.DUMMYFUNCTION("""COMPUTED_VALUE"""),480255.0)</f>
        <v>480255</v>
      </c>
      <c r="J36" s="132"/>
      <c r="K36" s="132"/>
      <c r="L36" s="132">
        <f>IFERROR(__xludf.DUMMYFUNCTION("""COMPUTED_VALUE"""),480255.0)</f>
        <v>480255</v>
      </c>
      <c r="M36" s="132">
        <v>45925.0</v>
      </c>
      <c r="N36" s="119" t="s">
        <v>437</v>
      </c>
      <c r="O36" s="110">
        <v>480255.0</v>
      </c>
      <c r="P36" s="132">
        <v>45925.0</v>
      </c>
      <c r="Q36" s="129"/>
      <c r="R36" s="113">
        <f t="shared" si="1"/>
        <v>0</v>
      </c>
      <c r="S36" s="114" t="str">
        <f t="shared" si="2"/>
        <v>-</v>
      </c>
      <c r="T36" s="115" t="s">
        <v>438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75" customHeight="1">
      <c r="A37" s="105"/>
      <c r="B37" s="133" t="str">
        <f>IFERROR(__xludf.DUMMYFUNCTION("""COMPUTED_VALUE"""),"Shopee")</f>
        <v>Shopee</v>
      </c>
      <c r="C37" s="134" t="str">
        <f>IFERROR(__xludf.DUMMYFUNCTION("""COMPUTED_VALUE"""),"Pembelian Pesanan (PKM Kelapa Dua) Baygon")</f>
        <v>Pembelian Pesanan (PKM Kelapa Dua) Baygon</v>
      </c>
      <c r="D37" s="28"/>
      <c r="E37" s="126" t="str">
        <f>IFERROR(__xludf.DUMMYFUNCTION("""COMPUTED_VALUE"""),"SP Belanja Kebersihan Puskesmas Kelapa Dua September 2025.pdf")</f>
        <v>SP Belanja Kebersihan Puskesmas Kelapa Dua September 2025.pdf</v>
      </c>
      <c r="F37" s="28"/>
      <c r="G37" s="28">
        <f>IFERROR(__xludf.DUMMYFUNCTION("""COMPUTED_VALUE"""),45925.0)</f>
        <v>45925</v>
      </c>
      <c r="H37" s="15"/>
      <c r="I37" s="113">
        <f>IFERROR(__xludf.DUMMYFUNCTION("""COMPUTED_VALUE"""),798000.0)</f>
        <v>798000</v>
      </c>
      <c r="J37" s="132"/>
      <c r="K37" s="132"/>
      <c r="L37" s="132">
        <f>IFERROR(__xludf.DUMMYFUNCTION("""COMPUTED_VALUE"""),798000.0)</f>
        <v>798000</v>
      </c>
      <c r="M37" s="132">
        <v>45925.0</v>
      </c>
      <c r="N37" s="119" t="s">
        <v>437</v>
      </c>
      <c r="O37" s="110">
        <v>798000.0</v>
      </c>
      <c r="P37" s="132">
        <v>45925.0</v>
      </c>
      <c r="Q37" s="129"/>
      <c r="R37" s="113">
        <f t="shared" si="1"/>
        <v>0</v>
      </c>
      <c r="S37" s="114" t="str">
        <f t="shared" si="2"/>
        <v>-</v>
      </c>
      <c r="T37" s="115" t="s">
        <v>438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5.75" customHeight="1">
      <c r="A38" s="105"/>
      <c r="B38" s="133" t="str">
        <f>IFERROR(__xludf.DUMMYFUNCTION("""COMPUTED_VALUE"""),"Shopee")</f>
        <v>Shopee</v>
      </c>
      <c r="C38" s="134" t="str">
        <f>IFERROR(__xludf.DUMMYFUNCTION("""COMPUTED_VALUE"""),"Pembelian Pesanan (PKM Kelapa Dua) switzal dan minyak telon")</f>
        <v>Pembelian Pesanan (PKM Kelapa Dua) switzal dan minyak telon</v>
      </c>
      <c r="D38" s="28"/>
      <c r="E38" s="126" t="str">
        <f>IFERROR(__xludf.DUMMYFUNCTION("""COMPUTED_VALUE"""),"SP Belanja Kebersihan Puskesmas Kelapa Dua September 2025.pdf")</f>
        <v>SP Belanja Kebersihan Puskesmas Kelapa Dua September 2025.pdf</v>
      </c>
      <c r="F38" s="28"/>
      <c r="G38" s="28">
        <f>IFERROR(__xludf.DUMMYFUNCTION("""COMPUTED_VALUE"""),45925.0)</f>
        <v>45925</v>
      </c>
      <c r="H38" s="15"/>
      <c r="I38" s="113">
        <f>IFERROR(__xludf.DUMMYFUNCTION("""COMPUTED_VALUE"""),493200.0)</f>
        <v>493200</v>
      </c>
      <c r="J38" s="132"/>
      <c r="K38" s="132"/>
      <c r="L38" s="132">
        <f>IFERROR(__xludf.DUMMYFUNCTION("""COMPUTED_VALUE"""),493200.0)</f>
        <v>493200</v>
      </c>
      <c r="M38" s="132">
        <v>45925.0</v>
      </c>
      <c r="N38" s="119" t="s">
        <v>437</v>
      </c>
      <c r="O38" s="110">
        <v>493200.0</v>
      </c>
      <c r="P38" s="132">
        <v>45925.0</v>
      </c>
      <c r="Q38" s="129"/>
      <c r="R38" s="113">
        <f t="shared" si="1"/>
        <v>0</v>
      </c>
      <c r="S38" s="114" t="str">
        <f t="shared" si="2"/>
        <v>-</v>
      </c>
      <c r="T38" s="115" t="s">
        <v>438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5.75" customHeight="1">
      <c r="A39" s="105"/>
      <c r="B39" s="133" t="str">
        <f>IFERROR(__xludf.DUMMYFUNCTION("""COMPUTED_VALUE"""),"Shopee")</f>
        <v>Shopee</v>
      </c>
      <c r="C39" s="134" t="str">
        <f>IFERROR(__xludf.DUMMYFUNCTION("""COMPUTED_VALUE"""),"Pembelian Pesanan (PKM Kelapa Dua) kamper")</f>
        <v>Pembelian Pesanan (PKM Kelapa Dua) kamper</v>
      </c>
      <c r="D39" s="28"/>
      <c r="E39" s="126" t="str">
        <f>IFERROR(__xludf.DUMMYFUNCTION("""COMPUTED_VALUE"""),"SP Belanja Kebersihan Puskesmas Kelapa Dua September 2025.pdf")</f>
        <v>SP Belanja Kebersihan Puskesmas Kelapa Dua September 2025.pdf</v>
      </c>
      <c r="F39" s="28"/>
      <c r="G39" s="28">
        <f>IFERROR(__xludf.DUMMYFUNCTION("""COMPUTED_VALUE"""),45925.0)</f>
        <v>45925</v>
      </c>
      <c r="H39" s="15"/>
      <c r="I39" s="113">
        <f>IFERROR(__xludf.DUMMYFUNCTION("""COMPUTED_VALUE"""),622900.0)</f>
        <v>622900</v>
      </c>
      <c r="J39" s="132"/>
      <c r="K39" s="132"/>
      <c r="L39" s="132">
        <f>IFERROR(__xludf.DUMMYFUNCTION("""COMPUTED_VALUE"""),622900.0)</f>
        <v>622900</v>
      </c>
      <c r="M39" s="132">
        <v>45925.0</v>
      </c>
      <c r="N39" s="119" t="s">
        <v>437</v>
      </c>
      <c r="O39" s="110">
        <v>622900.0</v>
      </c>
      <c r="P39" s="132">
        <v>45925.0</v>
      </c>
      <c r="Q39" s="129"/>
      <c r="R39" s="113">
        <f t="shared" si="1"/>
        <v>0</v>
      </c>
      <c r="S39" s="114" t="str">
        <f t="shared" si="2"/>
        <v>-</v>
      </c>
      <c r="T39" s="115" t="s">
        <v>438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A40" s="105"/>
      <c r="B40" s="133" t="str">
        <f>IFERROR(__xludf.DUMMYFUNCTION("""COMPUTED_VALUE"""),"Shopee")</f>
        <v>Shopee</v>
      </c>
      <c r="C40" s="134" t="str">
        <f>IFERROR(__xludf.DUMMYFUNCTION("""COMPUTED_VALUE"""),"Pembelian Pesanan (PKM Kelapa Dua) tempat sampah")</f>
        <v>Pembelian Pesanan (PKM Kelapa Dua) tempat sampah</v>
      </c>
      <c r="D40" s="28"/>
      <c r="E40" s="126" t="str">
        <f>IFERROR(__xludf.DUMMYFUNCTION("""COMPUTED_VALUE"""),"SP Belanja Kebersihan Puskesmas Kelapa Dua September 2025.pdf")</f>
        <v>SP Belanja Kebersihan Puskesmas Kelapa Dua September 2025.pdf</v>
      </c>
      <c r="F40" s="28"/>
      <c r="G40" s="28">
        <f>IFERROR(__xludf.DUMMYFUNCTION("""COMPUTED_VALUE"""),45925.0)</f>
        <v>45925</v>
      </c>
      <c r="H40" s="15"/>
      <c r="I40" s="113">
        <f>IFERROR(__xludf.DUMMYFUNCTION("""COMPUTED_VALUE"""),432000.0)</f>
        <v>432000</v>
      </c>
      <c r="J40" s="132"/>
      <c r="K40" s="132"/>
      <c r="L40" s="132">
        <f>IFERROR(__xludf.DUMMYFUNCTION("""COMPUTED_VALUE"""),432000.0)</f>
        <v>432000</v>
      </c>
      <c r="M40" s="132">
        <v>45925.0</v>
      </c>
      <c r="N40" s="119" t="s">
        <v>437</v>
      </c>
      <c r="O40" s="110">
        <v>432000.0</v>
      </c>
      <c r="P40" s="132">
        <v>45925.0</v>
      </c>
      <c r="Q40" s="129"/>
      <c r="R40" s="113">
        <f t="shared" si="1"/>
        <v>0</v>
      </c>
      <c r="S40" s="114" t="str">
        <f t="shared" si="2"/>
        <v>-</v>
      </c>
      <c r="T40" s="115" t="s">
        <v>438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A41" s="105"/>
      <c r="B41" s="133" t="str">
        <f>IFERROR(__xludf.DUMMYFUNCTION("""COMPUTED_VALUE"""),"Shopee")</f>
        <v>Shopee</v>
      </c>
      <c r="C41" s="134" t="str">
        <f>IFERROR(__xludf.DUMMYFUNCTION("""COMPUTED_VALUE"""),"Pembelian Pesanan (PKM Kelapa Dua) sapu,ember,sikat,keset,sapu plafon,air spray")</f>
        <v>Pembelian Pesanan (PKM Kelapa Dua) sapu,ember,sikat,keset,sapu plafon,air spray</v>
      </c>
      <c r="D41" s="28"/>
      <c r="E41" s="126" t="str">
        <f>IFERROR(__xludf.DUMMYFUNCTION("""COMPUTED_VALUE"""),"SP Belanja Kebersihan Puskesmas Kelapa Dua September 2025.pdf")</f>
        <v>SP Belanja Kebersihan Puskesmas Kelapa Dua September 2025.pdf</v>
      </c>
      <c r="F41" s="28"/>
      <c r="G41" s="28">
        <f>IFERROR(__xludf.DUMMYFUNCTION("""COMPUTED_VALUE"""),45925.0)</f>
        <v>45925</v>
      </c>
      <c r="H41" s="15"/>
      <c r="I41" s="113">
        <f>IFERROR(__xludf.DUMMYFUNCTION("""COMPUTED_VALUE"""),601325.0)</f>
        <v>601325</v>
      </c>
      <c r="J41" s="132"/>
      <c r="K41" s="132"/>
      <c r="L41" s="132">
        <f>IFERROR(__xludf.DUMMYFUNCTION("""COMPUTED_VALUE"""),601325.0)</f>
        <v>601325</v>
      </c>
      <c r="M41" s="132">
        <v>45925.0</v>
      </c>
      <c r="N41" s="119" t="s">
        <v>437</v>
      </c>
      <c r="O41" s="110">
        <v>601325.0</v>
      </c>
      <c r="P41" s="132">
        <v>45925.0</v>
      </c>
      <c r="Q41" s="129"/>
      <c r="R41" s="113">
        <f t="shared" si="1"/>
        <v>0</v>
      </c>
      <c r="S41" s="114" t="str">
        <f t="shared" si="2"/>
        <v>-</v>
      </c>
      <c r="T41" s="115" t="s">
        <v>438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75" customHeight="1">
      <c r="A42" s="105"/>
      <c r="B42" s="105" t="str">
        <f>IFERROR(__xludf.DUMMYFUNCTION("""COMPUTED_VALUE"""),"PT. Top Point")</f>
        <v>PT. Top Point</v>
      </c>
      <c r="C42" s="16" t="str">
        <f>IFERROR(__xludf.DUMMYFUNCTION("""COMPUTED_VALUE"""),"Pembelian Pesanan RSPP PO ke 5")</f>
        <v>Pembelian Pesanan RSPP PO ke 5</v>
      </c>
      <c r="D42" s="28"/>
      <c r="E42" s="126" t="str">
        <f>IFERROR(__xludf.DUMMYFUNCTION("""COMPUTED_VALUE"""),"Surat Pesanan RSPP Po 5")</f>
        <v>Surat Pesanan RSPP Po 5</v>
      </c>
      <c r="F42" s="127" t="str">
        <f>IFERROR(__xludf.DUMMYFUNCTION("""COMPUTED_VALUE"""),"PO ke TP RSPP PO 5")</f>
        <v>PO ke TP RSPP PO 5</v>
      </c>
      <c r="G42" s="28">
        <f>IFERROR(__xludf.DUMMYFUNCTION("""COMPUTED_VALUE"""),45918.0)</f>
        <v>45918</v>
      </c>
      <c r="H42" s="15"/>
      <c r="I42" s="113">
        <f>IFERROR(__xludf.DUMMYFUNCTION("""COMPUTED_VALUE"""),4560811.0)</f>
        <v>4560811</v>
      </c>
      <c r="J42" s="132">
        <f>IFERROR(__xludf.DUMMYFUNCTION("""COMPUTED_VALUE"""),501689.0)</f>
        <v>501689</v>
      </c>
      <c r="K42" s="132"/>
      <c r="L42" s="132">
        <f>IFERROR(__xludf.DUMMYFUNCTION("""COMPUTED_VALUE"""),5062500.0)</f>
        <v>5062500</v>
      </c>
      <c r="M42" s="132">
        <v>45925.0</v>
      </c>
      <c r="N42" s="119" t="s">
        <v>437</v>
      </c>
      <c r="O42" s="110">
        <v>5062500.0</v>
      </c>
      <c r="P42" s="132">
        <v>45925.0</v>
      </c>
      <c r="Q42" s="129"/>
      <c r="R42" s="113">
        <f t="shared" si="1"/>
        <v>0</v>
      </c>
      <c r="S42" s="114" t="str">
        <f t="shared" si="2"/>
        <v>-</v>
      </c>
      <c r="T42" s="115" t="s">
        <v>438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75" customHeight="1">
      <c r="A43" s="105"/>
      <c r="B43" s="105" t="str">
        <f>IFERROR(__xludf.DUMMYFUNCTION("""COMPUTED_VALUE"""),"PT. Sangiang Karya Mandiri")</f>
        <v>PT. Sangiang Karya Mandiri</v>
      </c>
      <c r="C43" s="16" t="str">
        <f>IFERROR(__xludf.DUMMYFUNCTION("""COMPUTED_VALUE"""),"Pembelian Pesanan Dinkes Tasikmalaya")</f>
        <v>Pembelian Pesanan Dinkes Tasikmalaya</v>
      </c>
      <c r="D43" s="28"/>
      <c r="E43" s="126" t="str">
        <f>IFERROR(__xludf.DUMMYFUNCTION("""COMPUTED_VALUE"""),"SP 46 Genta (1).pdf")</f>
        <v>SP 46 Genta (1).pdf</v>
      </c>
      <c r="F43" s="127" t="str">
        <f>IFERROR(__xludf.DUMMYFUNCTION("""COMPUTED_VALUE"""),"po ke pt.sangiang")</f>
        <v>po ke pt.sangiang</v>
      </c>
      <c r="G43" s="28">
        <f>IFERROR(__xludf.DUMMYFUNCTION("""COMPUTED_VALUE"""),45925.0)</f>
        <v>45925</v>
      </c>
      <c r="H43" s="15"/>
      <c r="I43" s="113">
        <f>IFERROR(__xludf.DUMMYFUNCTION("""COMPUTED_VALUE"""),4375000.0)</f>
        <v>4375000</v>
      </c>
      <c r="J43" s="132">
        <f>IFERROR(__xludf.DUMMYFUNCTION("""COMPUTED_VALUE"""),481250.0)</f>
        <v>481250</v>
      </c>
      <c r="K43" s="132"/>
      <c r="L43" s="132">
        <f>IFERROR(__xludf.DUMMYFUNCTION("""COMPUTED_VALUE"""),4856250.0)</f>
        <v>4856250</v>
      </c>
      <c r="M43" s="132">
        <v>45925.0</v>
      </c>
      <c r="N43" s="119" t="s">
        <v>437</v>
      </c>
      <c r="O43" s="110">
        <v>4856250.0</v>
      </c>
      <c r="P43" s="132">
        <v>45925.0</v>
      </c>
      <c r="Q43" s="129"/>
      <c r="R43" s="113">
        <f t="shared" si="1"/>
        <v>0</v>
      </c>
      <c r="S43" s="114" t="str">
        <f t="shared" si="2"/>
        <v>-</v>
      </c>
      <c r="T43" s="115" t="s">
        <v>438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A44" s="105"/>
      <c r="B44" s="105" t="str">
        <f>IFERROR(__xludf.DUMMYFUNCTION("""COMPUTED_VALUE"""),"Shopee")</f>
        <v>Shopee</v>
      </c>
      <c r="C44" s="16" t="str">
        <f>IFERROR(__xludf.DUMMYFUNCTION("""COMPUTED_VALUE"""),"Pembelian Pesanan (PKM Kelapa Dua) mop pel, kain lap, sikat gagang")</f>
        <v>Pembelian Pesanan (PKM Kelapa Dua) mop pel, kain lap, sikat gagang</v>
      </c>
      <c r="D44" s="28"/>
      <c r="E44" s="126" t="str">
        <f>IFERROR(__xludf.DUMMYFUNCTION("""COMPUTED_VALUE"""),"SP Belanja Kebersihan Puskesmas Kelapa Dua September 2025.pdf")</f>
        <v>SP Belanja Kebersihan Puskesmas Kelapa Dua September 2025.pdf</v>
      </c>
      <c r="F44" s="28"/>
      <c r="G44" s="28">
        <f>IFERROR(__xludf.DUMMYFUNCTION("""COMPUTED_VALUE"""),45925.0)</f>
        <v>45925</v>
      </c>
      <c r="H44" s="15"/>
      <c r="I44" s="113">
        <f>IFERROR(__xludf.DUMMYFUNCTION("""COMPUTED_VALUE"""),413664.0)</f>
        <v>413664</v>
      </c>
      <c r="J44" s="132"/>
      <c r="K44" s="132"/>
      <c r="L44" s="132">
        <f>IFERROR(__xludf.DUMMYFUNCTION("""COMPUTED_VALUE"""),413664.0)</f>
        <v>413664</v>
      </c>
      <c r="M44" s="132">
        <v>45925.0</v>
      </c>
      <c r="N44" s="119" t="s">
        <v>437</v>
      </c>
      <c r="O44" s="110">
        <v>413664.0</v>
      </c>
      <c r="P44" s="132">
        <v>45925.0</v>
      </c>
      <c r="Q44" s="129"/>
      <c r="R44" s="113">
        <f t="shared" si="1"/>
        <v>0</v>
      </c>
      <c r="S44" s="114" t="str">
        <f t="shared" si="2"/>
        <v>-</v>
      </c>
      <c r="T44" s="115" t="s">
        <v>438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5.75" customHeight="1">
      <c r="A45" s="105"/>
      <c r="B45" s="105" t="str">
        <f>IFERROR(__xludf.DUMMYFUNCTION("""COMPUTED_VALUE"""),"Shopee")</f>
        <v>Shopee</v>
      </c>
      <c r="C45" s="16" t="str">
        <f>IFERROR(__xludf.DUMMYFUNCTION("""COMPUTED_VALUE"""),"Pembelian Pesanan (PKM Kelapa Dua) pembersih kaca")</f>
        <v>Pembelian Pesanan (PKM Kelapa Dua) pembersih kaca</v>
      </c>
      <c r="D45" s="28"/>
      <c r="E45" s="126" t="str">
        <f>IFERROR(__xludf.DUMMYFUNCTION("""COMPUTED_VALUE"""),"SP Belanja Kebersihan Puskesmas Kelapa Dua September 2025.pdf")</f>
        <v>SP Belanja Kebersihan Puskesmas Kelapa Dua September 2025.pdf</v>
      </c>
      <c r="F45" s="28"/>
      <c r="G45" s="28">
        <f>IFERROR(__xludf.DUMMYFUNCTION("""COMPUTED_VALUE"""),45925.0)</f>
        <v>45925</v>
      </c>
      <c r="H45" s="15"/>
      <c r="I45" s="113">
        <f>IFERROR(__xludf.DUMMYFUNCTION("""COMPUTED_VALUE"""),378500.0)</f>
        <v>378500</v>
      </c>
      <c r="J45" s="132"/>
      <c r="K45" s="132"/>
      <c r="L45" s="132">
        <f>IFERROR(__xludf.DUMMYFUNCTION("""COMPUTED_VALUE"""),378500.0)</f>
        <v>378500</v>
      </c>
      <c r="M45" s="132">
        <v>45925.0</v>
      </c>
      <c r="N45" s="119" t="s">
        <v>437</v>
      </c>
      <c r="O45" s="110">
        <v>378500.0</v>
      </c>
      <c r="P45" s="132">
        <v>45925.0</v>
      </c>
      <c r="Q45" s="129"/>
      <c r="R45" s="113">
        <f t="shared" si="1"/>
        <v>0</v>
      </c>
      <c r="S45" s="114" t="str">
        <f t="shared" si="2"/>
        <v>-</v>
      </c>
      <c r="T45" s="115" t="s">
        <v>438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75" customHeight="1">
      <c r="A46" s="105"/>
      <c r="B46" s="105" t="str">
        <f>IFERROR(__xludf.DUMMYFUNCTION("""COMPUTED_VALUE"""),"Shopee")</f>
        <v>Shopee</v>
      </c>
      <c r="C46" s="16" t="str">
        <f>IFERROR(__xludf.DUMMYFUNCTION("""COMPUTED_VALUE"""),"Pembelian Pesanan (PKM Kelapa Dua) hand sanitizer")</f>
        <v>Pembelian Pesanan (PKM Kelapa Dua) hand sanitizer</v>
      </c>
      <c r="D46" s="28"/>
      <c r="E46" s="126" t="str">
        <f>IFERROR(__xludf.DUMMYFUNCTION("""COMPUTED_VALUE"""),"SP Belanja Kebersihan Puskesmas Kelapa Dua September 2025.pdf")</f>
        <v>SP Belanja Kebersihan Puskesmas Kelapa Dua September 2025.pdf</v>
      </c>
      <c r="F46" s="28"/>
      <c r="G46" s="28">
        <f>IFERROR(__xludf.DUMMYFUNCTION("""COMPUTED_VALUE"""),45925.0)</f>
        <v>45925</v>
      </c>
      <c r="H46" s="15"/>
      <c r="I46" s="113">
        <f>IFERROR(__xludf.DUMMYFUNCTION("""COMPUTED_VALUE"""),436963.0)</f>
        <v>436963</v>
      </c>
      <c r="J46" s="132"/>
      <c r="K46" s="132"/>
      <c r="L46" s="132">
        <f>IFERROR(__xludf.DUMMYFUNCTION("""COMPUTED_VALUE"""),436963.0)</f>
        <v>436963</v>
      </c>
      <c r="M46" s="132">
        <v>45925.0</v>
      </c>
      <c r="N46" s="119" t="s">
        <v>437</v>
      </c>
      <c r="O46" s="110">
        <v>436963.0</v>
      </c>
      <c r="P46" s="132">
        <v>45925.0</v>
      </c>
      <c r="Q46" s="129"/>
      <c r="R46" s="113">
        <f t="shared" si="1"/>
        <v>0</v>
      </c>
      <c r="S46" s="114"/>
      <c r="T46" s="115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75" customHeight="1">
      <c r="A47" s="105"/>
      <c r="B47" s="105" t="str">
        <f>IFERROR(__xludf.DUMMYFUNCTION("""COMPUTED_VALUE"""),"Shopee")</f>
        <v>Shopee</v>
      </c>
      <c r="C47" s="16" t="str">
        <f>IFERROR(__xludf.DUMMYFUNCTION("""COMPUTED_VALUE"""),"Pembelian Pesanan (PKM Kelapa Dua) karbol, cuci tangan, cuci piring")</f>
        <v>Pembelian Pesanan (PKM Kelapa Dua) karbol, cuci tangan, cuci piring</v>
      </c>
      <c r="D47" s="28"/>
      <c r="E47" s="126" t="str">
        <f>IFERROR(__xludf.DUMMYFUNCTION("""COMPUTED_VALUE"""),"SP Belanja Kebersihan Puskesmas Kelapa Dua September 2025.pdf")</f>
        <v>SP Belanja Kebersihan Puskesmas Kelapa Dua September 2025.pdf</v>
      </c>
      <c r="F47" s="28"/>
      <c r="G47" s="28">
        <f>IFERROR(__xludf.DUMMYFUNCTION("""COMPUTED_VALUE"""),45925.0)</f>
        <v>45925</v>
      </c>
      <c r="H47" s="15"/>
      <c r="I47" s="113">
        <f>IFERROR(__xludf.DUMMYFUNCTION("""COMPUTED_VALUE"""),565800.0)</f>
        <v>565800</v>
      </c>
      <c r="J47" s="132"/>
      <c r="K47" s="132"/>
      <c r="L47" s="132">
        <f>IFERROR(__xludf.DUMMYFUNCTION("""COMPUTED_VALUE"""),565800.0)</f>
        <v>565800</v>
      </c>
      <c r="M47" s="132">
        <v>45925.0</v>
      </c>
      <c r="N47" s="119" t="s">
        <v>437</v>
      </c>
      <c r="O47" s="110">
        <v>565800.0</v>
      </c>
      <c r="P47" s="132">
        <v>45925.0</v>
      </c>
      <c r="Q47" s="129"/>
      <c r="R47" s="113">
        <f t="shared" si="1"/>
        <v>0</v>
      </c>
      <c r="S47" s="114"/>
      <c r="T47" s="115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75" customHeight="1">
      <c r="A48" s="105"/>
      <c r="B48" s="105" t="str">
        <f>IFERROR(__xludf.DUMMYFUNCTION("""COMPUTED_VALUE"""),"Shopee")</f>
        <v>Shopee</v>
      </c>
      <c r="C48" s="16" t="str">
        <f>IFERROR(__xludf.DUMMYFUNCTION("""COMPUTED_VALUE"""),"Pembelian Pesanan (PKM Kelapa Dua) byclin")</f>
        <v>Pembelian Pesanan (PKM Kelapa Dua) byclin</v>
      </c>
      <c r="D48" s="28"/>
      <c r="E48" s="126" t="str">
        <f>IFERROR(__xludf.DUMMYFUNCTION("""COMPUTED_VALUE"""),"SP Belanja Kebersihan Puskesmas Kelapa Dua September 2025.pdf")</f>
        <v>SP Belanja Kebersihan Puskesmas Kelapa Dua September 2025.pdf</v>
      </c>
      <c r="F48" s="28"/>
      <c r="G48" s="28">
        <f>IFERROR(__xludf.DUMMYFUNCTION("""COMPUTED_VALUE"""),45925.0)</f>
        <v>45925</v>
      </c>
      <c r="H48" s="15"/>
      <c r="I48" s="113">
        <f>IFERROR(__xludf.DUMMYFUNCTION("""COMPUTED_VALUE"""),509557.0)</f>
        <v>509557</v>
      </c>
      <c r="J48" s="132"/>
      <c r="K48" s="132"/>
      <c r="L48" s="132">
        <f>IFERROR(__xludf.DUMMYFUNCTION("""COMPUTED_VALUE"""),509557.0)</f>
        <v>509557</v>
      </c>
      <c r="M48" s="132">
        <v>45925.0</v>
      </c>
      <c r="N48" s="119" t="s">
        <v>437</v>
      </c>
      <c r="O48" s="110">
        <v>509557.0</v>
      </c>
      <c r="P48" s="132">
        <v>45925.0</v>
      </c>
      <c r="Q48" s="129"/>
      <c r="R48" s="113">
        <f t="shared" si="1"/>
        <v>0</v>
      </c>
      <c r="S48" s="114"/>
      <c r="T48" s="115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5.75" customHeight="1">
      <c r="A49" s="105"/>
      <c r="B49" s="105" t="str">
        <f>IFERROR(__xludf.DUMMYFUNCTION("""COMPUTED_VALUE"""),"Shopee")</f>
        <v>Shopee</v>
      </c>
      <c r="C49" s="16" t="str">
        <f>IFERROR(__xludf.DUMMYFUNCTION("""COMPUTED_VALUE"""),"Pembelian Pesanan (PKM Kelapa Dua) porstex")</f>
        <v>Pembelian Pesanan (PKM Kelapa Dua) porstex</v>
      </c>
      <c r="D49" s="28"/>
      <c r="E49" s="126" t="str">
        <f>IFERROR(__xludf.DUMMYFUNCTION("""COMPUTED_VALUE"""),"SP Belanja Kebersihan Puskesmas Kelapa Dua September 2025.pdf")</f>
        <v>SP Belanja Kebersihan Puskesmas Kelapa Dua September 2025.pdf</v>
      </c>
      <c r="F49" s="28"/>
      <c r="G49" s="28">
        <f>IFERROR(__xludf.DUMMYFUNCTION("""COMPUTED_VALUE"""),45925.0)</f>
        <v>45925</v>
      </c>
      <c r="H49" s="15"/>
      <c r="I49" s="113">
        <f>IFERROR(__xludf.DUMMYFUNCTION("""COMPUTED_VALUE"""),710160.0)</f>
        <v>710160</v>
      </c>
      <c r="J49" s="132"/>
      <c r="K49" s="132"/>
      <c r="L49" s="132">
        <f>IFERROR(__xludf.DUMMYFUNCTION("""COMPUTED_VALUE"""),710160.0)</f>
        <v>710160</v>
      </c>
      <c r="M49" s="132">
        <v>45925.0</v>
      </c>
      <c r="N49" s="119" t="s">
        <v>437</v>
      </c>
      <c r="O49" s="110">
        <v>710160.0</v>
      </c>
      <c r="P49" s="132">
        <v>45925.0</v>
      </c>
      <c r="Q49" s="129"/>
      <c r="R49" s="113">
        <f t="shared" si="1"/>
        <v>0</v>
      </c>
      <c r="S49" s="114"/>
      <c r="T49" s="11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75" customHeight="1">
      <c r="A50" s="105"/>
      <c r="B50" s="105" t="str">
        <f>IFERROR(__xludf.DUMMYFUNCTION("""COMPUTED_VALUE"""),"Shopee")</f>
        <v>Shopee</v>
      </c>
      <c r="C50" s="16" t="str">
        <f>IFERROR(__xludf.DUMMYFUNCTION("""COMPUTED_VALUE"""),"Pembelian Pesanan (PKM Bojong Gede) Spons Sapu Lidi Sapu lantai kain pel")</f>
        <v>Pembelian Pesanan (PKM Bojong Gede) Spons Sapu Lidi Sapu lantai kain pel</v>
      </c>
      <c r="D50" s="28"/>
      <c r="E50" s="126" t="str">
        <f>IFERROR(__xludf.DUMMYFUNCTION("""COMPUTED_VALUE"""),"surat-pesanan-EP-01K64RKYR001N8JKV3440C0J3N Pkm Bojong Gede (1).pdf")</f>
        <v>surat-pesanan-EP-01K64RKYR001N8JKV3440C0J3N Pkm Bojong Gede (1).pdf</v>
      </c>
      <c r="F50" s="28"/>
      <c r="G50" s="28">
        <f>IFERROR(__xludf.DUMMYFUNCTION("""COMPUTED_VALUE"""),45930.0)</f>
        <v>45930</v>
      </c>
      <c r="H50" s="15"/>
      <c r="I50" s="113">
        <f>IFERROR(__xludf.DUMMYFUNCTION("""COMPUTED_VALUE"""),356981.0)</f>
        <v>356981</v>
      </c>
      <c r="J50" s="135"/>
      <c r="K50" s="135"/>
      <c r="L50" s="135">
        <f>IFERROR(__xludf.DUMMYFUNCTION("""COMPUTED_VALUE"""),356981.0)</f>
        <v>356981</v>
      </c>
      <c r="M50" s="135"/>
      <c r="N50" s="136"/>
      <c r="O50" s="113"/>
      <c r="P50" s="129"/>
      <c r="Q50" s="129"/>
      <c r="R50" s="113">
        <f t="shared" si="1"/>
        <v>-356981</v>
      </c>
      <c r="S50" s="114"/>
      <c r="T50" s="115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5.75" customHeight="1">
      <c r="A51" s="105"/>
      <c r="B51" s="105" t="str">
        <f>IFERROR(__xludf.DUMMYFUNCTION("""COMPUTED_VALUE"""),"Shopee")</f>
        <v>Shopee</v>
      </c>
      <c r="C51" s="16" t="str">
        <f>IFERROR(__xludf.DUMMYFUNCTION("""COMPUTED_VALUE"""),"Pembelian Pesanan (PKM Bojong Gede) Karbol dan Sabun cuci tangan")</f>
        <v>Pembelian Pesanan (PKM Bojong Gede) Karbol dan Sabun cuci tangan</v>
      </c>
      <c r="D51" s="28"/>
      <c r="E51" s="126" t="str">
        <f>IFERROR(__xludf.DUMMYFUNCTION("""COMPUTED_VALUE"""),"surat-pesanan-EP-01K64RKYR001N8JKV3440C0J3N Pkm Bojong Gede (1).pdf")</f>
        <v>surat-pesanan-EP-01K64RKYR001N8JKV3440C0J3N Pkm Bojong Gede (1).pdf</v>
      </c>
      <c r="F51" s="28"/>
      <c r="G51" s="28">
        <f>IFERROR(__xludf.DUMMYFUNCTION("""COMPUTED_VALUE"""),45930.0)</f>
        <v>45930</v>
      </c>
      <c r="H51" s="15"/>
      <c r="I51" s="113">
        <f>IFERROR(__xludf.DUMMYFUNCTION("""COMPUTED_VALUE"""),1255860.0)</f>
        <v>1255860</v>
      </c>
      <c r="J51" s="135"/>
      <c r="K51" s="135"/>
      <c r="L51" s="135">
        <f>IFERROR(__xludf.DUMMYFUNCTION("""COMPUTED_VALUE"""),1255860.0)</f>
        <v>1255860</v>
      </c>
      <c r="M51" s="135"/>
      <c r="N51" s="136"/>
      <c r="O51" s="113"/>
      <c r="P51" s="129"/>
      <c r="Q51" s="129"/>
      <c r="R51" s="113">
        <f t="shared" si="1"/>
        <v>-1255860</v>
      </c>
      <c r="S51" s="114"/>
      <c r="T51" s="115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5.75" customHeight="1">
      <c r="A52" s="105"/>
      <c r="B52" s="105" t="str">
        <f>IFERROR(__xludf.DUMMYFUNCTION("""COMPUTED_VALUE"""),"Shopee")</f>
        <v>Shopee</v>
      </c>
      <c r="C52" s="16" t="str">
        <f>IFERROR(__xludf.DUMMYFUNCTION("""COMPUTED_VALUE"""),"Pembelian Pesanan (PKM Bojong Gede) Tissue")</f>
        <v>Pembelian Pesanan (PKM Bojong Gede) Tissue</v>
      </c>
      <c r="D52" s="28"/>
      <c r="E52" s="126" t="str">
        <f>IFERROR(__xludf.DUMMYFUNCTION("""COMPUTED_VALUE"""),"surat-pesanan-EP-01K64RKYR001N8JKV3440C0J3N Pkm Bojong Gede (1).pdf")</f>
        <v>surat-pesanan-EP-01K64RKYR001N8JKV3440C0J3N Pkm Bojong Gede (1).pdf</v>
      </c>
      <c r="F52" s="28"/>
      <c r="G52" s="28">
        <f>IFERROR(__xludf.DUMMYFUNCTION("""COMPUTED_VALUE"""),45930.0)</f>
        <v>45930</v>
      </c>
      <c r="H52" s="15"/>
      <c r="I52" s="113">
        <f>IFERROR(__xludf.DUMMYFUNCTION("""COMPUTED_VALUE"""),912900.0)</f>
        <v>912900</v>
      </c>
      <c r="J52" s="135"/>
      <c r="K52" s="135"/>
      <c r="L52" s="135">
        <f>IFERROR(__xludf.DUMMYFUNCTION("""COMPUTED_VALUE"""),912900.0)</f>
        <v>912900</v>
      </c>
      <c r="M52" s="135"/>
      <c r="N52" s="136"/>
      <c r="O52" s="113"/>
      <c r="P52" s="129"/>
      <c r="Q52" s="129"/>
      <c r="R52" s="113">
        <f t="shared" si="1"/>
        <v>-912900</v>
      </c>
      <c r="S52" s="114"/>
      <c r="T52" s="115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75" customHeight="1">
      <c r="A53" s="105"/>
      <c r="B53" s="105" t="str">
        <f>IFERROR(__xludf.DUMMYFUNCTION("""COMPUTED_VALUE"""),"PT. Bintang Setya Media")</f>
        <v>PT. Bintang Setya Media</v>
      </c>
      <c r="C53" s="16" t="str">
        <f>IFERROR(__xludf.DUMMYFUNCTION("""COMPUTED_VALUE"""),"Pembayaran Service Printer")</f>
        <v>Pembayaran Service Printer</v>
      </c>
      <c r="D53" s="28"/>
      <c r="E53" s="128"/>
      <c r="F53" s="28"/>
      <c r="G53" s="28">
        <f>IFERROR(__xludf.DUMMYFUNCTION("""COMPUTED_VALUE"""),45919.0)</f>
        <v>45919</v>
      </c>
      <c r="H53" s="15"/>
      <c r="I53" s="113">
        <f>IFERROR(__xludf.DUMMYFUNCTION("""COMPUTED_VALUE"""),780000.0)</f>
        <v>780000</v>
      </c>
      <c r="J53" s="135"/>
      <c r="K53" s="135"/>
      <c r="L53" s="135">
        <f>IFERROR(__xludf.DUMMYFUNCTION("""COMPUTED_VALUE"""),780000.0)</f>
        <v>780000</v>
      </c>
      <c r="M53" s="135"/>
      <c r="N53" s="136"/>
      <c r="O53" s="113"/>
      <c r="P53" s="129"/>
      <c r="Q53" s="129"/>
      <c r="R53" s="113">
        <f t="shared" si="1"/>
        <v>-780000</v>
      </c>
      <c r="S53" s="114"/>
      <c r="T53" s="115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A54" s="105"/>
      <c r="B54" s="105" t="str">
        <f>IFERROR(__xludf.DUMMYFUNCTION("""COMPUTED_VALUE"""),"PT. Bintang Setya Media")</f>
        <v>PT. Bintang Setya Media</v>
      </c>
      <c r="C54" s="16" t="str">
        <f>IFERROR(__xludf.DUMMYFUNCTION("""COMPUTED_VALUE"""),"Pembelian Tinta Printer")</f>
        <v>Pembelian Tinta Printer</v>
      </c>
      <c r="D54" s="28"/>
      <c r="E54" s="128"/>
      <c r="F54" s="28"/>
      <c r="G54" s="28">
        <f>IFERROR(__xludf.DUMMYFUNCTION("""COMPUTED_VALUE"""),45919.0)</f>
        <v>45919</v>
      </c>
      <c r="H54" s="15"/>
      <c r="I54" s="113">
        <f>IFERROR(__xludf.DUMMYFUNCTION("""COMPUTED_VALUE"""),500000.0)</f>
        <v>500000</v>
      </c>
      <c r="J54" s="135"/>
      <c r="K54" s="135"/>
      <c r="L54" s="135">
        <f>IFERROR(__xludf.DUMMYFUNCTION("""COMPUTED_VALUE"""),500000.0)</f>
        <v>500000</v>
      </c>
      <c r="M54" s="135"/>
      <c r="N54" s="136"/>
      <c r="O54" s="113"/>
      <c r="P54" s="129"/>
      <c r="Q54" s="129"/>
      <c r="R54" s="113">
        <f t="shared" si="1"/>
        <v>-500000</v>
      </c>
      <c r="S54" s="114"/>
      <c r="T54" s="115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A55" s="105"/>
      <c r="B55" s="105" t="str">
        <f>IFERROR(__xludf.DUMMYFUNCTION("""COMPUTED_VALUE"""),"PT. Top Point Medical")</f>
        <v>PT. Top Point Medical</v>
      </c>
      <c r="C55" s="16" t="str">
        <f>IFERROR(__xludf.DUMMYFUNCTION("""COMPUTED_VALUE"""),"Pembelian Pesanan RS Suyoto")</f>
        <v>Pembelian Pesanan RS Suyoto</v>
      </c>
      <c r="D55" s="28"/>
      <c r="E55" s="126" t="str">
        <f>IFERROR(__xludf.DUMMYFUNCTION("""COMPUTED_VALUE"""),"Pesanan RS Suyoto")</f>
        <v>Pesanan RS Suyoto</v>
      </c>
      <c r="F55" s="127" t="str">
        <f>IFERROR(__xludf.DUMMYFUNCTION("""COMPUTED_VALUE"""),"PO ke TP (Pesanan RS Suyoto)")</f>
        <v>PO ke TP (Pesanan RS Suyoto)</v>
      </c>
      <c r="G55" s="28">
        <f>IFERROR(__xludf.DUMMYFUNCTION("""COMPUTED_VALUE"""),45911.0)</f>
        <v>45911</v>
      </c>
      <c r="H55" s="15"/>
      <c r="I55" s="113">
        <f>IFERROR(__xludf.DUMMYFUNCTION("""COMPUTED_VALUE"""),2760901.0)</f>
        <v>2760901</v>
      </c>
      <c r="J55" s="135">
        <f>IFERROR(__xludf.DUMMYFUNCTION("""COMPUTED_VALUE"""),303699.0)</f>
        <v>303699</v>
      </c>
      <c r="K55" s="135"/>
      <c r="L55" s="135">
        <f>IFERROR(__xludf.DUMMYFUNCTION("""COMPUTED_VALUE"""),3064600.0)</f>
        <v>3064600</v>
      </c>
      <c r="M55" s="135"/>
      <c r="N55" s="136"/>
      <c r="O55" s="113"/>
      <c r="P55" s="129"/>
      <c r="Q55" s="129"/>
      <c r="R55" s="113">
        <f t="shared" si="1"/>
        <v>-3064600</v>
      </c>
      <c r="S55" s="114"/>
      <c r="T55" s="115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15.75" customHeight="1">
      <c r="A56" s="105"/>
      <c r="B56" s="105" t="str">
        <f>IFERROR(__xludf.DUMMYFUNCTION("""COMPUTED_VALUE"""),"PT. Whira Pitoe Usaha Bersama")</f>
        <v>PT. Whira Pitoe Usaha Bersama</v>
      </c>
      <c r="C56" s="16" t="str">
        <f>IFERROR(__xludf.DUMMYFUNCTION("""COMPUTED_VALUE"""),"Pembelian Biomaxima Biopath (Dinkes Tasikmalaya)")</f>
        <v>Pembelian Biomaxima Biopath (Dinkes Tasikmalaya)</v>
      </c>
      <c r="D56" s="28"/>
      <c r="E56" s="126" t="str">
        <f>IFERROR(__xludf.DUMMYFUNCTION("""COMPUTED_VALUE"""),"SP 46 Genta (1).pdf")</f>
        <v>SP 46 Genta (1).pdf</v>
      </c>
      <c r="F56" s="28"/>
      <c r="G56" s="28">
        <f>IFERROR(__xludf.DUMMYFUNCTION("""COMPUTED_VALUE"""),45926.0)</f>
        <v>45926</v>
      </c>
      <c r="H56" s="15"/>
      <c r="I56" s="113">
        <f>IFERROR(__xludf.DUMMYFUNCTION("""COMPUTED_VALUE"""),1831351.0)</f>
        <v>1831351</v>
      </c>
      <c r="J56" s="135">
        <f>IFERROR(__xludf.DUMMYFUNCTION("""COMPUTED_VALUE"""),201449.0)</f>
        <v>201449</v>
      </c>
      <c r="K56" s="135"/>
      <c r="L56" s="135">
        <f>IFERROR(__xludf.DUMMYFUNCTION("""COMPUTED_VALUE"""),2032800.0)</f>
        <v>2032800</v>
      </c>
      <c r="M56" s="135"/>
      <c r="N56" s="136"/>
      <c r="O56" s="113"/>
      <c r="P56" s="129"/>
      <c r="Q56" s="129"/>
      <c r="R56" s="113">
        <f t="shared" si="1"/>
        <v>-2032800</v>
      </c>
      <c r="S56" s="114"/>
      <c r="T56" s="115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15.75" customHeight="1">
      <c r="A57" s="105"/>
      <c r="B57" s="105" t="str">
        <f>IFERROR(__xludf.DUMMYFUNCTION("""COMPUTED_VALUE"""),"PT. Sangiang Karya Mandiri")</f>
        <v>PT. Sangiang Karya Mandiri</v>
      </c>
      <c r="C57" s="16" t="str">
        <f>IFERROR(__xludf.DUMMYFUNCTION("""COMPUTED_VALUE"""),"Pembelian Egens Combo Diagnostic Kit Multi Drug Panel (Dinkes Tasikmalaya)")</f>
        <v>Pembelian Egens Combo Diagnostic Kit Multi Drug Panel (Dinkes Tasikmalaya)</v>
      </c>
      <c r="D57" s="28"/>
      <c r="E57" s="126" t="str">
        <f>IFERROR(__xludf.DUMMYFUNCTION("""COMPUTED_VALUE"""),"SP 46 Genta (1).pdf")</f>
        <v>SP 46 Genta (1).pdf</v>
      </c>
      <c r="F57" s="28"/>
      <c r="G57" s="28">
        <f>IFERROR(__xludf.DUMMYFUNCTION("""COMPUTED_VALUE"""),45925.0)</f>
        <v>45925</v>
      </c>
      <c r="H57" s="15"/>
      <c r="I57" s="113">
        <f>IFERROR(__xludf.DUMMYFUNCTION("""COMPUTED_VALUE"""),4375000.0)</f>
        <v>4375000</v>
      </c>
      <c r="J57" s="135">
        <f>IFERROR(__xludf.DUMMYFUNCTION("""COMPUTED_VALUE"""),481250.0)</f>
        <v>481250</v>
      </c>
      <c r="K57" s="135"/>
      <c r="L57" s="135">
        <f>IFERROR(__xludf.DUMMYFUNCTION("""COMPUTED_VALUE"""),4856250.0)</f>
        <v>4856250</v>
      </c>
      <c r="M57" s="135"/>
      <c r="N57" s="136"/>
      <c r="O57" s="113"/>
      <c r="P57" s="129"/>
      <c r="Q57" s="129"/>
      <c r="R57" s="113">
        <f t="shared" si="1"/>
        <v>-4856250</v>
      </c>
      <c r="S57" s="114"/>
      <c r="T57" s="115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A58" s="105"/>
      <c r="B58" s="105" t="str">
        <f>IFERROR(__xludf.DUMMYFUNCTION("""COMPUTED_VALUE"""),"PT. BSM")</f>
        <v>PT. BSM</v>
      </c>
      <c r="C58" s="16" t="str">
        <f>IFERROR(__xludf.DUMMYFUNCTION("""COMPUTED_VALUE"""),"Pembelian Monetes ")</f>
        <v>Pembelian Monetes </v>
      </c>
      <c r="D58" s="28"/>
      <c r="E58" s="126" t="str">
        <f>IFERROR(__xludf.DUMMYFUNCTION("""COMPUTED_VALUE"""),"SP 46 Genta (1).pdf")</f>
        <v>SP 46 Genta (1).pdf</v>
      </c>
      <c r="F58" s="28"/>
      <c r="G58" s="28">
        <f>IFERROR(__xludf.DUMMYFUNCTION("""COMPUTED_VALUE"""),45925.0)</f>
        <v>45925</v>
      </c>
      <c r="H58" s="15"/>
      <c r="I58" s="113">
        <f>IFERROR(__xludf.DUMMYFUNCTION("""COMPUTED_VALUE"""),567572.0)</f>
        <v>567572</v>
      </c>
      <c r="J58" s="135">
        <f>IFERROR(__xludf.DUMMYFUNCTION("""COMPUTED_VALUE"""),62433.0)</f>
        <v>62433</v>
      </c>
      <c r="K58" s="135"/>
      <c r="L58" s="135">
        <f>IFERROR(__xludf.DUMMYFUNCTION("""COMPUTED_VALUE"""),630005.0)</f>
        <v>630005</v>
      </c>
      <c r="M58" s="135"/>
      <c r="N58" s="136"/>
      <c r="O58" s="113"/>
      <c r="P58" s="129"/>
      <c r="Q58" s="129"/>
      <c r="R58" s="113">
        <f t="shared" si="1"/>
        <v>-630005</v>
      </c>
      <c r="S58" s="114"/>
      <c r="T58" s="115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15.75" customHeight="1">
      <c r="A59" s="105"/>
      <c r="B59" s="105"/>
      <c r="C59" s="16"/>
      <c r="D59" s="28"/>
      <c r="E59" s="128"/>
      <c r="F59" s="28"/>
      <c r="G59" s="28"/>
      <c r="H59" s="15"/>
      <c r="I59" s="113"/>
      <c r="J59" s="135"/>
      <c r="K59" s="135"/>
      <c r="L59" s="135"/>
      <c r="M59" s="135"/>
      <c r="N59" s="136"/>
      <c r="O59" s="113"/>
      <c r="P59" s="129"/>
      <c r="Q59" s="129"/>
      <c r="R59" s="113">
        <f t="shared" si="1"/>
        <v>0</v>
      </c>
      <c r="S59" s="114"/>
      <c r="T59" s="115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15.75" customHeight="1">
      <c r="A60" s="105"/>
      <c r="B60" s="105" t="str">
        <f>IFERROR(__xludf.DUMMYFUNCTION("""COMPUTED_VALUE"""),"Pramuka")</f>
        <v>Pramuka</v>
      </c>
      <c r="C60" s="16" t="str">
        <f>IFERROR(__xludf.DUMMYFUNCTION("""COMPUTED_VALUE"""),"Pembelian 70 Box sarung tangan (Pesanan PKM Sentul) ")</f>
        <v>Pembelian 70 Box sarung tangan (Pesanan PKM Sentul) </v>
      </c>
      <c r="D60" s="28"/>
      <c r="E60" s="126" t="str">
        <f>IFERROR(__xludf.DUMMYFUNCTION("""COMPUTED_VALUE"""),"BMHP Sentul.pdf")</f>
        <v>BMHP Sentul.pdf</v>
      </c>
      <c r="F60" s="28"/>
      <c r="G60" s="28">
        <f>IFERROR(__xludf.DUMMYFUNCTION("""COMPUTED_VALUE"""),45937.0)</f>
        <v>45937</v>
      </c>
      <c r="H60" s="15"/>
      <c r="I60" s="113">
        <f>IFERROR(__xludf.DUMMYFUNCTION("""COMPUTED_VALUE"""),2800000.0)</f>
        <v>2800000</v>
      </c>
      <c r="J60" s="135"/>
      <c r="K60" s="135"/>
      <c r="L60" s="135">
        <f>IFERROR(__xludf.DUMMYFUNCTION("""COMPUTED_VALUE"""),2800000.0)</f>
        <v>2800000</v>
      </c>
      <c r="M60" s="135"/>
      <c r="N60" s="136"/>
      <c r="O60" s="113"/>
      <c r="P60" s="129"/>
      <c r="Q60" s="129"/>
      <c r="R60" s="113">
        <f t="shared" si="1"/>
        <v>-2800000</v>
      </c>
      <c r="S60" s="114"/>
      <c r="T60" s="115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5.75" customHeight="1">
      <c r="A61" s="105"/>
      <c r="B61" s="105" t="str">
        <f>IFERROR(__xludf.DUMMYFUNCTION("""COMPUTED_VALUE"""),"Shopee")</f>
        <v>Shopee</v>
      </c>
      <c r="C61" s="16" t="str">
        <f>IFERROR(__xludf.DUMMYFUNCTION("""COMPUTED_VALUE"""),"Alcohol Swab (PKM SENTUL) 50 Box")</f>
        <v>Alcohol Swab (PKM SENTUL) 50 Box</v>
      </c>
      <c r="D61" s="28"/>
      <c r="E61" s="126" t="str">
        <f>IFERROR(__xludf.DUMMYFUNCTION("""COMPUTED_VALUE"""),"BMHP Sentul.pdf")</f>
        <v>BMHP Sentul.pdf</v>
      </c>
      <c r="F61" s="28"/>
      <c r="G61" s="28">
        <f>IFERROR(__xludf.DUMMYFUNCTION("""COMPUTED_VALUE"""),45937.0)</f>
        <v>45937</v>
      </c>
      <c r="H61" s="15"/>
      <c r="I61" s="113">
        <f>IFERROR(__xludf.DUMMYFUNCTION("""COMPUTED_VALUE"""),394000.0)</f>
        <v>394000</v>
      </c>
      <c r="J61" s="135"/>
      <c r="K61" s="135"/>
      <c r="L61" s="135">
        <f>IFERROR(__xludf.DUMMYFUNCTION("""COMPUTED_VALUE"""),394000.0)</f>
        <v>394000</v>
      </c>
      <c r="M61" s="135"/>
      <c r="N61" s="136"/>
      <c r="O61" s="113"/>
      <c r="P61" s="129"/>
      <c r="Q61" s="129"/>
      <c r="R61" s="113">
        <f t="shared" si="1"/>
        <v>-394000</v>
      </c>
      <c r="S61" s="114"/>
      <c r="T61" s="115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5.75" customHeight="1">
      <c r="A62" s="105"/>
      <c r="B62" s="105" t="str">
        <f>IFERROR(__xludf.DUMMYFUNCTION("""COMPUTED_VALUE"""),"Shopee")</f>
        <v>Shopee</v>
      </c>
      <c r="C62" s="16" t="str">
        <f>IFERROR(__xludf.DUMMYFUNCTION("""COMPUTED_VALUE"""),"Masker 50 Box (PKM Sentul)")</f>
        <v>Masker 50 Box (PKM Sentul)</v>
      </c>
      <c r="D62" s="28"/>
      <c r="E62" s="126" t="str">
        <f>IFERROR(__xludf.DUMMYFUNCTION("""COMPUTED_VALUE"""),"BMHP Sentul.pdf")</f>
        <v>BMHP Sentul.pdf</v>
      </c>
      <c r="F62" s="28"/>
      <c r="G62" s="28">
        <f>IFERROR(__xludf.DUMMYFUNCTION("""COMPUTED_VALUE"""),45937.0)</f>
        <v>45937</v>
      </c>
      <c r="H62" s="15"/>
      <c r="I62" s="113">
        <f>IFERROR(__xludf.DUMMYFUNCTION("""COMPUTED_VALUE"""),527800.0)</f>
        <v>527800</v>
      </c>
      <c r="J62" s="135"/>
      <c r="K62" s="135"/>
      <c r="L62" s="135">
        <f>IFERROR(__xludf.DUMMYFUNCTION("""COMPUTED_VALUE"""),527800.0)</f>
        <v>527800</v>
      </c>
      <c r="M62" s="135"/>
      <c r="N62" s="136"/>
      <c r="O62" s="113"/>
      <c r="P62" s="129"/>
      <c r="Q62" s="129"/>
      <c r="R62" s="113"/>
      <c r="S62" s="114"/>
      <c r="T62" s="115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5.75" customHeight="1">
      <c r="A63" s="105"/>
      <c r="B63" s="105" t="str">
        <f>IFERROR(__xludf.DUMMYFUNCTION("""COMPUTED_VALUE"""),"Top Point")</f>
        <v>Top Point</v>
      </c>
      <c r="C63" s="16" t="str">
        <f>IFERROR(__xludf.DUMMYFUNCTION("""COMPUTED_VALUE"""),"Pembelian Spuit 3cc")</f>
        <v>Pembelian Spuit 3cc</v>
      </c>
      <c r="D63" s="28"/>
      <c r="E63" s="126" t="str">
        <f>IFERROR(__xludf.DUMMYFUNCTION("""COMPUTED_VALUE"""),"BMHP Sentul.pdf")</f>
        <v>BMHP Sentul.pdf</v>
      </c>
      <c r="F63" s="127" t="str">
        <f>IFERROR(__xludf.DUMMYFUNCTION("""COMPUTED_VALUE"""),"MPG-021025003 - Top Point (PKM Sentul).pdf")</f>
        <v>MPG-021025003 - Top Point (PKM Sentul).pdf</v>
      </c>
      <c r="G63" s="28">
        <f>IFERROR(__xludf.DUMMYFUNCTION("""COMPUTED_VALUE"""),45936.0)</f>
        <v>45936</v>
      </c>
      <c r="H63" s="15"/>
      <c r="I63" s="113">
        <f>IFERROR(__xludf.DUMMYFUNCTION("""COMPUTED_VALUE"""),1091992.0)</f>
        <v>1091992</v>
      </c>
      <c r="J63" s="135">
        <f>IFERROR(__xludf.DUMMYFUNCTION("""COMPUTED_VALUE"""),120119.0)</f>
        <v>120119</v>
      </c>
      <c r="K63" s="135"/>
      <c r="L63" s="135">
        <f>IFERROR(__xludf.DUMMYFUNCTION("""COMPUTED_VALUE"""),1212111.0)</f>
        <v>1212111</v>
      </c>
      <c r="M63" s="135"/>
      <c r="N63" s="136"/>
      <c r="O63" s="113"/>
      <c r="P63" s="129"/>
      <c r="Q63" s="129"/>
      <c r="R63" s="113"/>
      <c r="S63" s="114"/>
      <c r="T63" s="115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5.75" customHeight="1">
      <c r="A64" s="105"/>
      <c r="B64" s="105" t="str">
        <f>IFERROR(__xludf.DUMMYFUNCTION("""COMPUTED_VALUE"""),"BSM")</f>
        <v>BSM</v>
      </c>
      <c r="C64" s="16" t="str">
        <f>IFERROR(__xludf.DUMMYFUNCTION("""COMPUTED_VALUE"""),"Pembelian Tabung Plan Merah, Stik Asam Urat, Stik Kolestrol, EDTA 3ML (PKM CIAWI)")</f>
        <v>Pembelian Tabung Plan Merah, Stik Asam Urat, Stik Kolestrol, EDTA 3ML (PKM CIAWI)</v>
      </c>
      <c r="D64" s="28"/>
      <c r="E64" s="126" t="str">
        <f>IFERROR(__xludf.DUMMYFUNCTION("""COMPUTED_VALUE"""),"surat-pesanan-EP-01K6M1B6X4Q02429HWGQBC58JY PKM CIAWI.pdf")</f>
        <v>surat-pesanan-EP-01K6M1B6X4Q02429HWGQBC58JY PKM CIAWI.pdf</v>
      </c>
      <c r="F64" s="127" t="str">
        <f>IFERROR(__xludf.DUMMYFUNCTION("""COMPUTED_VALUE"""),"MPG-031025005 - PT. BSM ...pdf")</f>
        <v>MPG-031025005 - PT. BSM ...pdf</v>
      </c>
      <c r="G64" s="28">
        <f>IFERROR(__xludf.DUMMYFUNCTION("""COMPUTED_VALUE"""),45937.0)</f>
        <v>45937</v>
      </c>
      <c r="H64" s="15"/>
      <c r="I64" s="113">
        <f>IFERROR(__xludf.DUMMYFUNCTION("""COMPUTED_VALUE"""),7005554.0)</f>
        <v>7005554</v>
      </c>
      <c r="J64" s="135"/>
      <c r="K64" s="135"/>
      <c r="L64" s="135">
        <f>IFERROR(__xludf.DUMMYFUNCTION("""COMPUTED_VALUE"""),7005554.0)</f>
        <v>7005554</v>
      </c>
      <c r="M64" s="135"/>
      <c r="N64" s="136"/>
      <c r="O64" s="113"/>
      <c r="P64" s="129"/>
      <c r="Q64" s="129"/>
      <c r="R64" s="113"/>
      <c r="S64" s="114"/>
      <c r="T64" s="115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5.75" customHeight="1">
      <c r="A65" s="105"/>
      <c r="B65" s="105" t="str">
        <f>IFERROR(__xludf.DUMMYFUNCTION("""COMPUTED_VALUE"""),"shopee")</f>
        <v>shopee</v>
      </c>
      <c r="C65" s="16" t="str">
        <f>IFERROR(__xludf.DUMMYFUNCTION("""COMPUTED_VALUE"""),"Pembelian Yellow Tip (PKM CIAWI)")</f>
        <v>Pembelian Yellow Tip (PKM CIAWI)</v>
      </c>
      <c r="D65" s="28"/>
      <c r="E65" s="126" t="str">
        <f>IFERROR(__xludf.DUMMYFUNCTION("""COMPUTED_VALUE"""),"surat-pesanan-EP-01K6M1B6X4Q02429HWGQBC58JY PKM CIAWI.pdf")</f>
        <v>surat-pesanan-EP-01K6M1B6X4Q02429HWGQBC58JY PKM CIAWI.pdf</v>
      </c>
      <c r="F65" s="28"/>
      <c r="G65" s="28">
        <f>IFERROR(__xludf.DUMMYFUNCTION("""COMPUTED_VALUE"""),45937.0)</f>
        <v>45937</v>
      </c>
      <c r="H65" s="15"/>
      <c r="I65" s="113">
        <f>IFERROR(__xludf.DUMMYFUNCTION("""COMPUTED_VALUE"""),79108.0)</f>
        <v>79108</v>
      </c>
      <c r="J65" s="135"/>
      <c r="K65" s="135"/>
      <c r="L65" s="135">
        <f>IFERROR(__xludf.DUMMYFUNCTION("""COMPUTED_VALUE"""),79108.0)</f>
        <v>79108</v>
      </c>
      <c r="M65" s="135"/>
      <c r="N65" s="136"/>
      <c r="O65" s="113"/>
      <c r="P65" s="129"/>
      <c r="Q65" s="129"/>
      <c r="R65" s="113"/>
      <c r="S65" s="114"/>
      <c r="T65" s="115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5.75" customHeight="1">
      <c r="A66" s="105"/>
      <c r="B66" s="105" t="str">
        <f>IFERROR(__xludf.DUMMYFUNCTION("""COMPUTED_VALUE"""),"shopee")</f>
        <v>shopee</v>
      </c>
      <c r="C66" s="16" t="str">
        <f>IFERROR(__xludf.DUMMYFUNCTION("""COMPUTED_VALUE"""),"Pembelian Kartu Goldar (PKM CIAWI)")</f>
        <v>Pembelian Kartu Goldar (PKM CIAWI)</v>
      </c>
      <c r="D66" s="28"/>
      <c r="E66" s="126" t="str">
        <f>IFERROR(__xludf.DUMMYFUNCTION("""COMPUTED_VALUE"""),"surat-pesanan-EP-01K6M1B6X4Q02429HWGQBC58JY PKM CIAWI.pdf")</f>
        <v>surat-pesanan-EP-01K6M1B6X4Q02429HWGQBC58JY PKM CIAWI.pdf</v>
      </c>
      <c r="F66" s="28"/>
      <c r="G66" s="28">
        <f>IFERROR(__xludf.DUMMYFUNCTION("""COMPUTED_VALUE"""),45937.0)</f>
        <v>45937</v>
      </c>
      <c r="H66" s="15"/>
      <c r="I66" s="113">
        <f>IFERROR(__xludf.DUMMYFUNCTION("""COMPUTED_VALUE"""),66990.0)</f>
        <v>66990</v>
      </c>
      <c r="J66" s="135"/>
      <c r="K66" s="135"/>
      <c r="L66" s="135">
        <f>IFERROR(__xludf.DUMMYFUNCTION("""COMPUTED_VALUE"""),66990.0)</f>
        <v>66990</v>
      </c>
      <c r="M66" s="135"/>
      <c r="N66" s="136"/>
      <c r="O66" s="113"/>
      <c r="P66" s="129"/>
      <c r="Q66" s="129"/>
      <c r="R66" s="113"/>
      <c r="S66" s="114"/>
      <c r="T66" s="115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5.75" customHeight="1">
      <c r="A67" s="105"/>
      <c r="B67" s="105" t="str">
        <f>IFERROR(__xludf.DUMMYFUNCTION("""COMPUTED_VALUE"""),"shopee")</f>
        <v>shopee</v>
      </c>
      <c r="C67" s="16" t="str">
        <f>IFERROR(__xludf.DUMMYFUNCTION("""COMPUTED_VALUE"""),"Pembelian Pot Urine (PKM CIAWI)")</f>
        <v>Pembelian Pot Urine (PKM CIAWI)</v>
      </c>
      <c r="D67" s="28"/>
      <c r="E67" s="126" t="str">
        <f>IFERROR(__xludf.DUMMYFUNCTION("""COMPUTED_VALUE"""),"surat-pesanan-EP-01K6M1B6X4Q02429HWGQBC58JY PKM CIAWI.pdf")</f>
        <v>surat-pesanan-EP-01K6M1B6X4Q02429HWGQBC58JY PKM CIAWI.pdf</v>
      </c>
      <c r="F67" s="28"/>
      <c r="G67" s="28">
        <f>IFERROR(__xludf.DUMMYFUNCTION("""COMPUTED_VALUE"""),45937.0)</f>
        <v>45937</v>
      </c>
      <c r="H67" s="15"/>
      <c r="I67" s="113">
        <f>IFERROR(__xludf.DUMMYFUNCTION("""COMPUTED_VALUE"""),476400.0)</f>
        <v>476400</v>
      </c>
      <c r="J67" s="135"/>
      <c r="K67" s="135"/>
      <c r="L67" s="135">
        <f>IFERROR(__xludf.DUMMYFUNCTION("""COMPUTED_VALUE"""),476400.0)</f>
        <v>476400</v>
      </c>
      <c r="M67" s="135"/>
      <c r="N67" s="136"/>
      <c r="O67" s="113"/>
      <c r="P67" s="129"/>
      <c r="Q67" s="129"/>
      <c r="R67" s="113"/>
      <c r="S67" s="114"/>
      <c r="T67" s="115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A68" s="105"/>
      <c r="B68" s="105"/>
      <c r="C68" s="16" t="str">
        <f>IFERROR(__xludf.DUMMYFUNCTION("""COMPUTED_VALUE"""),"Cashback pkm cihideng udik2, cogrek,cangkurawok")</f>
        <v>Cashback pkm cihideng udik2, cogrek,cangkurawok</v>
      </c>
      <c r="D68" s="28"/>
      <c r="E68" s="128"/>
      <c r="F68" s="28"/>
      <c r="G68" s="28">
        <f>IFERROR(__xludf.DUMMYFUNCTION("""COMPUTED_VALUE"""),45937.0)</f>
        <v>45937</v>
      </c>
      <c r="H68" s="15"/>
      <c r="I68" s="113">
        <f>IFERROR(__xludf.DUMMYFUNCTION("""COMPUTED_VALUE"""),1788970.29)</f>
        <v>1788970.29</v>
      </c>
      <c r="J68" s="135"/>
      <c r="K68" s="135"/>
      <c r="L68" s="135">
        <f>IFERROR(__xludf.DUMMYFUNCTION("""COMPUTED_VALUE"""),1788970.29)</f>
        <v>1788970.29</v>
      </c>
      <c r="M68" s="135"/>
      <c r="N68" s="136"/>
      <c r="O68" s="113"/>
      <c r="P68" s="129"/>
      <c r="Q68" s="129"/>
      <c r="R68" s="113"/>
      <c r="S68" s="114"/>
      <c r="T68" s="115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A69" s="105"/>
      <c r="B69" s="105" t="str">
        <f>IFERROR(__xludf.DUMMYFUNCTION("""COMPUTED_VALUE"""),"PT. Wira Pithoe")</f>
        <v>PT. Wira Pithoe</v>
      </c>
      <c r="C69" s="16" t="str">
        <f>IFERROR(__xludf.DUMMYFUNCTION("""COMPUTED_VALUE"""),"Pembelian Reagen Cholestrol (Dinkes Tasik)")</f>
        <v>Pembelian Reagen Cholestrol (Dinkes Tasik)</v>
      </c>
      <c r="D69" s="28"/>
      <c r="E69" s="126" t="str">
        <f>IFERROR(__xludf.DUMMYFUNCTION("""COMPUTED_VALUE"""),"SP Dinkes Tasikmalaya")</f>
        <v>SP Dinkes Tasikmalaya</v>
      </c>
      <c r="F69" s="28"/>
      <c r="G69" s="28">
        <f>IFERROR(__xludf.DUMMYFUNCTION("""COMPUTED_VALUE"""),45940.0)</f>
        <v>45940</v>
      </c>
      <c r="H69" s="15"/>
      <c r="I69" s="113">
        <f>IFERROR(__xludf.DUMMYFUNCTION("""COMPUTED_VALUE"""),840000.0)</f>
        <v>840000</v>
      </c>
      <c r="J69" s="135">
        <f>IFERROR(__xludf.DUMMYFUNCTION("""COMPUTED_VALUE"""),92400.0)</f>
        <v>92400</v>
      </c>
      <c r="K69" s="135"/>
      <c r="L69" s="135">
        <f>IFERROR(__xludf.DUMMYFUNCTION("""COMPUTED_VALUE"""),932400.0)</f>
        <v>932400</v>
      </c>
      <c r="M69" s="135"/>
      <c r="N69" s="136"/>
      <c r="O69" s="113"/>
      <c r="P69" s="129"/>
      <c r="Q69" s="129"/>
      <c r="R69" s="113"/>
      <c r="S69" s="114"/>
      <c r="T69" s="115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5.75" customHeight="1">
      <c r="A70" s="105"/>
      <c r="B70" s="105" t="str">
        <f>IFERROR(__xludf.DUMMYFUNCTION("""COMPUTED_VALUE"""),"PT. BSM")</f>
        <v>PT. BSM</v>
      </c>
      <c r="C70" s="16" t="str">
        <f>IFERROR(__xludf.DUMMYFUNCTION("""COMPUTED_VALUE"""),"Pembelian Edta (Dinkes Tasik) dan untuk stock")</f>
        <v>Pembelian Edta (Dinkes Tasik) dan untuk stock</v>
      </c>
      <c r="D70" s="28"/>
      <c r="E70" s="126" t="str">
        <f>IFERROR(__xludf.DUMMYFUNCTION("""COMPUTED_VALUE"""),"SP Dinkes Tasikmalaya")</f>
        <v>SP Dinkes Tasikmalaya</v>
      </c>
      <c r="F70" s="127" t="str">
        <f>IFERROR(__xludf.DUMMYFUNCTION("""COMPUTED_VALUE"""),"PO - BSM (dinkes tasik).pdf")</f>
        <v>PO - BSM (dinkes tasik).pdf</v>
      </c>
      <c r="G70" s="28">
        <f>IFERROR(__xludf.DUMMYFUNCTION("""COMPUTED_VALUE"""),45938.0)</f>
        <v>45938</v>
      </c>
      <c r="H70" s="15"/>
      <c r="I70" s="113">
        <f>IFERROR(__xludf.DUMMYFUNCTION("""COMPUTED_VALUE"""),306304.0)</f>
        <v>306304</v>
      </c>
      <c r="J70" s="135">
        <f>IFERROR(__xludf.DUMMYFUNCTION("""COMPUTED_VALUE"""),33693.0)</f>
        <v>33693</v>
      </c>
      <c r="K70" s="135"/>
      <c r="L70" s="135">
        <f>IFERROR(__xludf.DUMMYFUNCTION("""COMPUTED_VALUE"""),339997.0)</f>
        <v>339997</v>
      </c>
      <c r="M70" s="135"/>
      <c r="N70" s="136"/>
      <c r="O70" s="113"/>
      <c r="P70" s="129"/>
      <c r="Q70" s="129"/>
      <c r="R70" s="113"/>
      <c r="S70" s="114"/>
      <c r="T70" s="115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5.75" customHeight="1">
      <c r="A71" s="105"/>
      <c r="B71" s="105" t="str">
        <f>IFERROR(__xludf.DUMMYFUNCTION("""COMPUTED_VALUE"""),"Shopee")</f>
        <v>Shopee</v>
      </c>
      <c r="C71" s="16" t="str">
        <f>IFERROR(__xludf.DUMMYFUNCTION("""COMPUTED_VALUE"""),"Cover glass (Dinkes Tasik)")</f>
        <v>Cover glass (Dinkes Tasik)</v>
      </c>
      <c r="D71" s="28"/>
      <c r="E71" s="126" t="str">
        <f>IFERROR(__xludf.DUMMYFUNCTION("""COMPUTED_VALUE"""),"SP Dinkes Tasikmalaya")</f>
        <v>SP Dinkes Tasikmalaya</v>
      </c>
      <c r="F71" s="28"/>
      <c r="G71" s="28">
        <f>IFERROR(__xludf.DUMMYFUNCTION("""COMPUTED_VALUE"""),45938.0)</f>
        <v>45938</v>
      </c>
      <c r="H71" s="15"/>
      <c r="I71" s="113">
        <f>IFERROR(__xludf.DUMMYFUNCTION("""COMPUTED_VALUE"""),21500.0)</f>
        <v>21500</v>
      </c>
      <c r="J71" s="135"/>
      <c r="K71" s="135"/>
      <c r="L71" s="135">
        <f>IFERROR(__xludf.DUMMYFUNCTION("""COMPUTED_VALUE"""),21500.0)</f>
        <v>21500</v>
      </c>
      <c r="M71" s="135"/>
      <c r="N71" s="136"/>
      <c r="O71" s="113"/>
      <c r="P71" s="129"/>
      <c r="Q71" s="129"/>
      <c r="R71" s="113"/>
      <c r="S71" s="114"/>
      <c r="T71" s="115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A72" s="105"/>
      <c r="B72" s="105" t="str">
        <f>IFERROR(__xludf.DUMMYFUNCTION("""COMPUTED_VALUE"""),"PT. Biosensor")</f>
        <v>PT. Biosensor</v>
      </c>
      <c r="C72" s="16" t="str">
        <f>IFERROR(__xludf.DUMMYFUNCTION("""COMPUTED_VALUE"""),"Pembelian Stik Codefree (PKM CIAWI)")</f>
        <v>Pembelian Stik Codefree (PKM CIAWI)</v>
      </c>
      <c r="D72" s="28"/>
      <c r="E72" s="126" t="str">
        <f>IFERROR(__xludf.DUMMYFUNCTION("""COMPUTED_VALUE"""),"surat-pesanan-EP-01K6M1B6X4Q02429HWGQBC58JY PKM CIAWI.pdf")</f>
        <v>surat-pesanan-EP-01K6M1B6X4Q02429HWGQBC58JY PKM CIAWI.pdf</v>
      </c>
      <c r="F72" s="127" t="str">
        <f>IFERROR(__xludf.DUMMYFUNCTION("""COMPUTED_VALUE"""),"MPG-031025004 - PO BIOSENSOR.pdf")</f>
        <v>MPG-031025004 - PO BIOSENSOR.pdf</v>
      </c>
      <c r="G72" s="28">
        <f>IFERROR(__xludf.DUMMYFUNCTION("""COMPUTED_VALUE"""),45940.0)</f>
        <v>45940</v>
      </c>
      <c r="H72" s="15"/>
      <c r="I72" s="113">
        <f>IFERROR(__xludf.DUMMYFUNCTION("""COMPUTED_VALUE"""),1340090.0)</f>
        <v>1340090</v>
      </c>
      <c r="J72" s="135">
        <f>IFERROR(__xludf.DUMMYFUNCTION("""COMPUTED_VALUE"""),147409.0)</f>
        <v>147409</v>
      </c>
      <c r="K72" s="135"/>
      <c r="L72" s="135">
        <f>IFERROR(__xludf.DUMMYFUNCTION("""COMPUTED_VALUE"""),1487499.0)</f>
        <v>1487499</v>
      </c>
      <c r="M72" s="135"/>
      <c r="N72" s="136"/>
      <c r="O72" s="113"/>
      <c r="P72" s="129"/>
      <c r="Q72" s="129"/>
      <c r="R72" s="113"/>
      <c r="S72" s="114"/>
      <c r="T72" s="115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5.75" customHeight="1">
      <c r="A73" s="105"/>
      <c r="B73" s="105"/>
      <c r="C73" s="16" t="str">
        <f>IFERROR(__xludf.DUMMYFUNCTION("""COMPUTED_VALUE"""),"Cashback PKM Kelapa 2")</f>
        <v>Cashback PKM Kelapa 2</v>
      </c>
      <c r="D73" s="28"/>
      <c r="E73" s="126" t="str">
        <f>IFERROR(__xludf.DUMMYFUNCTION("""COMPUTED_VALUE"""),"SP Belanja Kebersihan Puskesmas Kelapa Dua September 2025.pdf")</f>
        <v>SP Belanja Kebersihan Puskesmas Kelapa Dua September 2025.pdf</v>
      </c>
      <c r="F73" s="28"/>
      <c r="G73" s="28">
        <f>IFERROR(__xludf.DUMMYFUNCTION("""COMPUTED_VALUE"""),45938.0)</f>
        <v>45938</v>
      </c>
      <c r="H73" s="15"/>
      <c r="I73" s="113">
        <f>IFERROR(__xludf.DUMMYFUNCTION("""COMPUTED_VALUE"""),1451916.0)</f>
        <v>1451916</v>
      </c>
      <c r="J73" s="135"/>
      <c r="K73" s="135"/>
      <c r="L73" s="135">
        <f>IFERROR(__xludf.DUMMYFUNCTION("""COMPUTED_VALUE"""),1451916.0)</f>
        <v>1451916</v>
      </c>
      <c r="M73" s="135"/>
      <c r="N73" s="136"/>
      <c r="O73" s="113"/>
      <c r="P73" s="129"/>
      <c r="Q73" s="129"/>
      <c r="R73" s="113"/>
      <c r="S73" s="114"/>
      <c r="T73" s="115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5.75" customHeight="1">
      <c r="A74" s="105"/>
      <c r="B74" s="105" t="str">
        <f>IFERROR(__xludf.DUMMYFUNCTION("""COMPUTED_VALUE"""),"PT. Klipindo Plastik Pratama")</f>
        <v>PT. Klipindo Plastik Pratama</v>
      </c>
      <c r="C74" s="16" t="str">
        <f>IFERROR(__xludf.DUMMYFUNCTION("""COMPUTED_VALUE"""),"Pesanan Plastik (RSUD Ps.Minggu) 1.000 Pack dan pkm sentul 300 pack")</f>
        <v>Pesanan Plastik (RSUD Ps.Minggu) 1.000 Pack dan pkm sentul 300 pack</v>
      </c>
      <c r="D74" s="28"/>
      <c r="E74" s="126" t="str">
        <f>IFERROR(__xludf.DUMMYFUNCTION("""COMPUTED_VALUE"""),"Rsud Pasar Minggu.pdf")</f>
        <v>Rsud Pasar Minggu.pdf</v>
      </c>
      <c r="F74" s="127" t="str">
        <f>IFERROR(__xludf.DUMMYFUNCTION("""COMPUTED_VALUE"""),"MPG-101025010 - PT. Klipindo Plastik Pratama.pdf")</f>
        <v>MPG-101025010 - PT. Klipindo Plastik Pratama.pdf</v>
      </c>
      <c r="G74" s="28">
        <f>IFERROR(__xludf.DUMMYFUNCTION("""COMPUTED_VALUE"""),45940.0)</f>
        <v>45940</v>
      </c>
      <c r="H74" s="15"/>
      <c r="I74" s="113">
        <f>IFERROR(__xludf.DUMMYFUNCTION("""COMPUTED_VALUE"""),1.15259E7)</f>
        <v>11525900</v>
      </c>
      <c r="J74" s="135"/>
      <c r="K74" s="135"/>
      <c r="L74" s="135">
        <f>IFERROR(__xludf.DUMMYFUNCTION("""COMPUTED_VALUE"""),1.15259E7)</f>
        <v>11525900</v>
      </c>
      <c r="M74" s="135"/>
      <c r="N74" s="136"/>
      <c r="O74" s="113"/>
      <c r="P74" s="129"/>
      <c r="Q74" s="129"/>
      <c r="R74" s="113"/>
      <c r="S74" s="114"/>
      <c r="T74" s="115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5.75" customHeight="1">
      <c r="A75" s="105"/>
      <c r="B75" s="105" t="str">
        <f>IFERROR(__xludf.DUMMYFUNCTION("""COMPUTED_VALUE"""),"Shopee")</f>
        <v>Shopee</v>
      </c>
      <c r="C75" s="16" t="str">
        <f>IFERROR(__xludf.DUMMYFUNCTION("""COMPUTED_VALUE"""),"Pembelian Pesanan APAR 3.5 KG (PKM Bojong)")</f>
        <v>Pembelian Pesanan APAR 3.5 KG (PKM Bojong)</v>
      </c>
      <c r="D75" s="28"/>
      <c r="E75" s="126" t="str">
        <f>IFERROR(__xludf.DUMMYFUNCTION("""COMPUTED_VALUE"""),"surat-pesanan-EP-01K6M7R46NK0HCYZ9GCCRKJKVV Pkm Bojong.pdf")</f>
        <v>surat-pesanan-EP-01K6M7R46NK0HCYZ9GCCRKJKVV Pkm Bojong.pdf</v>
      </c>
      <c r="F75" s="28"/>
      <c r="G75" s="28">
        <f>IFERROR(__xludf.DUMMYFUNCTION("""COMPUTED_VALUE"""),45940.0)</f>
        <v>45940</v>
      </c>
      <c r="H75" s="15"/>
      <c r="I75" s="113">
        <f>IFERROR(__xludf.DUMMYFUNCTION("""COMPUTED_VALUE"""),876000.0)</f>
        <v>876000</v>
      </c>
      <c r="J75" s="135"/>
      <c r="K75" s="135"/>
      <c r="L75" s="135">
        <f>IFERROR(__xludf.DUMMYFUNCTION("""COMPUTED_VALUE"""),876000.0)</f>
        <v>876000</v>
      </c>
      <c r="M75" s="135"/>
      <c r="N75" s="136"/>
      <c r="O75" s="113"/>
      <c r="P75" s="129"/>
      <c r="Q75" s="129"/>
      <c r="R75" s="113"/>
      <c r="S75" s="114"/>
      <c r="T75" s="115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75" customHeight="1">
      <c r="A76" s="105"/>
      <c r="B76" s="105" t="str">
        <f>IFERROR(__xludf.DUMMYFUNCTION("""COMPUTED_VALUE"""),"PT. Top Point")</f>
        <v>PT. Top Point</v>
      </c>
      <c r="C76" s="16" t="str">
        <f>IFERROR(__xludf.DUMMYFUNCTION("""COMPUTED_VALUE"""),"Pembelian Feeding Tube (RSUD DR. ADJIDARMO)")</f>
        <v>Pembelian Feeding Tube (RSUD DR. ADJIDARMO)</v>
      </c>
      <c r="D76" s="28"/>
      <c r="E76" s="126" t="str">
        <f>IFERROR(__xludf.DUMMYFUNCTION("""COMPUTED_VALUE"""),"SP RSUD Adjidarmo.pdf")</f>
        <v>SP RSUD Adjidarmo.pdf</v>
      </c>
      <c r="F76" s="127" t="str">
        <f>IFERROR(__xludf.DUMMYFUNCTION("""COMPUTED_VALUE"""),"MPG-081025007 - Top Point (Feeding Tube).pdf")</f>
        <v>MPG-081025007 - Top Point (Feeding Tube).pdf</v>
      </c>
      <c r="G76" s="28"/>
      <c r="H76" s="15" t="str">
        <f>IFERROR(__xludf.DUMMYFUNCTION("""COMPUTED_VALUE"""),"Tempo")</f>
        <v>Tempo</v>
      </c>
      <c r="I76" s="113">
        <f>IFERROR(__xludf.DUMMYFUNCTION("""COMPUTED_VALUE"""),5929000.0)</f>
        <v>5929000</v>
      </c>
      <c r="J76" s="135"/>
      <c r="K76" s="135"/>
      <c r="L76" s="135">
        <f>IFERROR(__xludf.DUMMYFUNCTION("""COMPUTED_VALUE"""),5929000.0)</f>
        <v>5929000</v>
      </c>
      <c r="M76" s="135"/>
      <c r="N76" s="136"/>
      <c r="O76" s="113"/>
      <c r="P76" s="129"/>
      <c r="Q76" s="129"/>
      <c r="R76" s="113"/>
      <c r="S76" s="114"/>
      <c r="T76" s="115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5.75" customHeight="1">
      <c r="A77" s="105"/>
      <c r="B77" s="105" t="str">
        <f>IFERROR(__xludf.DUMMYFUNCTION("""COMPUTED_VALUE"""),"PT Wira Pithoe")</f>
        <v>PT Wira Pithoe</v>
      </c>
      <c r="C77" s="16" t="str">
        <f>IFERROR(__xludf.DUMMYFUNCTION("""COMPUTED_VALUE"""),"Pesanan Dinkes Tasik (koletsrol,trigiliserida,sgot,sgpt,ureum,kreatinin)")</f>
        <v>Pesanan Dinkes Tasik (koletsrol,trigiliserida,sgot,sgpt,ureum,kreatinin)</v>
      </c>
      <c r="D77" s="28"/>
      <c r="E77" s="126" t="str">
        <f>IFERROR(__xludf.DUMMYFUNCTION("""COMPUTED_VALUE"""),"Surat Pesanan Dinkes Tasikmalaya")</f>
        <v>Surat Pesanan Dinkes Tasikmalaya</v>
      </c>
      <c r="F77" s="127" t="str">
        <f>IFERROR(__xludf.DUMMYFUNCTION("""COMPUTED_VALUE"""),"MPG-131025012 - PT WIRA PITHOE (dinkes tasik).pdf")</f>
        <v>MPG-131025012 - PT WIRA PITHOE (dinkes tasik).pdf</v>
      </c>
      <c r="G77" s="28">
        <f>IFERROR(__xludf.DUMMYFUNCTION("""COMPUTED_VALUE"""),45943.0)</f>
        <v>45943</v>
      </c>
      <c r="H77" s="15"/>
      <c r="I77" s="113">
        <f>IFERROR(__xludf.DUMMYFUNCTION("""COMPUTED_VALUE"""),1.0074E7)</f>
        <v>10074000</v>
      </c>
      <c r="J77" s="135">
        <f>IFERROR(__xludf.DUMMYFUNCTION("""COMPUTED_VALUE"""),1108140.0)</f>
        <v>1108140</v>
      </c>
      <c r="K77" s="135"/>
      <c r="L77" s="135">
        <f>IFERROR(__xludf.DUMMYFUNCTION("""COMPUTED_VALUE"""),1.118214E7)</f>
        <v>11182140</v>
      </c>
      <c r="M77" s="135"/>
      <c r="N77" s="136"/>
      <c r="O77" s="113"/>
      <c r="P77" s="129"/>
      <c r="Q77" s="129"/>
      <c r="R77" s="113"/>
      <c r="S77" s="114"/>
      <c r="T77" s="115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75" customHeight="1">
      <c r="A78" s="105"/>
      <c r="B78" s="105" t="str">
        <f>IFERROR(__xludf.DUMMYFUNCTION("""COMPUTED_VALUE"""),"PT. Dhyas Mitra Usaha")</f>
        <v>PT. Dhyas Mitra Usaha</v>
      </c>
      <c r="C78" s="16" t="str">
        <f>IFERROR(__xludf.DUMMYFUNCTION("""COMPUTED_VALUE"""),"Pesanan Dinkes Tasik (Pot urine, Alcohol swab, sarung tangan s/m)")</f>
        <v>Pesanan Dinkes Tasik (Pot urine, Alcohol swab, sarung tangan s/m)</v>
      </c>
      <c r="D78" s="28"/>
      <c r="E78" s="126" t="str">
        <f>IFERROR(__xludf.DUMMYFUNCTION("""COMPUTED_VALUE"""),"Surat Pesanan Dinkes Tasikmalaya")</f>
        <v>Surat Pesanan Dinkes Tasikmalaya</v>
      </c>
      <c r="F78" s="127" t="str">
        <f>IFERROR(__xludf.DUMMYFUNCTION("""COMPUTED_VALUE"""),"MPG-131025013 - PT. DHYAS (Dinkes Tasikmalaya).pdf")</f>
        <v>MPG-131025013 - PT. DHYAS (Dinkes Tasikmalaya).pdf</v>
      </c>
      <c r="G78" s="28">
        <f>IFERROR(__xludf.DUMMYFUNCTION("""COMPUTED_VALUE"""),45943.0)</f>
        <v>45943</v>
      </c>
      <c r="H78" s="15"/>
      <c r="I78" s="113">
        <f>IFERROR(__xludf.DUMMYFUNCTION("""COMPUTED_VALUE"""),1994600.0)</f>
        <v>1994600</v>
      </c>
      <c r="J78" s="135"/>
      <c r="K78" s="135"/>
      <c r="L78" s="135">
        <f>IFERROR(__xludf.DUMMYFUNCTION("""COMPUTED_VALUE"""),1994600.0)</f>
        <v>1994600</v>
      </c>
      <c r="M78" s="135"/>
      <c r="N78" s="136"/>
      <c r="O78" s="113"/>
      <c r="P78" s="129"/>
      <c r="Q78" s="129"/>
      <c r="R78" s="113"/>
      <c r="S78" s="114"/>
      <c r="T78" s="115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5.75" customHeight="1">
      <c r="A79" s="105"/>
      <c r="B79" s="105" t="str">
        <f>IFERROR(__xludf.DUMMYFUNCTION("""COMPUTED_VALUE"""),"PT. SGM")</f>
        <v>PT. SGM</v>
      </c>
      <c r="C79" s="16" t="str">
        <f>IFERROR(__xludf.DUMMYFUNCTION("""COMPUTED_VALUE"""),"Pesanan Dinkes Tasik (Goldar Set)")</f>
        <v>Pesanan Dinkes Tasik (Goldar Set)</v>
      </c>
      <c r="D79" s="28"/>
      <c r="E79" s="126" t="str">
        <f>IFERROR(__xludf.DUMMYFUNCTION("""COMPUTED_VALUE"""),"Surat Pesanan Dinkes Tasikmalaya")</f>
        <v>Surat Pesanan Dinkes Tasikmalaya</v>
      </c>
      <c r="F79" s="127" t="str">
        <f>IFERROR(__xludf.DUMMYFUNCTION("""COMPUTED_VALUE"""),"MPG-131025015 - PT.SGM.pdf")</f>
        <v>MPG-131025015 - PT.SGM.pdf</v>
      </c>
      <c r="G79" s="28">
        <f>IFERROR(__xludf.DUMMYFUNCTION("""COMPUTED_VALUE"""),45943.0)</f>
        <v>45943</v>
      </c>
      <c r="H79" s="15"/>
      <c r="I79" s="113">
        <f>IFERROR(__xludf.DUMMYFUNCTION("""COMPUTED_VALUE"""),652000.0)</f>
        <v>652000</v>
      </c>
      <c r="J79" s="135">
        <f>IFERROR(__xludf.DUMMYFUNCTION("""COMPUTED_VALUE"""),71720.0)</f>
        <v>71720</v>
      </c>
      <c r="K79" s="135"/>
      <c r="L79" s="135">
        <f>IFERROR(__xludf.DUMMYFUNCTION("""COMPUTED_VALUE"""),723720.0)</f>
        <v>723720</v>
      </c>
      <c r="M79" s="135"/>
      <c r="N79" s="136"/>
      <c r="O79" s="113"/>
      <c r="P79" s="129"/>
      <c r="Q79" s="129"/>
      <c r="R79" s="113"/>
      <c r="S79" s="114"/>
      <c r="T79" s="115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5.75" customHeight="1">
      <c r="A80" s="105"/>
      <c r="B80" s="105" t="str">
        <f>IFERROR(__xludf.DUMMYFUNCTION("""COMPUTED_VALUE"""),"PT. BSM")</f>
        <v>PT. BSM</v>
      </c>
      <c r="C80" s="16" t="str">
        <f>IFERROR(__xludf.DUMMYFUNCTION("""COMPUTED_VALUE"""),"Pesanan Dinkes Tasik (Tes kehamilan,tabung edta,tabung gel,yellow white tip,urine p,led)")</f>
        <v>Pesanan Dinkes Tasik (Tes kehamilan,tabung edta,tabung gel,yellow white tip,urine p,led)</v>
      </c>
      <c r="D80" s="28"/>
      <c r="E80" s="126" t="str">
        <f>IFERROR(__xludf.DUMMYFUNCTION("""COMPUTED_VALUE"""),"Surat Pesanan Dinkes Tasikmalaya")</f>
        <v>Surat Pesanan Dinkes Tasikmalaya</v>
      </c>
      <c r="F80" s="127" t="str">
        <f>IFERROR(__xludf.DUMMYFUNCTION("""COMPUTED_VALUE"""),"MPG-131025014 -BSM (Dinkes Tasik).pdf")</f>
        <v>MPG-131025014 -BSM (Dinkes Tasik).pdf</v>
      </c>
      <c r="G80" s="28">
        <f>IFERROR(__xludf.DUMMYFUNCTION("""COMPUTED_VALUE"""),45943.0)</f>
        <v>45943</v>
      </c>
      <c r="H80" s="15"/>
      <c r="I80" s="113">
        <f>IFERROR(__xludf.DUMMYFUNCTION("""COMPUTED_VALUE"""),5634862.0)</f>
        <v>5634862</v>
      </c>
      <c r="J80" s="135">
        <f>IFERROR(__xludf.DUMMYFUNCTION("""COMPUTED_VALUE"""),619835.0)</f>
        <v>619835</v>
      </c>
      <c r="K80" s="135"/>
      <c r="L80" s="135">
        <f>IFERROR(__xludf.DUMMYFUNCTION("""COMPUTED_VALUE"""),6254697.0)</f>
        <v>6254697</v>
      </c>
      <c r="M80" s="135"/>
      <c r="N80" s="136"/>
      <c r="O80" s="113"/>
      <c r="P80" s="129"/>
      <c r="Q80" s="129"/>
      <c r="R80" s="113"/>
      <c r="S80" s="114"/>
      <c r="T80" s="115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5.75" customHeight="1">
      <c r="A81" s="105"/>
      <c r="B81" s="105" t="str">
        <f>IFERROR(__xludf.DUMMYFUNCTION("""COMPUTED_VALUE"""),"shopee")</f>
        <v>shopee</v>
      </c>
      <c r="C81" s="16" t="str">
        <f>IFERROR(__xludf.DUMMYFUNCTION("""COMPUTED_VALUE"""),"Pesanan Dinkes Tasik (Kartu Goldar)")</f>
        <v>Pesanan Dinkes Tasik (Kartu Goldar)</v>
      </c>
      <c r="D81" s="28"/>
      <c r="E81" s="126" t="str">
        <f>IFERROR(__xludf.DUMMYFUNCTION("""COMPUTED_VALUE"""),"Surat Pesanan Dinkes Tasikmalaya")</f>
        <v>Surat Pesanan Dinkes Tasikmalaya</v>
      </c>
      <c r="F81" s="28"/>
      <c r="G81" s="28">
        <f>IFERROR(__xludf.DUMMYFUNCTION("""COMPUTED_VALUE"""),45943.0)</f>
        <v>45943</v>
      </c>
      <c r="H81" s="15"/>
      <c r="I81" s="113">
        <f>IFERROR(__xludf.DUMMYFUNCTION("""COMPUTED_VALUE"""),80500.0)</f>
        <v>80500</v>
      </c>
      <c r="J81" s="135"/>
      <c r="K81" s="135"/>
      <c r="L81" s="135">
        <f>IFERROR(__xludf.DUMMYFUNCTION("""COMPUTED_VALUE"""),80500.0)</f>
        <v>80500</v>
      </c>
      <c r="M81" s="135"/>
      <c r="N81" s="136"/>
      <c r="O81" s="113"/>
      <c r="P81" s="129"/>
      <c r="Q81" s="129"/>
      <c r="R81" s="113"/>
      <c r="S81" s="114"/>
      <c r="T81" s="115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A82" s="105"/>
      <c r="B82" s="105" t="str">
        <f>IFERROR(__xludf.DUMMYFUNCTION("""COMPUTED_VALUE"""),"shopee")</f>
        <v>shopee</v>
      </c>
      <c r="C82" s="16" t="str">
        <f>IFERROR(__xludf.DUMMYFUNCTION("""COMPUTED_VALUE"""),"Pesanan Dinkes Tasik (Rak Tabung)")</f>
        <v>Pesanan Dinkes Tasik (Rak Tabung)</v>
      </c>
      <c r="D82" s="28"/>
      <c r="E82" s="126" t="str">
        <f>IFERROR(__xludf.DUMMYFUNCTION("""COMPUTED_VALUE"""),"Surat Pesanan Dinkes Tasikmalaya")</f>
        <v>Surat Pesanan Dinkes Tasikmalaya</v>
      </c>
      <c r="F82" s="28"/>
      <c r="G82" s="28">
        <f>IFERROR(__xludf.DUMMYFUNCTION("""COMPUTED_VALUE"""),45943.0)</f>
        <v>45943</v>
      </c>
      <c r="H82" s="15"/>
      <c r="I82" s="113">
        <f>IFERROR(__xludf.DUMMYFUNCTION("""COMPUTED_VALUE"""),676420.0)</f>
        <v>676420</v>
      </c>
      <c r="J82" s="135"/>
      <c r="K82" s="135"/>
      <c r="L82" s="135">
        <f>IFERROR(__xludf.DUMMYFUNCTION("""COMPUTED_VALUE"""),676420.0)</f>
        <v>676420</v>
      </c>
      <c r="M82" s="135"/>
      <c r="N82" s="136"/>
      <c r="O82" s="113"/>
      <c r="P82" s="129"/>
      <c r="Q82" s="129"/>
      <c r="R82" s="113"/>
      <c r="S82" s="114"/>
      <c r="T82" s="115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A83" s="105"/>
      <c r="B83" s="105" t="str">
        <f>IFERROR(__xludf.DUMMYFUNCTION("""COMPUTED_VALUE"""),"shopee")</f>
        <v>shopee</v>
      </c>
      <c r="C83" s="16" t="str">
        <f>IFERROR(__xludf.DUMMYFUNCTION("""COMPUTED_VALUE"""),"Pesanan Dinkes Tasik ( Tourniquet)")</f>
        <v>Pesanan Dinkes Tasik ( Tourniquet)</v>
      </c>
      <c r="D83" s="28"/>
      <c r="E83" s="126" t="str">
        <f>IFERROR(__xludf.DUMMYFUNCTION("""COMPUTED_VALUE"""),"Surat Pesanan Dinkes Tasikmalaya")</f>
        <v>Surat Pesanan Dinkes Tasikmalaya</v>
      </c>
      <c r="F83" s="28"/>
      <c r="G83" s="28">
        <f>IFERROR(__xludf.DUMMYFUNCTION("""COMPUTED_VALUE"""),45943.0)</f>
        <v>45943</v>
      </c>
      <c r="H83" s="15"/>
      <c r="I83" s="113">
        <f>IFERROR(__xludf.DUMMYFUNCTION("""COMPUTED_VALUE"""),32070.0)</f>
        <v>32070</v>
      </c>
      <c r="J83" s="135"/>
      <c r="K83" s="135"/>
      <c r="L83" s="135">
        <f>IFERROR(__xludf.DUMMYFUNCTION("""COMPUTED_VALUE"""),32070.0)</f>
        <v>32070</v>
      </c>
      <c r="M83" s="135"/>
      <c r="N83" s="136"/>
      <c r="O83" s="113"/>
      <c r="P83" s="129"/>
      <c r="Q83" s="129"/>
      <c r="R83" s="113"/>
      <c r="S83" s="114"/>
      <c r="T83" s="115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A84" s="105"/>
      <c r="B84" s="105" t="str">
        <f>IFERROR(__xludf.DUMMYFUNCTION("""COMPUTED_VALUE"""),"shopee")</f>
        <v>shopee</v>
      </c>
      <c r="C84" s="16" t="str">
        <f>IFERROR(__xludf.DUMMYFUNCTION("""COMPUTED_VALUE"""),"Pesanan Dinkes Tasik (Okplast)")</f>
        <v>Pesanan Dinkes Tasik (Okplast)</v>
      </c>
      <c r="D84" s="28"/>
      <c r="E84" s="126" t="str">
        <f>IFERROR(__xludf.DUMMYFUNCTION("""COMPUTED_VALUE"""),"Surat Pesanan Dinkes Tasikmalaya")</f>
        <v>Surat Pesanan Dinkes Tasikmalaya</v>
      </c>
      <c r="F84" s="28"/>
      <c r="G84" s="28">
        <f>IFERROR(__xludf.DUMMYFUNCTION("""COMPUTED_VALUE"""),45943.0)</f>
        <v>45943</v>
      </c>
      <c r="H84" s="15"/>
      <c r="I84" s="113">
        <f>IFERROR(__xludf.DUMMYFUNCTION("""COMPUTED_VALUE"""),218500.0)</f>
        <v>218500</v>
      </c>
      <c r="J84" s="135"/>
      <c r="K84" s="135"/>
      <c r="L84" s="135">
        <f>IFERROR(__xludf.DUMMYFUNCTION("""COMPUTED_VALUE"""),218500.0)</f>
        <v>218500</v>
      </c>
      <c r="M84" s="135"/>
      <c r="N84" s="136"/>
      <c r="O84" s="113"/>
      <c r="P84" s="129"/>
      <c r="Q84" s="129"/>
      <c r="R84" s="113"/>
      <c r="S84" s="114"/>
      <c r="T84" s="115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A85" s="105"/>
      <c r="B85" s="105" t="str">
        <f>IFERROR(__xludf.DUMMYFUNCTION("""COMPUTED_VALUE"""),"shopee")</f>
        <v>shopee</v>
      </c>
      <c r="C85" s="16" t="str">
        <f>IFERROR(__xludf.DUMMYFUNCTION("""COMPUTED_VALUE"""),"Pesanan Dinkes Tasik (Masker)")</f>
        <v>Pesanan Dinkes Tasik (Masker)</v>
      </c>
      <c r="D85" s="28"/>
      <c r="E85" s="126" t="str">
        <f>IFERROR(__xludf.DUMMYFUNCTION("""COMPUTED_VALUE"""),"Surat Pesanan Dinkes Tasikmalaya")</f>
        <v>Surat Pesanan Dinkes Tasikmalaya</v>
      </c>
      <c r="F85" s="28"/>
      <c r="G85" s="28">
        <f>IFERROR(__xludf.DUMMYFUNCTION("""COMPUTED_VALUE"""),45943.0)</f>
        <v>45943</v>
      </c>
      <c r="H85" s="15"/>
      <c r="I85" s="113">
        <f>IFERROR(__xludf.DUMMYFUNCTION("""COMPUTED_VALUE"""),81940.0)</f>
        <v>81940</v>
      </c>
      <c r="J85" s="135"/>
      <c r="K85" s="135"/>
      <c r="L85" s="135">
        <f>IFERROR(__xludf.DUMMYFUNCTION("""COMPUTED_VALUE"""),81940.0)</f>
        <v>81940</v>
      </c>
      <c r="M85" s="135"/>
      <c r="N85" s="136"/>
      <c r="O85" s="113"/>
      <c r="P85" s="129"/>
      <c r="Q85" s="129"/>
      <c r="R85" s="113"/>
      <c r="S85" s="114"/>
      <c r="T85" s="115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A86" s="105"/>
      <c r="B86" s="105" t="str">
        <f>IFERROR(__xludf.DUMMYFUNCTION("""COMPUTED_VALUE"""),"PT.Top Point")</f>
        <v>PT.Top Point</v>
      </c>
      <c r="C86" s="16" t="str">
        <f>IFERROR(__xludf.DUMMYFUNCTION("""COMPUTED_VALUE"""),"Pesanan RSPP ")</f>
        <v>Pesanan RSPP </v>
      </c>
      <c r="D86" s="28"/>
      <c r="E86" s="126" t="str">
        <f>IFERROR(__xludf.DUMMYFUNCTION("""COMPUTED_VALUE"""),"po rspp (6)")</f>
        <v>po rspp (6)</v>
      </c>
      <c r="F86" s="127" t="str">
        <f>IFERROR(__xludf.DUMMYFUNCTION("""COMPUTED_VALUE"""),"MPG-011025001 - TOP POINT (Pesanan RSPP) ..pdf")</f>
        <v>MPG-011025001 - TOP POINT (Pesanan RSPP) ..pdf</v>
      </c>
      <c r="G86" s="28">
        <f>IFERROR(__xludf.DUMMYFUNCTION("""COMPUTED_VALUE"""),45931.0)</f>
        <v>45931</v>
      </c>
      <c r="H86" s="15" t="str">
        <f>IFERROR(__xludf.DUMMYFUNCTION("""COMPUTED_VALUE"""),"tempo")</f>
        <v>tempo</v>
      </c>
      <c r="I86" s="113">
        <f>IFERROR(__xludf.DUMMYFUNCTION("""COMPUTED_VALUE"""),3800676.0)</f>
        <v>3800676</v>
      </c>
      <c r="J86" s="135">
        <f>IFERROR(__xludf.DUMMYFUNCTION("""COMPUTED_VALUE"""),418074.0)</f>
        <v>418074</v>
      </c>
      <c r="K86" s="135"/>
      <c r="L86" s="135">
        <f>IFERROR(__xludf.DUMMYFUNCTION("""COMPUTED_VALUE"""),4218750.0)</f>
        <v>4218750</v>
      </c>
      <c r="M86" s="135"/>
      <c r="N86" s="136"/>
      <c r="O86" s="113"/>
      <c r="P86" s="129"/>
      <c r="Q86" s="129"/>
      <c r="R86" s="113"/>
      <c r="S86" s="114"/>
      <c r="T86" s="115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A87" s="105"/>
      <c r="B87" s="105" t="str">
        <f>IFERROR(__xludf.DUMMYFUNCTION("""COMPUTED_VALUE"""),"PT. Tirta Investama")</f>
        <v>PT. Tirta Investama</v>
      </c>
      <c r="C87" s="16" t="str">
        <f>IFERROR(__xludf.DUMMYFUNCTION("""COMPUTED_VALUE"""),"Galon Kantor (Pemakaian September)")</f>
        <v>Galon Kantor (Pemakaian September)</v>
      </c>
      <c r="D87" s="28"/>
      <c r="E87" s="128"/>
      <c r="F87" s="28"/>
      <c r="G87" s="28"/>
      <c r="H87" s="15"/>
      <c r="I87" s="113">
        <f>IFERROR(__xludf.DUMMYFUNCTION("""COMPUTED_VALUE"""),679999.0)</f>
        <v>679999</v>
      </c>
      <c r="J87" s="135"/>
      <c r="K87" s="135"/>
      <c r="L87" s="135">
        <f>IFERROR(__xludf.DUMMYFUNCTION("""COMPUTED_VALUE"""),679999.0)</f>
        <v>679999</v>
      </c>
      <c r="M87" s="135"/>
      <c r="N87" s="136"/>
      <c r="O87" s="113"/>
      <c r="P87" s="129"/>
      <c r="Q87" s="129"/>
      <c r="R87" s="113"/>
      <c r="S87" s="114"/>
      <c r="T87" s="115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A88" s="105"/>
      <c r="B88" s="105" t="str">
        <f>IFERROR(__xludf.DUMMYFUNCTION("""COMPUTED_VALUE"""),"PT. BSM")</f>
        <v>PT. BSM</v>
      </c>
      <c r="C88" s="16" t="str">
        <f>IFERROR(__xludf.DUMMYFUNCTION("""COMPUTED_VALUE"""),"Pesanan Tambahan (Dinkes Tasik) Safety Box")</f>
        <v>Pesanan Tambahan (Dinkes Tasik) Safety Box</v>
      </c>
      <c r="D88" s="28"/>
      <c r="E88" s="126" t="str">
        <f>IFERROR(__xludf.DUMMYFUNCTION("""COMPUTED_VALUE"""),"SP 53 mata pensil susulan add.jpg")</f>
        <v>SP 53 mata pensil susulan add.jpg</v>
      </c>
      <c r="F88" s="127" t="str">
        <f>IFERROR(__xludf.DUMMYFUNCTION("""COMPUTED_VALUE"""),"MPG-141025016 - PT. BSM (Safety Box).pdf")</f>
        <v>MPG-141025016 - PT. BSM (Safety Box).pdf</v>
      </c>
      <c r="G88" s="28">
        <f>IFERROR(__xludf.DUMMYFUNCTION("""COMPUTED_VALUE"""),45944.0)</f>
        <v>45944</v>
      </c>
      <c r="H88" s="15"/>
      <c r="I88" s="113">
        <f>IFERROR(__xludf.DUMMYFUNCTION("""COMPUTED_VALUE"""),612640.0)</f>
        <v>612640</v>
      </c>
      <c r="J88" s="135">
        <f>IFERROR(__xludf.DUMMYFUNCTION("""COMPUTED_VALUE"""),67390.0)</f>
        <v>67390</v>
      </c>
      <c r="K88" s="135"/>
      <c r="L88" s="135">
        <f>IFERROR(__xludf.DUMMYFUNCTION("""COMPUTED_VALUE"""),680030.0)</f>
        <v>680030</v>
      </c>
      <c r="M88" s="135"/>
      <c r="N88" s="136"/>
      <c r="O88" s="113"/>
      <c r="P88" s="129"/>
      <c r="Q88" s="129"/>
      <c r="R88" s="113"/>
      <c r="S88" s="114"/>
      <c r="T88" s="115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A89" s="105"/>
      <c r="B89" s="105" t="str">
        <f>IFERROR(__xludf.DUMMYFUNCTION("""COMPUTED_VALUE"""),"PT Bintang Setya Media")</f>
        <v>PT Bintang Setya Media</v>
      </c>
      <c r="C89" s="16" t="str">
        <f>IFERROR(__xludf.DUMMYFUNCTION("""COMPUTED_VALUE"""),"Pembelian Tinta Printer")</f>
        <v>Pembelian Tinta Printer</v>
      </c>
      <c r="D89" s="28"/>
      <c r="E89" s="128"/>
      <c r="F89" s="28"/>
      <c r="G89" s="28">
        <f>IFERROR(__xludf.DUMMYFUNCTION("""COMPUTED_VALUE"""),45939.0)</f>
        <v>45939</v>
      </c>
      <c r="H89" s="15"/>
      <c r="I89" s="113">
        <f>IFERROR(__xludf.DUMMYFUNCTION("""COMPUTED_VALUE"""),1000000.0)</f>
        <v>1000000</v>
      </c>
      <c r="J89" s="135"/>
      <c r="K89" s="135"/>
      <c r="L89" s="135">
        <f>IFERROR(__xludf.DUMMYFUNCTION("""COMPUTED_VALUE"""),1000000.0)</f>
        <v>1000000</v>
      </c>
      <c r="M89" s="135"/>
      <c r="N89" s="136"/>
      <c r="O89" s="113"/>
      <c r="P89" s="129"/>
      <c r="Q89" s="129"/>
      <c r="R89" s="113"/>
      <c r="S89" s="114"/>
      <c r="T89" s="115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A90" s="105"/>
      <c r="B90" s="105" t="str">
        <f>IFERROR(__xludf.DUMMYFUNCTION("""COMPUTED_VALUE"""),"PT Bintang Setya Media")</f>
        <v>PT Bintang Setya Media</v>
      </c>
      <c r="C90" s="16" t="str">
        <f>IFERROR(__xludf.DUMMYFUNCTION("""COMPUTED_VALUE"""),"Pembelian Tinta Printer")</f>
        <v>Pembelian Tinta Printer</v>
      </c>
      <c r="D90" s="28"/>
      <c r="E90" s="128"/>
      <c r="F90" s="28"/>
      <c r="G90" s="28">
        <f>IFERROR(__xludf.DUMMYFUNCTION("""COMPUTED_VALUE"""),45943.0)</f>
        <v>45943</v>
      </c>
      <c r="H90" s="15"/>
      <c r="I90" s="113">
        <f>IFERROR(__xludf.DUMMYFUNCTION("""COMPUTED_VALUE"""),360000.0)</f>
        <v>360000</v>
      </c>
      <c r="J90" s="135"/>
      <c r="K90" s="135"/>
      <c r="L90" s="135">
        <f>IFERROR(__xludf.DUMMYFUNCTION("""COMPUTED_VALUE"""),360000.0)</f>
        <v>360000</v>
      </c>
      <c r="M90" s="135"/>
      <c r="N90" s="136"/>
      <c r="O90" s="113"/>
      <c r="P90" s="129"/>
      <c r="Q90" s="129"/>
      <c r="R90" s="113"/>
      <c r="S90" s="114"/>
      <c r="T90" s="115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A91" s="105"/>
      <c r="B91" s="105" t="str">
        <f>IFERROR(__xludf.DUMMYFUNCTION("""COMPUTED_VALUE"""),"PT. BSM")</f>
        <v>PT. BSM</v>
      </c>
      <c r="C91" s="16" t="str">
        <f>IFERROR(__xludf.DUMMYFUNCTION("""COMPUTED_VALUE"""),"Pembelian Deckglass (Dinkes Tasik)")</f>
        <v>Pembelian Deckglass (Dinkes Tasik)</v>
      </c>
      <c r="D91" s="28"/>
      <c r="E91" s="126" t="str">
        <f>IFERROR(__xludf.DUMMYFUNCTION("""COMPUTED_VALUE"""),"SP Dinkes Tasikmalaya")</f>
        <v>SP Dinkes Tasikmalaya</v>
      </c>
      <c r="F91" s="127" t="str">
        <f>IFERROR(__xludf.DUMMYFUNCTION("""COMPUTED_VALUE"""),"MPG-141025017 - PT BSM (deckglass).pdf")</f>
        <v>MPG-141025017 - PT BSM (deckglass).pdf</v>
      </c>
      <c r="G91" s="28">
        <f>IFERROR(__xludf.DUMMYFUNCTION("""COMPUTED_VALUE"""),45944.0)</f>
        <v>45944</v>
      </c>
      <c r="H91" s="15"/>
      <c r="I91" s="113">
        <f>IFERROR(__xludf.DUMMYFUNCTION("""COMPUTED_VALUE"""),720721.0)</f>
        <v>720721</v>
      </c>
      <c r="J91" s="135">
        <f>IFERROR(__xludf.DUMMYFUNCTION("""COMPUTED_VALUE"""),79279.0)</f>
        <v>79279</v>
      </c>
      <c r="K91" s="135"/>
      <c r="L91" s="135">
        <f>IFERROR(__xludf.DUMMYFUNCTION("""COMPUTED_VALUE"""),800000.0)</f>
        <v>800000</v>
      </c>
      <c r="M91" s="135"/>
      <c r="N91" s="136"/>
      <c r="O91" s="113"/>
      <c r="P91" s="129"/>
      <c r="Q91" s="129"/>
      <c r="R91" s="113"/>
      <c r="S91" s="114"/>
      <c r="T91" s="115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A92" s="105"/>
      <c r="B92" s="105"/>
      <c r="C92" s="16" t="str">
        <f>IFERROR(__xludf.DUMMYFUNCTION("""COMPUTED_VALUE"""),"Listrik dan Parkir Gedung ")</f>
        <v>Listrik dan Parkir Gedung </v>
      </c>
      <c r="D92" s="28"/>
      <c r="E92" s="128"/>
      <c r="F92" s="28"/>
      <c r="G92" s="28">
        <f>IFERROR(__xludf.DUMMYFUNCTION("""COMPUTED_VALUE"""),45945.0)</f>
        <v>45945</v>
      </c>
      <c r="H92" s="15"/>
      <c r="I92" s="113">
        <f>IFERROR(__xludf.DUMMYFUNCTION("""COMPUTED_VALUE"""),5710589.0)</f>
        <v>5710589</v>
      </c>
      <c r="J92" s="135"/>
      <c r="K92" s="135"/>
      <c r="L92" s="135">
        <f>IFERROR(__xludf.DUMMYFUNCTION("""COMPUTED_VALUE"""),5710589.0)</f>
        <v>5710589</v>
      </c>
      <c r="M92" s="135"/>
      <c r="N92" s="136"/>
      <c r="O92" s="113"/>
      <c r="P92" s="129"/>
      <c r="Q92" s="129"/>
      <c r="R92" s="113"/>
      <c r="S92" s="114"/>
      <c r="T92" s="115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A93" s="105"/>
      <c r="B93" s="105"/>
      <c r="C93" s="16" t="str">
        <f>IFERROR(__xludf.DUMMYFUNCTION("""COMPUTED_VALUE"""),"Pengajuan dinas tasik pa agus")</f>
        <v>Pengajuan dinas tasik pa agus</v>
      </c>
      <c r="D93" s="28"/>
      <c r="E93" s="128"/>
      <c r="F93" s="28"/>
      <c r="G93" s="28">
        <f>IFERROR(__xludf.DUMMYFUNCTION("""COMPUTED_VALUE"""),45945.0)</f>
        <v>45945</v>
      </c>
      <c r="H93" s="15"/>
      <c r="I93" s="113">
        <f>IFERROR(__xludf.DUMMYFUNCTION("""COMPUTED_VALUE"""),1000000.0)</f>
        <v>1000000</v>
      </c>
      <c r="J93" s="135"/>
      <c r="K93" s="135"/>
      <c r="L93" s="135">
        <f>IFERROR(__xludf.DUMMYFUNCTION("""COMPUTED_VALUE"""),1000000.0)</f>
        <v>1000000</v>
      </c>
      <c r="M93" s="135"/>
      <c r="N93" s="136"/>
      <c r="O93" s="113"/>
      <c r="P93" s="129"/>
      <c r="Q93" s="129"/>
      <c r="R93" s="113"/>
      <c r="S93" s="114"/>
      <c r="T93" s="115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A94" s="105"/>
      <c r="B94" s="105"/>
      <c r="C94" s="16" t="str">
        <f>IFERROR(__xludf.DUMMYFUNCTION("""COMPUTED_VALUE"""),"Pembayaran CDAKB")</f>
        <v>Pembayaran CDAKB</v>
      </c>
      <c r="D94" s="28"/>
      <c r="E94" s="128"/>
      <c r="F94" s="28"/>
      <c r="G94" s="28">
        <f>IFERROR(__xludf.DUMMYFUNCTION("""COMPUTED_VALUE"""),45945.0)</f>
        <v>45945</v>
      </c>
      <c r="H94" s="15"/>
      <c r="I94" s="113">
        <f>IFERROR(__xludf.DUMMYFUNCTION("""COMPUTED_VALUE"""),3000000.0)</f>
        <v>3000000</v>
      </c>
      <c r="J94" s="135"/>
      <c r="K94" s="135"/>
      <c r="L94" s="135">
        <f>IFERROR(__xludf.DUMMYFUNCTION("""COMPUTED_VALUE"""),3000000.0)</f>
        <v>3000000</v>
      </c>
      <c r="M94" s="135"/>
      <c r="N94" s="136"/>
      <c r="O94" s="113"/>
      <c r="P94" s="129"/>
      <c r="Q94" s="129"/>
      <c r="R94" s="113"/>
      <c r="S94" s="114"/>
      <c r="T94" s="115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105"/>
      <c r="B95" s="105" t="str">
        <f>IFERROR(__xludf.DUMMYFUNCTION("""COMPUTED_VALUE"""),"PT. Top Point")</f>
        <v>PT. Top Point</v>
      </c>
      <c r="C95" s="16" t="str">
        <f>IFERROR(__xludf.DUMMYFUNCTION("""COMPUTED_VALUE"""),"Pemesanan PO Ke 8 (RSPP)")</f>
        <v>Pemesanan PO Ke 8 (RSPP)</v>
      </c>
      <c r="D95" s="28"/>
      <c r="E95" s="126" t="str">
        <f>IFERROR(__xludf.DUMMYFUNCTION("""COMPUTED_VALUE"""),"sp rspp (po 8)")</f>
        <v>sp rspp (po 8)</v>
      </c>
      <c r="F95" s="127" t="str">
        <f>IFERROR(__xludf.DUMMYFUNCTION("""COMPUTED_VALUE"""),"MPG-131025011 - Top Point (RSPP).pdf")</f>
        <v>MPG-131025011 - Top Point (RSPP).pdf</v>
      </c>
      <c r="G95" s="28">
        <f>IFERROR(__xludf.DUMMYFUNCTION("""COMPUTED_VALUE"""),45940.0)</f>
        <v>45940</v>
      </c>
      <c r="H95" s="15" t="str">
        <f>IFERROR(__xludf.DUMMYFUNCTION("""COMPUTED_VALUE"""),"tempo")</f>
        <v>tempo</v>
      </c>
      <c r="I95" s="113">
        <f>IFERROR(__xludf.DUMMYFUNCTION("""COMPUTED_VALUE"""),4560810.81081081)</f>
        <v>4560810.811</v>
      </c>
      <c r="J95" s="135">
        <f>IFERROR(__xludf.DUMMYFUNCTION("""COMPUTED_VALUE"""),501689.1891891891)</f>
        <v>501689.1892</v>
      </c>
      <c r="K95" s="135"/>
      <c r="L95" s="135">
        <f>IFERROR(__xludf.DUMMYFUNCTION("""COMPUTED_VALUE"""),5062500.0)</f>
        <v>5062500</v>
      </c>
      <c r="M95" s="135"/>
      <c r="N95" s="136"/>
      <c r="O95" s="113"/>
      <c r="P95" s="129"/>
      <c r="Q95" s="129"/>
      <c r="R95" s="113"/>
      <c r="S95" s="114"/>
      <c r="T95" s="115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105"/>
      <c r="B96" s="105" t="str">
        <f>IFERROR(__xludf.DUMMYFUNCTION("""COMPUTED_VALUE"""),"PT. Top Point")</f>
        <v>PT. Top Point</v>
      </c>
      <c r="C96" s="16" t="str">
        <f>IFERROR(__xludf.DUMMYFUNCTION("""COMPUTED_VALUE"""),"Stock suntikan rspp")</f>
        <v>Stock suntikan rspp</v>
      </c>
      <c r="D96" s="28"/>
      <c r="E96" s="126" t="str">
        <f>IFERROR(__xludf.DUMMYFUNCTION("""COMPUTED_VALUE"""),"RSPP - (PO KE 9)")</f>
        <v>RSPP - (PO KE 9)</v>
      </c>
      <c r="F96" s="127" t="str">
        <f>IFERROR(__xludf.DUMMYFUNCTION("""COMPUTED_VALUE"""),"MPG-141025019 - Top Point (Stock RSPP).pdf")</f>
        <v>MPG-141025019 - Top Point (Stock RSPP).pdf</v>
      </c>
      <c r="G96" s="28">
        <f>IFERROR(__xludf.DUMMYFUNCTION("""COMPUTED_VALUE"""),45946.0)</f>
        <v>45946</v>
      </c>
      <c r="H96" s="15" t="str">
        <f>IFERROR(__xludf.DUMMYFUNCTION("""COMPUTED_VALUE"""),"tempo")</f>
        <v>tempo</v>
      </c>
      <c r="I96" s="113">
        <f>IFERROR(__xludf.DUMMYFUNCTION("""COMPUTED_VALUE"""),6750000.0)</f>
        <v>6750000</v>
      </c>
      <c r="J96" s="135"/>
      <c r="K96" s="135"/>
      <c r="L96" s="135">
        <f>IFERROR(__xludf.DUMMYFUNCTION("""COMPUTED_VALUE"""),6750000.0)</f>
        <v>6750000</v>
      </c>
      <c r="M96" s="135"/>
      <c r="N96" s="136"/>
      <c r="O96" s="113"/>
      <c r="P96" s="129"/>
      <c r="Q96" s="129"/>
      <c r="R96" s="113"/>
      <c r="S96" s="114"/>
      <c r="T96" s="115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105"/>
      <c r="B97" s="105"/>
      <c r="C97" s="16" t="str">
        <f>IFERROR(__xludf.DUMMYFUNCTION("""COMPUTED_VALUE"""),"Lalamove antar barang pesanan rs adjidarmo")</f>
        <v>Lalamove antar barang pesanan rs adjidarmo</v>
      </c>
      <c r="D97" s="28"/>
      <c r="E97" s="128"/>
      <c r="F97" s="28"/>
      <c r="G97" s="28">
        <f>IFERROR(__xludf.DUMMYFUNCTION("""COMPUTED_VALUE"""),45946.0)</f>
        <v>45946</v>
      </c>
      <c r="H97" s="15"/>
      <c r="I97" s="113">
        <f>IFERROR(__xludf.DUMMYFUNCTION("""COMPUTED_VALUE"""),300000.0)</f>
        <v>300000</v>
      </c>
      <c r="J97" s="135"/>
      <c r="K97" s="135"/>
      <c r="L97" s="135">
        <f>IFERROR(__xludf.DUMMYFUNCTION("""COMPUTED_VALUE"""),300000.0)</f>
        <v>300000</v>
      </c>
      <c r="M97" s="135"/>
      <c r="N97" s="136"/>
      <c r="O97" s="113"/>
      <c r="P97" s="129"/>
      <c r="Q97" s="129"/>
      <c r="R97" s="113"/>
      <c r="S97" s="114"/>
      <c r="T97" s="115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105"/>
      <c r="B98" s="105"/>
      <c r="C98" s="16" t="str">
        <f>IFERROR(__xludf.DUMMYFUNCTION("""COMPUTED_VALUE"""),"Advance rizky bertemu kepala pkm pasir angin")</f>
        <v>Advance rizky bertemu kepala pkm pasir angin</v>
      </c>
      <c r="D98" s="28"/>
      <c r="E98" s="128"/>
      <c r="F98" s="28"/>
      <c r="G98" s="28">
        <f>IFERROR(__xludf.DUMMYFUNCTION("""COMPUTED_VALUE"""),45946.0)</f>
        <v>45946</v>
      </c>
      <c r="H98" s="15"/>
      <c r="I98" s="113">
        <f>IFERROR(__xludf.DUMMYFUNCTION("""COMPUTED_VALUE"""),500000.0)</f>
        <v>500000</v>
      </c>
      <c r="J98" s="135"/>
      <c r="K98" s="135"/>
      <c r="L98" s="135">
        <f>IFERROR(__xludf.DUMMYFUNCTION("""COMPUTED_VALUE"""),500000.0)</f>
        <v>500000</v>
      </c>
      <c r="M98" s="135"/>
      <c r="N98" s="136"/>
      <c r="O98" s="113"/>
      <c r="P98" s="129"/>
      <c r="Q98" s="129"/>
      <c r="R98" s="113"/>
      <c r="S98" s="114"/>
      <c r="T98" s="115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105"/>
      <c r="B99" s="105"/>
      <c r="C99" s="16" t="str">
        <f>IFERROR(__xludf.DUMMYFUNCTION("""COMPUTED_VALUE"""),"Pembelian pesanan (UPK KEMENKES)")</f>
        <v>Pembelian pesanan (UPK KEMENKES)</v>
      </c>
      <c r="D99" s="28"/>
      <c r="E99" s="126" t="str">
        <f>IFERROR(__xludf.DUMMYFUNCTION("""COMPUTED_VALUE"""),"surat-pesanan-EP-01K7DPKYXJ1AF4X8HQ0MZ3N8DV UPK KEMENKES.pdf")</f>
        <v>surat-pesanan-EP-01K7DPKYXJ1AF4X8HQ0MZ3N8DV UPK KEMENKES.pdf</v>
      </c>
      <c r="F99" s="28"/>
      <c r="G99" s="28">
        <f>IFERROR(__xludf.DUMMYFUNCTION("""COMPUTED_VALUE"""),45947.0)</f>
        <v>45947</v>
      </c>
      <c r="H99" s="15"/>
      <c r="I99" s="113">
        <f>IFERROR(__xludf.DUMMYFUNCTION("""COMPUTED_VALUE"""),328500.0)</f>
        <v>328500</v>
      </c>
      <c r="J99" s="135"/>
      <c r="K99" s="135"/>
      <c r="L99" s="135">
        <f>IFERROR(__xludf.DUMMYFUNCTION("""COMPUTED_VALUE"""),328500.0)</f>
        <v>328500</v>
      </c>
      <c r="M99" s="135"/>
      <c r="N99" s="136"/>
      <c r="O99" s="113"/>
      <c r="P99" s="129"/>
      <c r="Q99" s="129"/>
      <c r="R99" s="113"/>
      <c r="S99" s="114"/>
      <c r="T99" s="115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105"/>
      <c r="B100" s="105" t="str">
        <f>IFERROR(__xludf.DUMMYFUNCTION("""COMPUTED_VALUE"""),"PT. MBC")</f>
        <v>PT. MBC</v>
      </c>
      <c r="C100" s="16" t="str">
        <f>IFERROR(__xludf.DUMMYFUNCTION("""COMPUTED_VALUE"""),"Pembelian ganti barang rusak (pkm balekambang)")</f>
        <v>Pembelian ganti barang rusak (pkm balekambang)</v>
      </c>
      <c r="D100" s="28"/>
      <c r="E100" s="126" t="str">
        <f>IFERROR(__xludf.DUMMYFUNCTION("""COMPUTED_VALUE"""),"Pesanan Balekambang ")</f>
        <v>Pesanan Balekambang </v>
      </c>
      <c r="F100" s="28"/>
      <c r="G100" s="28"/>
      <c r="H100" s="15"/>
      <c r="I100" s="113">
        <f>IFERROR(__xludf.DUMMYFUNCTION("""COMPUTED_VALUE"""),536250.0)</f>
        <v>536250</v>
      </c>
      <c r="J100" s="135">
        <f>IFERROR(__xludf.DUMMYFUNCTION("""COMPUTED_VALUE"""),58988.0)</f>
        <v>58988</v>
      </c>
      <c r="K100" s="135"/>
      <c r="L100" s="135">
        <f>IFERROR(__xludf.DUMMYFUNCTION("""COMPUTED_VALUE"""),595238.0)</f>
        <v>595238</v>
      </c>
      <c r="M100" s="135"/>
      <c r="N100" s="136"/>
      <c r="O100" s="113"/>
      <c r="P100" s="129"/>
      <c r="Q100" s="129"/>
      <c r="R100" s="113"/>
      <c r="S100" s="114"/>
      <c r="T100" s="115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105"/>
      <c r="B101" s="105"/>
      <c r="C101" s="16" t="str">
        <f>IFERROR(__xludf.DUMMYFUNCTION("""COMPUTED_VALUE"""),"Reimburse Kibo (17 okt 25)")</f>
        <v>Reimburse Kibo (17 okt 25)</v>
      </c>
      <c r="D101" s="28"/>
      <c r="E101" s="128"/>
      <c r="F101" s="28"/>
      <c r="G101" s="28"/>
      <c r="H101" s="15"/>
      <c r="I101" s="113">
        <f>IFERROR(__xludf.DUMMYFUNCTION("""COMPUTED_VALUE"""),563000.0)</f>
        <v>563000</v>
      </c>
      <c r="J101" s="135"/>
      <c r="K101" s="135"/>
      <c r="L101" s="135">
        <f>IFERROR(__xludf.DUMMYFUNCTION("""COMPUTED_VALUE"""),563000.0)</f>
        <v>563000</v>
      </c>
      <c r="M101" s="135"/>
      <c r="N101" s="136"/>
      <c r="O101" s="113"/>
      <c r="P101" s="129"/>
      <c r="Q101" s="129"/>
      <c r="R101" s="113"/>
      <c r="S101" s="114"/>
      <c r="T101" s="115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105"/>
      <c r="B102" s="105"/>
      <c r="C102" s="16" t="str">
        <f>IFERROR(__xludf.DUMMYFUNCTION("""COMPUTED_VALUE"""),"Pembelian GC Fuji ix 5 Pack (Pesanan PKM Cileungsi)")</f>
        <v>Pembelian GC Fuji ix 5 Pack (Pesanan PKM Cileungsi)</v>
      </c>
      <c r="D102" s="28"/>
      <c r="E102" s="126" t="str">
        <f>IFERROR(__xludf.DUMMYFUNCTION("""COMPUTED_VALUE"""),"sp gigi.pdf")</f>
        <v>sp gigi.pdf</v>
      </c>
      <c r="F102" s="28"/>
      <c r="G102" s="28"/>
      <c r="H102" s="15"/>
      <c r="I102" s="113">
        <f>IFERROR(__xludf.DUMMYFUNCTION("""COMPUTED_VALUE"""),4266000.0)</f>
        <v>4266000</v>
      </c>
      <c r="J102" s="135"/>
      <c r="K102" s="135"/>
      <c r="L102" s="135">
        <f>IFERROR(__xludf.DUMMYFUNCTION("""COMPUTED_VALUE"""),4266000.0)</f>
        <v>4266000</v>
      </c>
      <c r="M102" s="135"/>
      <c r="N102" s="136"/>
      <c r="O102" s="113"/>
      <c r="P102" s="129"/>
      <c r="Q102" s="129"/>
      <c r="R102" s="113"/>
      <c r="S102" s="114"/>
      <c r="T102" s="115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105"/>
      <c r="B103" s="105" t="str">
        <f>IFERROR(__xludf.DUMMYFUNCTION("""COMPUTED_VALUE"""),"PT. WHIRA PITOE")</f>
        <v>PT. WHIRA PITOE</v>
      </c>
      <c r="C103" s="16" t="str">
        <f>IFERROR(__xludf.DUMMYFUNCTION("""COMPUTED_VALUE"""),"Pembelian Reagen Asam urat (pesanan dinkes tasik)")</f>
        <v>Pembelian Reagen Asam urat (pesanan dinkes tasik)</v>
      </c>
      <c r="D103" s="28"/>
      <c r="E103" s="126" t="str">
        <f>IFERROR(__xludf.DUMMYFUNCTION("""COMPUTED_VALUE"""),"SP dinkes tasik (po 4).jpg")</f>
        <v>SP dinkes tasik (po 4).jpg</v>
      </c>
      <c r="F103" s="127" t="str">
        <f>IFERROR(__xludf.DUMMYFUNCTION("""COMPUTED_VALUE"""),"MPG-211025023 - PT. WHIRA PITOE (URIC ACID BIOMAXIMA).pdf")</f>
        <v>MPG-211025023 - PT. WHIRA PITOE (URIC ACID BIOMAXIMA).pdf</v>
      </c>
      <c r="G103" s="28"/>
      <c r="H103" s="15"/>
      <c r="I103" s="113">
        <f>IFERROR(__xludf.DUMMYFUNCTION("""COMPUTED_VALUE"""),936000.0)</f>
        <v>936000</v>
      </c>
      <c r="J103" s="135">
        <f>IFERROR(__xludf.DUMMYFUNCTION("""COMPUTED_VALUE"""),102960.0)</f>
        <v>102960</v>
      </c>
      <c r="K103" s="135"/>
      <c r="L103" s="135">
        <f>IFERROR(__xludf.DUMMYFUNCTION("""COMPUTED_VALUE"""),1038960.0)</f>
        <v>1038960</v>
      </c>
      <c r="M103" s="135"/>
      <c r="N103" s="136"/>
      <c r="O103" s="113"/>
      <c r="P103" s="129"/>
      <c r="Q103" s="129"/>
      <c r="R103" s="113"/>
      <c r="S103" s="114"/>
      <c r="T103" s="115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105"/>
      <c r="B104" s="105" t="str">
        <f>IFERROR(__xludf.DUMMYFUNCTION("""COMPUTED_VALUE"""),"PT. BSM")</f>
        <v>PT. BSM</v>
      </c>
      <c r="C104" s="16" t="str">
        <f>IFERROR(__xludf.DUMMYFUNCTION("""COMPUTED_VALUE"""),"Pembelian Spuit BD 5cc (pesanan dinkes tasik)")</f>
        <v>Pembelian Spuit BD 5cc (pesanan dinkes tasik)</v>
      </c>
      <c r="D104" s="28"/>
      <c r="E104" s="126" t="str">
        <f>IFERROR(__xludf.DUMMYFUNCTION("""COMPUTED_VALUE"""),"SP dinkes tasik (po 4).jpg")</f>
        <v>SP dinkes tasik (po 4).jpg</v>
      </c>
      <c r="F104" s="127" t="str">
        <f>IFERROR(__xludf.DUMMYFUNCTION("""COMPUTED_VALUE"""),"MPG-221025025 - PT. BSM (SPUIT BD 5CC).pdf")</f>
        <v>MPG-221025025 - PT. BSM (SPUIT BD 5CC).pdf</v>
      </c>
      <c r="G104" s="28"/>
      <c r="H104" s="15"/>
      <c r="I104" s="113">
        <f>IFERROR(__xludf.DUMMYFUNCTION("""COMPUTED_VALUE"""),333334.0)</f>
        <v>333334</v>
      </c>
      <c r="J104" s="135">
        <f>IFERROR(__xludf.DUMMYFUNCTION("""COMPUTED_VALUE"""),36667.0)</f>
        <v>36667</v>
      </c>
      <c r="K104" s="135"/>
      <c r="L104" s="135">
        <f>IFERROR(__xludf.DUMMYFUNCTION("""COMPUTED_VALUE"""),370001.0)</f>
        <v>370001</v>
      </c>
      <c r="M104" s="135"/>
      <c r="N104" s="136"/>
      <c r="O104" s="113"/>
      <c r="P104" s="129"/>
      <c r="Q104" s="129"/>
      <c r="R104" s="113"/>
      <c r="S104" s="114"/>
      <c r="T104" s="115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105"/>
      <c r="B105" s="105" t="str">
        <f>IFERROR(__xludf.DUMMYFUNCTION("""COMPUTED_VALUE"""),"PT. DHYAS MITRA USAHA")</f>
        <v>PT. DHYAS MITRA USAHA</v>
      </c>
      <c r="C105" s="16" t="str">
        <f>IFERROR(__xludf.DUMMYFUNCTION("""COMPUTED_VALUE"""),"Pembelian Okplast dan Alcohol Swab (Pesanan Dinkes tasik)")</f>
        <v>Pembelian Okplast dan Alcohol Swab (Pesanan Dinkes tasik)</v>
      </c>
      <c r="D105" s="28"/>
      <c r="E105" s="126" t="str">
        <f>IFERROR(__xludf.DUMMYFUNCTION("""COMPUTED_VALUE"""),"SP dinkes tasik (po 4).jpg")</f>
        <v>SP dinkes tasik (po 4).jpg</v>
      </c>
      <c r="F105" s="127" t="str">
        <f>IFERROR(__xludf.DUMMYFUNCTION("""COMPUTED_VALUE"""),"MPG-221025024 - PT DHYAS MITRA USAHA (ALCOHOL SWAB DAN OKPLAST).pdf")</f>
        <v>MPG-221025024 - PT DHYAS MITRA USAHA (ALCOHOL SWAB DAN OKPLAST).pdf</v>
      </c>
      <c r="G105" s="28"/>
      <c r="H105" s="15"/>
      <c r="I105" s="113">
        <f>IFERROR(__xludf.DUMMYFUNCTION("""COMPUTED_VALUE"""),455800.0)</f>
        <v>455800</v>
      </c>
      <c r="J105" s="135"/>
      <c r="K105" s="135"/>
      <c r="L105" s="135">
        <f>IFERROR(__xludf.DUMMYFUNCTION("""COMPUTED_VALUE"""),455800.0)</f>
        <v>455800</v>
      </c>
      <c r="M105" s="135"/>
      <c r="N105" s="136"/>
      <c r="O105" s="113"/>
      <c r="P105" s="129"/>
      <c r="Q105" s="129"/>
      <c r="R105" s="113"/>
      <c r="S105" s="114"/>
      <c r="T105" s="115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105"/>
      <c r="B106" s="105"/>
      <c r="C106" s="16" t="str">
        <f>IFERROR(__xludf.DUMMYFUNCTION("""COMPUTED_VALUE"""),"Top Up petty cash")</f>
        <v>Top Up petty cash</v>
      </c>
      <c r="D106" s="28"/>
      <c r="E106" s="128"/>
      <c r="F106" s="28"/>
      <c r="G106" s="28"/>
      <c r="H106" s="15"/>
      <c r="I106" s="113">
        <f>IFERROR(__xludf.DUMMYFUNCTION("""COMPUTED_VALUE"""),5000000.0)</f>
        <v>5000000</v>
      </c>
      <c r="J106" s="135"/>
      <c r="K106" s="135"/>
      <c r="L106" s="135">
        <f>IFERROR(__xludf.DUMMYFUNCTION("""COMPUTED_VALUE"""),5000000.0)</f>
        <v>5000000</v>
      </c>
      <c r="M106" s="135"/>
      <c r="N106" s="136"/>
      <c r="O106" s="113"/>
      <c r="P106" s="129"/>
      <c r="Q106" s="129"/>
      <c r="R106" s="113"/>
      <c r="S106" s="114"/>
      <c r="T106" s="115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105"/>
      <c r="B107" s="105"/>
      <c r="C107" s="16" t="str">
        <f>IFERROR(__xludf.DUMMYFUNCTION("""COMPUTED_VALUE"""),"Uang kecelakaan ka yudith")</f>
        <v>Uang kecelakaan ka yudith</v>
      </c>
      <c r="D107" s="28"/>
      <c r="E107" s="128"/>
      <c r="F107" s="28"/>
      <c r="G107" s="28"/>
      <c r="H107" s="15"/>
      <c r="I107" s="113">
        <f>IFERROR(__xludf.DUMMYFUNCTION("""COMPUTED_VALUE"""),2500000.0)</f>
        <v>2500000</v>
      </c>
      <c r="J107" s="135"/>
      <c r="K107" s="135"/>
      <c r="L107" s="135">
        <f>IFERROR(__xludf.DUMMYFUNCTION("""COMPUTED_VALUE"""),2500000.0)</f>
        <v>2500000</v>
      </c>
      <c r="M107" s="135"/>
      <c r="N107" s="136"/>
      <c r="O107" s="113"/>
      <c r="P107" s="129"/>
      <c r="Q107" s="129"/>
      <c r="R107" s="113"/>
      <c r="S107" s="114"/>
      <c r="T107" s="115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105"/>
      <c r="B108" s="105"/>
      <c r="C108" s="16" t="str">
        <f>IFERROR(__xludf.DUMMYFUNCTION("""COMPUTED_VALUE"""),"Kasbon Oprasional Pak Nasir")</f>
        <v>Kasbon Oprasional Pak Nasir</v>
      </c>
      <c r="D108" s="28"/>
      <c r="E108" s="128"/>
      <c r="F108" s="28"/>
      <c r="G108" s="28"/>
      <c r="H108" s="15"/>
      <c r="I108" s="113">
        <f>IFERROR(__xludf.DUMMYFUNCTION("""COMPUTED_VALUE"""),1.3E7)</f>
        <v>13000000</v>
      </c>
      <c r="J108" s="135"/>
      <c r="K108" s="135"/>
      <c r="L108" s="135">
        <f>IFERROR(__xludf.DUMMYFUNCTION("""COMPUTED_VALUE"""),1.3E7)</f>
        <v>13000000</v>
      </c>
      <c r="M108" s="135"/>
      <c r="N108" s="136"/>
      <c r="O108" s="113"/>
      <c r="P108" s="129"/>
      <c r="Q108" s="129"/>
      <c r="R108" s="113"/>
      <c r="S108" s="114"/>
      <c r="T108" s="115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105"/>
      <c r="B109" s="105" t="str">
        <f>IFERROR(__xludf.DUMMYFUNCTION("""COMPUTED_VALUE"""),"PT. Tripatria")</f>
        <v>PT. Tripatria</v>
      </c>
      <c r="C109" s="16" t="str">
        <f>IFERROR(__xludf.DUMMYFUNCTION("""COMPUTED_VALUE"""),"Pembelian pesanan Dinkes Bogor")</f>
        <v>Pembelian pesanan Dinkes Bogor</v>
      </c>
      <c r="D109" s="28"/>
      <c r="E109" s="126" t="str">
        <f>IFERROR(__xludf.DUMMYFUNCTION("""COMPUTED_VALUE"""),"surat-pesanan-EP-01K6WCTJWYE165YPZMK0EMZMER (1).pdf")</f>
        <v>surat-pesanan-EP-01K6WCTJWYE165YPZMK0EMZMER (1).pdf</v>
      </c>
      <c r="F109" s="28"/>
      <c r="G109" s="28"/>
      <c r="H109" s="15"/>
      <c r="I109" s="113">
        <f>IFERROR(__xludf.DUMMYFUNCTION("""COMPUTED_VALUE"""),1.077175E7)</f>
        <v>10771750</v>
      </c>
      <c r="J109" s="135">
        <f>IFERROR(__xludf.DUMMYFUNCTION("""COMPUTED_VALUE"""),1184892.0)</f>
        <v>1184892</v>
      </c>
      <c r="K109" s="135"/>
      <c r="L109" s="135">
        <f>IFERROR(__xludf.DUMMYFUNCTION("""COMPUTED_VALUE"""),1.1956642E7)</f>
        <v>11956642</v>
      </c>
      <c r="M109" s="135"/>
      <c r="N109" s="136"/>
      <c r="O109" s="113"/>
      <c r="P109" s="129"/>
      <c r="Q109" s="129"/>
      <c r="R109" s="113"/>
      <c r="S109" s="114"/>
      <c r="T109" s="115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105"/>
      <c r="B110" s="105" t="str">
        <f>IFERROR(__xludf.DUMMYFUNCTION("""COMPUTED_VALUE"""),"PT. SMS")</f>
        <v>PT. SMS</v>
      </c>
      <c r="C110" s="16" t="str">
        <f>IFERROR(__xludf.DUMMYFUNCTION("""COMPUTED_VALUE"""),"Pembelian pesanan Dinkes Bogor")</f>
        <v>Pembelian pesanan Dinkes Bogor</v>
      </c>
      <c r="D110" s="28"/>
      <c r="E110" s="126" t="str">
        <f>IFERROR(__xludf.DUMMYFUNCTION("""COMPUTED_VALUE"""),"surat-pesanan-EP-01K6WCTJWYE165YPZMK0EMZMER (1).pdf")</f>
        <v>surat-pesanan-EP-01K6WCTJWYE165YPZMK0EMZMER (1).pdf</v>
      </c>
      <c r="F110" s="127" t="str">
        <f>IFERROR(__xludf.DUMMYFUNCTION("""COMPUTED_VALUE"""),"MPG-231025028 - PT. SMS.pdf")</f>
        <v>MPG-231025028 - PT. SMS.pdf</v>
      </c>
      <c r="G110" s="28"/>
      <c r="H110" s="15"/>
      <c r="I110" s="113">
        <f>IFERROR(__xludf.DUMMYFUNCTION("""COMPUTED_VALUE"""),2.677464E7)</f>
        <v>26774640</v>
      </c>
      <c r="J110" s="135">
        <f>IFERROR(__xludf.DUMMYFUNCTION("""COMPUTED_VALUE"""),2945210.0)</f>
        <v>2945210</v>
      </c>
      <c r="K110" s="135"/>
      <c r="L110" s="135">
        <f>IFERROR(__xludf.DUMMYFUNCTION("""COMPUTED_VALUE"""),2.971985E7)</f>
        <v>29719850</v>
      </c>
      <c r="M110" s="135"/>
      <c r="N110" s="136"/>
      <c r="O110" s="113"/>
      <c r="P110" s="129"/>
      <c r="Q110" s="129"/>
      <c r="R110" s="113"/>
      <c r="S110" s="114"/>
      <c r="T110" s="115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105"/>
      <c r="B111" s="105" t="str">
        <f>IFERROR(__xludf.DUMMYFUNCTION("""COMPUTED_VALUE"""),"PT. Elba Lab Medika")</f>
        <v>PT. Elba Lab Medika</v>
      </c>
      <c r="C111" s="16" t="str">
        <f>IFERROR(__xludf.DUMMYFUNCTION("""COMPUTED_VALUE"""),"Pembelian pesanan Dinkes Bogor")</f>
        <v>Pembelian pesanan Dinkes Bogor</v>
      </c>
      <c r="D111" s="28"/>
      <c r="E111" s="126" t="str">
        <f>IFERROR(__xludf.DUMMYFUNCTION("""COMPUTED_VALUE"""),"surat-pesanan-EP-01K6WCTJWYE165YPZMK0EMZMER (1).pdf")</f>
        <v>surat-pesanan-EP-01K6WCTJWYE165YPZMK0EMZMER (1).pdf</v>
      </c>
      <c r="F111" s="127" t="str">
        <f>IFERROR(__xludf.DUMMYFUNCTION("""COMPUTED_VALUE"""),"MPG-231025026 - PT. ELBA LAB MEDIKA.pdf")</f>
        <v>MPG-231025026 - PT. ELBA LAB MEDIKA.pdf</v>
      </c>
      <c r="G111" s="28"/>
      <c r="H111" s="15"/>
      <c r="I111" s="113">
        <f>IFERROR(__xludf.DUMMYFUNCTION("""COMPUTED_VALUE"""),1.871051E7)</f>
        <v>18710510</v>
      </c>
      <c r="J111" s="135">
        <f>IFERROR(__xludf.DUMMYFUNCTION("""COMPUTED_VALUE"""),2058156.0)</f>
        <v>2058156</v>
      </c>
      <c r="K111" s="135"/>
      <c r="L111" s="135">
        <f>IFERROR(__xludf.DUMMYFUNCTION("""COMPUTED_VALUE"""),2.0768666E7)</f>
        <v>20768666</v>
      </c>
      <c r="M111" s="135"/>
      <c r="N111" s="136"/>
      <c r="O111" s="113"/>
      <c r="P111" s="129"/>
      <c r="Q111" s="129"/>
      <c r="R111" s="113"/>
      <c r="S111" s="114"/>
      <c r="T111" s="115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105"/>
      <c r="B112" s="105"/>
      <c r="C112" s="16" t="str">
        <f>IFERROR(__xludf.DUMMYFUNCTION("""COMPUTED_VALUE"""),"Reimburse ops yoga (23 okt 2025)")</f>
        <v>Reimburse ops yoga (23 okt 2025)</v>
      </c>
      <c r="D112" s="28"/>
      <c r="E112" s="128"/>
      <c r="F112" s="28"/>
      <c r="G112" s="28"/>
      <c r="H112" s="15"/>
      <c r="I112" s="113">
        <f>IFERROR(__xludf.DUMMYFUNCTION("""COMPUTED_VALUE"""),307500.0)</f>
        <v>307500</v>
      </c>
      <c r="J112" s="135"/>
      <c r="K112" s="135"/>
      <c r="L112" s="135">
        <f>IFERROR(__xludf.DUMMYFUNCTION("""COMPUTED_VALUE"""),307500.0)</f>
        <v>307500</v>
      </c>
      <c r="M112" s="135"/>
      <c r="N112" s="136"/>
      <c r="O112" s="113"/>
      <c r="P112" s="129"/>
      <c r="Q112" s="129"/>
      <c r="R112" s="113"/>
      <c r="S112" s="114"/>
      <c r="T112" s="115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105"/>
      <c r="B113" s="105"/>
      <c r="C113" s="16" t="str">
        <f>IFERROR(__xludf.DUMMYFUNCTION("""COMPUTED_VALUE"""),"Cashback pkm gandoang3,pasir angin4,bojong2,bojong gede, karyamekar")</f>
        <v>Cashback pkm gandoang3,pasir angin4,bojong2,bojong gede, karyamekar</v>
      </c>
      <c r="D113" s="28"/>
      <c r="E113" s="128"/>
      <c r="F113" s="28"/>
      <c r="G113" s="28"/>
      <c r="H113" s="15"/>
      <c r="I113" s="113">
        <f>IFERROR(__xludf.DUMMYFUNCTION("""COMPUTED_VALUE"""),9831000.0)</f>
        <v>9831000</v>
      </c>
      <c r="J113" s="135"/>
      <c r="K113" s="135"/>
      <c r="L113" s="135">
        <f>IFERROR(__xludf.DUMMYFUNCTION("""COMPUTED_VALUE"""),9831000.0)</f>
        <v>9831000</v>
      </c>
      <c r="M113" s="135"/>
      <c r="N113" s="136"/>
      <c r="O113" s="113"/>
      <c r="P113" s="129"/>
      <c r="Q113" s="129"/>
      <c r="R113" s="113"/>
      <c r="S113" s="114"/>
      <c r="T113" s="115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105"/>
      <c r="B114" s="105"/>
      <c r="C114" s="16" t="str">
        <f>IFERROR(__xludf.DUMMYFUNCTION("""COMPUTED_VALUE"""),"wifi kantor sentul okt 25")</f>
        <v>wifi kantor sentul okt 25</v>
      </c>
      <c r="D114" s="28"/>
      <c r="E114" s="128"/>
      <c r="F114" s="28"/>
      <c r="G114" s="28"/>
      <c r="H114" s="15"/>
      <c r="I114" s="113">
        <f>IFERROR(__xludf.DUMMYFUNCTION("""COMPUTED_VALUE"""),558640.0)</f>
        <v>558640</v>
      </c>
      <c r="J114" s="135"/>
      <c r="K114" s="135"/>
      <c r="L114" s="135">
        <f>IFERROR(__xludf.DUMMYFUNCTION("""COMPUTED_VALUE"""),558640.0)</f>
        <v>558640</v>
      </c>
      <c r="M114" s="135"/>
      <c r="N114" s="136"/>
      <c r="O114" s="113"/>
      <c r="P114" s="129"/>
      <c r="Q114" s="129"/>
      <c r="R114" s="113"/>
      <c r="S114" s="114"/>
      <c r="T114" s="115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105"/>
      <c r="B115" s="105"/>
      <c r="C115" s="16" t="str">
        <f>IFERROR(__xludf.DUMMYFUNCTION("""COMPUTED_VALUE"""),"kasbon pak adrian adek kayu")</f>
        <v>kasbon pak adrian adek kayu</v>
      </c>
      <c r="D115" s="28"/>
      <c r="E115" s="128"/>
      <c r="F115" s="28"/>
      <c r="G115" s="28"/>
      <c r="H115" s="15"/>
      <c r="I115" s="113">
        <f>IFERROR(__xludf.DUMMYFUNCTION("""COMPUTED_VALUE"""),5000000.0)</f>
        <v>5000000</v>
      </c>
      <c r="J115" s="135"/>
      <c r="K115" s="135"/>
      <c r="L115" s="135">
        <f>IFERROR(__xludf.DUMMYFUNCTION("""COMPUTED_VALUE"""),5000000.0)</f>
        <v>5000000</v>
      </c>
      <c r="M115" s="135"/>
      <c r="N115" s="136"/>
      <c r="O115" s="113"/>
      <c r="P115" s="129"/>
      <c r="Q115" s="129"/>
      <c r="R115" s="113"/>
      <c r="S115" s="114"/>
      <c r="T115" s="115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105"/>
      <c r="B116" s="105"/>
      <c r="C116" s="16" t="str">
        <f>IFERROR(__xludf.DUMMYFUNCTION("""COMPUTED_VALUE"""),"Pembayaran Eranya Cloud")</f>
        <v>Pembayaran Eranya Cloud</v>
      </c>
      <c r="D116" s="28"/>
      <c r="E116" s="128"/>
      <c r="F116" s="28"/>
      <c r="G116" s="28"/>
      <c r="H116" s="15"/>
      <c r="I116" s="113">
        <f>IFERROR(__xludf.DUMMYFUNCTION("""COMPUTED_VALUE"""),8754812.0)</f>
        <v>8754812</v>
      </c>
      <c r="J116" s="135">
        <f>IFERROR(__xludf.DUMMYFUNCTION("""COMPUTED_VALUE"""),963029.32)</f>
        <v>963029.32</v>
      </c>
      <c r="K116" s="135">
        <f>IFERROR(__xludf.DUMMYFUNCTION("""COMPUTED_VALUE"""),-175096.24)</f>
        <v>-175096.24</v>
      </c>
      <c r="L116" s="135">
        <f>IFERROR(__xludf.DUMMYFUNCTION("""COMPUTED_VALUE"""),9542745.08)</f>
        <v>9542745.08</v>
      </c>
      <c r="M116" s="135"/>
      <c r="N116" s="136"/>
      <c r="O116" s="113"/>
      <c r="P116" s="129"/>
      <c r="Q116" s="129"/>
      <c r="R116" s="113"/>
      <c r="S116" s="114"/>
      <c r="T116" s="115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105"/>
      <c r="B117" s="105"/>
      <c r="C117" s="16" t="str">
        <f>IFERROR(__xludf.DUMMYFUNCTION("""COMPUTED_VALUE"""),"Entertain Pak romi dan client")</f>
        <v>Entertain Pak romi dan client</v>
      </c>
      <c r="D117" s="28"/>
      <c r="E117" s="128"/>
      <c r="F117" s="28"/>
      <c r="G117" s="28"/>
      <c r="H117" s="15"/>
      <c r="I117" s="113">
        <f>IFERROR(__xludf.DUMMYFUNCTION("""COMPUTED_VALUE"""),6061114.0)</f>
        <v>6061114</v>
      </c>
      <c r="J117" s="135"/>
      <c r="K117" s="135"/>
      <c r="L117" s="135">
        <f>IFERROR(__xludf.DUMMYFUNCTION("""COMPUTED_VALUE"""),6061114.0)</f>
        <v>6061114</v>
      </c>
      <c r="M117" s="135"/>
      <c r="N117" s="136"/>
      <c r="O117" s="113"/>
      <c r="P117" s="129"/>
      <c r="Q117" s="129"/>
      <c r="R117" s="113"/>
      <c r="S117" s="114"/>
      <c r="T117" s="115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105"/>
      <c r="B118" s="105"/>
      <c r="C118" s="16"/>
      <c r="D118" s="28"/>
      <c r="E118" s="128"/>
      <c r="F118" s="28"/>
      <c r="G118" s="28"/>
      <c r="H118" s="15"/>
      <c r="I118" s="113"/>
      <c r="J118" s="135"/>
      <c r="K118" s="135"/>
      <c r="L118" s="135"/>
      <c r="M118" s="135"/>
      <c r="N118" s="136"/>
      <c r="O118" s="113"/>
      <c r="P118" s="129"/>
      <c r="Q118" s="129"/>
      <c r="R118" s="113"/>
      <c r="S118" s="114"/>
      <c r="T118" s="115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105"/>
      <c r="B119" s="105"/>
      <c r="C119" s="16" t="str">
        <f>IFERROR(__xludf.DUMMYFUNCTION("""COMPUTED_VALUE"""),"Pembelian rinso 10 pack (pkm cileungsi)")</f>
        <v>Pembelian rinso 10 pack (pkm cileungsi)</v>
      </c>
      <c r="D119" s="28"/>
      <c r="E119" s="126" t="str">
        <f>IFERROR(__xludf.DUMMYFUNCTION("""COMPUTED_VALUE"""),"surat-pesanan-EP-01K7E2XN5Q0J6QA4FPP2GF0YT2 PKM CILEUNGSI (2).pdf")</f>
        <v>surat-pesanan-EP-01K7E2XN5Q0J6QA4FPP2GF0YT2 PKM CILEUNGSI (2).pdf</v>
      </c>
      <c r="F119" s="28"/>
      <c r="G119" s="28"/>
      <c r="H119" s="15"/>
      <c r="I119" s="113">
        <f>IFERROR(__xludf.DUMMYFUNCTION("""COMPUTED_VALUE"""),275500.0)</f>
        <v>275500</v>
      </c>
      <c r="J119" s="135"/>
      <c r="K119" s="135"/>
      <c r="L119" s="135">
        <f>IFERROR(__xludf.DUMMYFUNCTION("""COMPUTED_VALUE"""),275500.0)</f>
        <v>275500</v>
      </c>
      <c r="M119" s="135"/>
      <c r="N119" s="136"/>
      <c r="O119" s="113"/>
      <c r="P119" s="129"/>
      <c r="Q119" s="129"/>
      <c r="R119" s="113"/>
      <c r="S119" s="114"/>
      <c r="T119" s="115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105"/>
      <c r="B120" s="105"/>
      <c r="C120" s="16" t="str">
        <f>IFERROR(__xludf.DUMMYFUNCTION("""COMPUTED_VALUE"""),"Pembelian tissue jolly 120 pack (pkm cileungsi)")</f>
        <v>Pembelian tissue jolly 120 pack (pkm cileungsi)</v>
      </c>
      <c r="D120" s="28"/>
      <c r="E120" s="126" t="str">
        <f>IFERROR(__xludf.DUMMYFUNCTION("""COMPUTED_VALUE"""),"surat-pesanan-EP-01K7E2XN5Q0J6QA4FPP2GF0YT2 PKM CILEUNGSI (2).pdf")</f>
        <v>surat-pesanan-EP-01K7E2XN5Q0J6QA4FPP2GF0YT2 PKM CILEUNGSI (2).pdf</v>
      </c>
      <c r="F120" s="28"/>
      <c r="G120" s="28"/>
      <c r="H120" s="15"/>
      <c r="I120" s="113">
        <f>IFERROR(__xludf.DUMMYFUNCTION("""COMPUTED_VALUE"""),846464.0)</f>
        <v>846464</v>
      </c>
      <c r="J120" s="135"/>
      <c r="K120" s="135"/>
      <c r="L120" s="135">
        <f>IFERROR(__xludf.DUMMYFUNCTION("""COMPUTED_VALUE"""),846464.0)</f>
        <v>846464</v>
      </c>
      <c r="M120" s="135"/>
      <c r="N120" s="136"/>
      <c r="O120" s="113"/>
      <c r="P120" s="129"/>
      <c r="Q120" s="129"/>
      <c r="R120" s="113"/>
      <c r="S120" s="114"/>
      <c r="T120" s="115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105"/>
      <c r="B121" s="105"/>
      <c r="C121" s="16" t="str">
        <f>IFERROR(__xludf.DUMMYFUNCTION("""COMPUTED_VALUE"""),"Pembelian sapu dragon 4 (pkm cileungsi)")</f>
        <v>Pembelian sapu dragon 4 (pkm cileungsi)</v>
      </c>
      <c r="D121" s="28"/>
      <c r="E121" s="126" t="str">
        <f>IFERROR(__xludf.DUMMYFUNCTION("""COMPUTED_VALUE"""),"surat-pesanan-EP-01K7E2XN5Q0J6QA4FPP2GF0YT2 PKM CILEUNGSI (2).pdf")</f>
        <v>surat-pesanan-EP-01K7E2XN5Q0J6QA4FPP2GF0YT2 PKM CILEUNGSI (2).pdf</v>
      </c>
      <c r="F121" s="28"/>
      <c r="G121" s="28"/>
      <c r="H121" s="15"/>
      <c r="I121" s="113">
        <f>IFERROR(__xludf.DUMMYFUNCTION("""COMPUTED_VALUE"""),95988.0)</f>
        <v>95988</v>
      </c>
      <c r="J121" s="135"/>
      <c r="K121" s="135"/>
      <c r="L121" s="135">
        <f>IFERROR(__xludf.DUMMYFUNCTION("""COMPUTED_VALUE"""),95988.0)</f>
        <v>95988</v>
      </c>
      <c r="M121" s="135"/>
      <c r="N121" s="136"/>
      <c r="O121" s="113"/>
      <c r="P121" s="129"/>
      <c r="Q121" s="129"/>
      <c r="R121" s="113"/>
      <c r="S121" s="114"/>
      <c r="T121" s="115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105"/>
      <c r="B122" s="105"/>
      <c r="C122" s="16" t="str">
        <f>IFERROR(__xludf.DUMMYFUNCTION("""COMPUTED_VALUE"""),"Pembelian sapu plafon 2 (pkm cileungsi)")</f>
        <v>Pembelian sapu plafon 2 (pkm cileungsi)</v>
      </c>
      <c r="D122" s="28"/>
      <c r="E122" s="126" t="str">
        <f>IFERROR(__xludf.DUMMYFUNCTION("""COMPUTED_VALUE"""),"surat-pesanan-EP-01K7E2XN5Q0J6QA4FPP2GF0YT2 PKM CILEUNGSI (2).pdf")</f>
        <v>surat-pesanan-EP-01K7E2XN5Q0J6QA4FPP2GF0YT2 PKM CILEUNGSI (2).pdf</v>
      </c>
      <c r="F122" s="28"/>
      <c r="G122" s="28"/>
      <c r="H122" s="15"/>
      <c r="I122" s="113">
        <f>IFERROR(__xludf.DUMMYFUNCTION("""COMPUTED_VALUE"""),41700.0)</f>
        <v>41700</v>
      </c>
      <c r="J122" s="135"/>
      <c r="K122" s="135"/>
      <c r="L122" s="135">
        <f>IFERROR(__xludf.DUMMYFUNCTION("""COMPUTED_VALUE"""),41700.0)</f>
        <v>41700</v>
      </c>
      <c r="M122" s="135"/>
      <c r="N122" s="136"/>
      <c r="O122" s="113"/>
      <c r="P122" s="129"/>
      <c r="Q122" s="129"/>
      <c r="R122" s="113"/>
      <c r="S122" s="114"/>
      <c r="T122" s="115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105"/>
      <c r="B123" s="105"/>
      <c r="C123" s="16" t="str">
        <f>IFERROR(__xludf.DUMMYFUNCTION("""COMPUTED_VALUE"""),"Pembelian karbol 20 pacl (pkm cileungsi)")</f>
        <v>Pembelian karbol 20 pacl (pkm cileungsi)</v>
      </c>
      <c r="D123" s="28"/>
      <c r="E123" s="126" t="str">
        <f>IFERROR(__xludf.DUMMYFUNCTION("""COMPUTED_VALUE"""),"surat-pesanan-EP-01K7E2XN5Q0J6QA4FPP2GF0YT2 PKM CILEUNGSI (2).pdf")</f>
        <v>surat-pesanan-EP-01K7E2XN5Q0J6QA4FPP2GF0YT2 PKM CILEUNGSI (2).pdf</v>
      </c>
      <c r="F123" s="28"/>
      <c r="G123" s="28"/>
      <c r="H123" s="15"/>
      <c r="I123" s="113">
        <f>IFERROR(__xludf.DUMMYFUNCTION("""COMPUTED_VALUE"""),312000.0)</f>
        <v>312000</v>
      </c>
      <c r="J123" s="135"/>
      <c r="K123" s="135"/>
      <c r="L123" s="135">
        <f>IFERROR(__xludf.DUMMYFUNCTION("""COMPUTED_VALUE"""),312000.0)</f>
        <v>312000</v>
      </c>
      <c r="M123" s="135"/>
      <c r="N123" s="136"/>
      <c r="O123" s="113"/>
      <c r="P123" s="129"/>
      <c r="Q123" s="129"/>
      <c r="R123" s="113"/>
      <c r="S123" s="114"/>
      <c r="T123" s="115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105"/>
      <c r="B124" s="105"/>
      <c r="C124" s="16" t="str">
        <f>IFERROR(__xludf.DUMMYFUNCTION("""COMPUTED_VALUE"""),"Pembelian alat pel mop 4 (pkm cileungsi)")</f>
        <v>Pembelian alat pel mop 4 (pkm cileungsi)</v>
      </c>
      <c r="D124" s="28"/>
      <c r="E124" s="126" t="str">
        <f>IFERROR(__xludf.DUMMYFUNCTION("""COMPUTED_VALUE"""),"surat-pesanan-EP-01K7E2XN5Q0J6QA4FPP2GF0YT2 PKM CILEUNGSI (2).pdf")</f>
        <v>surat-pesanan-EP-01K7E2XN5Q0J6QA4FPP2GF0YT2 PKM CILEUNGSI (2).pdf</v>
      </c>
      <c r="F124" s="28"/>
      <c r="G124" s="28"/>
      <c r="H124" s="15"/>
      <c r="I124" s="113">
        <f>IFERROR(__xludf.DUMMYFUNCTION("""COMPUTED_VALUE"""),325838.0)</f>
        <v>325838</v>
      </c>
      <c r="J124" s="135"/>
      <c r="K124" s="135"/>
      <c r="L124" s="135">
        <f>IFERROR(__xludf.DUMMYFUNCTION("""COMPUTED_VALUE"""),325838.0)</f>
        <v>325838</v>
      </c>
      <c r="M124" s="135"/>
      <c r="N124" s="136"/>
      <c r="O124" s="113"/>
      <c r="P124" s="129"/>
      <c r="Q124" s="129"/>
      <c r="R124" s="113"/>
      <c r="S124" s="114"/>
      <c r="T124" s="115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105"/>
      <c r="B125" s="105"/>
      <c r="C125" s="16" t="str">
        <f>IFERROR(__xludf.DUMMYFUNCTION("""COMPUTED_VALUE"""),"Pembelian sabun cuci tangan 5 botol (pkm cileungsi)")</f>
        <v>Pembelian sabun cuci tangan 5 botol (pkm cileungsi)</v>
      </c>
      <c r="D125" s="28"/>
      <c r="E125" s="126" t="str">
        <f>IFERROR(__xludf.DUMMYFUNCTION("""COMPUTED_VALUE"""),"surat-pesanan-EP-01K7E2XN5Q0J6QA4FPP2GF0YT2 PKM CILEUNGSI (2).pdf")</f>
        <v>surat-pesanan-EP-01K7E2XN5Q0J6QA4FPP2GF0YT2 PKM CILEUNGSI (2).pdf</v>
      </c>
      <c r="F125" s="28"/>
      <c r="G125" s="28"/>
      <c r="H125" s="15"/>
      <c r="I125" s="113">
        <f>IFERROR(__xludf.DUMMYFUNCTION("""COMPUTED_VALUE"""),153200.0)</f>
        <v>153200</v>
      </c>
      <c r="J125" s="135"/>
      <c r="K125" s="135"/>
      <c r="L125" s="135">
        <f>IFERROR(__xludf.DUMMYFUNCTION("""COMPUTED_VALUE"""),153200.0)</f>
        <v>153200</v>
      </c>
      <c r="M125" s="135"/>
      <c r="N125" s="136"/>
      <c r="O125" s="113"/>
      <c r="P125" s="129"/>
      <c r="Q125" s="129"/>
      <c r="R125" s="113"/>
      <c r="S125" s="114"/>
      <c r="T125" s="115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105"/>
      <c r="B126" s="105"/>
      <c r="C126" s="16" t="str">
        <f>IFERROR(__xludf.DUMMYFUNCTION("""COMPUTED_VALUE"""),"Pembelian sabun cuci piring 3 botol (pkm cileungsi)")</f>
        <v>Pembelian sabun cuci piring 3 botol (pkm cileungsi)</v>
      </c>
      <c r="D126" s="28"/>
      <c r="E126" s="126" t="str">
        <f>IFERROR(__xludf.DUMMYFUNCTION("""COMPUTED_VALUE"""),"surat-pesanan-EP-01K7E2XN5Q0J6QA4FPP2GF0YT2 PKM CILEUNGSI (2).pdf")</f>
        <v>surat-pesanan-EP-01K7E2XN5Q0J6QA4FPP2GF0YT2 PKM CILEUNGSI (2).pdf</v>
      </c>
      <c r="F126" s="28"/>
      <c r="G126" s="28"/>
      <c r="H126" s="15"/>
      <c r="I126" s="113">
        <f>IFERROR(__xludf.DUMMYFUNCTION("""COMPUTED_VALUE"""),134525.0)</f>
        <v>134525</v>
      </c>
      <c r="J126" s="135"/>
      <c r="K126" s="135"/>
      <c r="L126" s="135">
        <f>IFERROR(__xludf.DUMMYFUNCTION("""COMPUTED_VALUE"""),134525.0)</f>
        <v>134525</v>
      </c>
      <c r="M126" s="135"/>
      <c r="N126" s="136"/>
      <c r="O126" s="113"/>
      <c r="P126" s="129"/>
      <c r="Q126" s="129"/>
      <c r="R126" s="113"/>
      <c r="S126" s="114"/>
      <c r="T126" s="115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105"/>
      <c r="B127" s="105" t="str">
        <f>IFERROR(__xludf.DUMMYFUNCTION("""COMPUTED_VALUE"""),"PT. Klipindo")</f>
        <v>PT. Klipindo</v>
      </c>
      <c r="C127" s="16" t="str">
        <f>IFERROR(__xludf.DUMMYFUNCTION("""COMPUTED_VALUE"""),"Pembelian Plastik Klip (pesanan rsud ciawi)")</f>
        <v>Pembelian Plastik Klip (pesanan rsud ciawi)</v>
      </c>
      <c r="D127" s="28"/>
      <c r="E127" s="126" t="str">
        <f>IFERROR(__xludf.DUMMYFUNCTION("""COMPUTED_VALUE"""),"SPK Plastik Obat RSUD Ciawi.pdf")</f>
        <v>SPK Plastik Obat RSUD Ciawi.pdf</v>
      </c>
      <c r="F127" s="127" t="str">
        <f>IFERROR(__xludf.DUMMYFUNCTION("""COMPUTED_VALUE"""),"MPG-211025021 - PT. Klipindo Plastik (7x10).pdf")</f>
        <v>MPG-211025021 - PT. Klipindo Plastik (7x10).pdf</v>
      </c>
      <c r="G127" s="28"/>
      <c r="H127" s="15"/>
      <c r="I127" s="113">
        <f>IFERROR(__xludf.DUMMYFUNCTION("""COMPUTED_VALUE"""),7981420.0)</f>
        <v>7981420</v>
      </c>
      <c r="J127" s="135"/>
      <c r="K127" s="135"/>
      <c r="L127" s="135">
        <f>IFERROR(__xludf.DUMMYFUNCTION("""COMPUTED_VALUE"""),7981420.0)</f>
        <v>7981420</v>
      </c>
      <c r="M127" s="135"/>
      <c r="N127" s="136"/>
      <c r="O127" s="113"/>
      <c r="P127" s="129"/>
      <c r="Q127" s="129"/>
      <c r="R127" s="113"/>
      <c r="S127" s="114"/>
      <c r="T127" s="115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105"/>
      <c r="B128" s="105" t="str">
        <f>IFERROR(__xludf.DUMMYFUNCTION("""COMPUTED_VALUE"""),"PT. Klipindo")</f>
        <v>PT. Klipindo</v>
      </c>
      <c r="C128" s="16" t="str">
        <f>IFERROR(__xludf.DUMMYFUNCTION("""COMPUTED_VALUE"""),"Pembelian Plastik Klip (pesanan pkm jagakarsa)")</f>
        <v>Pembelian Plastik Klip (pesanan pkm jagakarsa)</v>
      </c>
      <c r="D128" s="28"/>
      <c r="E128" s="126" t="str">
        <f>IFERROR(__xludf.DUMMYFUNCTION("""COMPUTED_VALUE"""),"surat-pesanan-EP-01K88294HVAWHWZJHHEJQJR81J PKM Jagakarsa.pdf")</f>
        <v>surat-pesanan-EP-01K88294HVAWHWZJHHEJQJR81J PKM Jagakarsa.pdf</v>
      </c>
      <c r="F128" s="127" t="str">
        <f>IFERROR(__xludf.DUMMYFUNCTION("""COMPUTED_VALUE"""),"MPG-271025031 - PT KLIPINDO PLASTIK PRATAMA.pdf")</f>
        <v>MPG-271025031 - PT KLIPINDO PLASTIK PRATAMA.pdf</v>
      </c>
      <c r="G128" s="28"/>
      <c r="H128" s="15"/>
      <c r="I128" s="113">
        <f>IFERROR(__xludf.DUMMYFUNCTION("""COMPUTED_VALUE"""),7399049.0)</f>
        <v>7399049</v>
      </c>
      <c r="J128" s="135"/>
      <c r="K128" s="135"/>
      <c r="L128" s="135">
        <f>IFERROR(__xludf.DUMMYFUNCTION("""COMPUTED_VALUE"""),7399049.0)</f>
        <v>7399049</v>
      </c>
      <c r="M128" s="135"/>
      <c r="N128" s="136"/>
      <c r="O128" s="113"/>
      <c r="P128" s="129"/>
      <c r="Q128" s="129"/>
      <c r="R128" s="113"/>
      <c r="S128" s="114"/>
      <c r="T128" s="115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105"/>
      <c r="B129" s="105"/>
      <c r="C129" s="16" t="str">
        <f>IFERROR(__xludf.DUMMYFUNCTION("""COMPUTED_VALUE"""),"Reimburse Ops Ali")</f>
        <v>Reimburse Ops Ali</v>
      </c>
      <c r="D129" s="28"/>
      <c r="E129" s="128"/>
      <c r="F129" s="28"/>
      <c r="G129" s="28"/>
      <c r="H129" s="15"/>
      <c r="I129" s="113">
        <f>IFERROR(__xludf.DUMMYFUNCTION("""COMPUTED_VALUE"""),2144500.0)</f>
        <v>2144500</v>
      </c>
      <c r="J129" s="135"/>
      <c r="K129" s="135"/>
      <c r="L129" s="135">
        <f>IFERROR(__xludf.DUMMYFUNCTION("""COMPUTED_VALUE"""),2144500.0)</f>
        <v>2144500</v>
      </c>
      <c r="M129" s="135"/>
      <c r="N129" s="136"/>
      <c r="O129" s="113"/>
      <c r="P129" s="129"/>
      <c r="Q129" s="129"/>
      <c r="R129" s="113"/>
      <c r="S129" s="114"/>
      <c r="T129" s="115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105"/>
      <c r="B130" s="105"/>
      <c r="C130" s="16" t="str">
        <f>IFERROR(__xludf.DUMMYFUNCTION("""COMPUTED_VALUE"""),"Reimbuse Ops Kibo")</f>
        <v>Reimbuse Ops Kibo</v>
      </c>
      <c r="D130" s="28"/>
      <c r="E130" s="128"/>
      <c r="F130" s="28"/>
      <c r="G130" s="28"/>
      <c r="H130" s="15"/>
      <c r="I130" s="113">
        <f>IFERROR(__xludf.DUMMYFUNCTION("""COMPUTED_VALUE"""),489000.0)</f>
        <v>489000</v>
      </c>
      <c r="J130" s="135"/>
      <c r="K130" s="135"/>
      <c r="L130" s="135">
        <f>IFERROR(__xludf.DUMMYFUNCTION("""COMPUTED_VALUE"""),489000.0)</f>
        <v>489000</v>
      </c>
      <c r="M130" s="135"/>
      <c r="N130" s="136"/>
      <c r="O130" s="113"/>
      <c r="P130" s="129"/>
      <c r="Q130" s="129"/>
      <c r="R130" s="113"/>
      <c r="S130" s="114"/>
      <c r="T130" s="115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105"/>
      <c r="B131" s="105"/>
      <c r="C131" s="16" t="str">
        <f>IFERROR(__xludf.DUMMYFUNCTION("""COMPUTED_VALUE"""),"Top Up Petty Cash")</f>
        <v>Top Up Petty Cash</v>
      </c>
      <c r="D131" s="28"/>
      <c r="E131" s="128"/>
      <c r="F131" s="28"/>
      <c r="G131" s="28"/>
      <c r="H131" s="15"/>
      <c r="I131" s="113">
        <f>IFERROR(__xludf.DUMMYFUNCTION("""COMPUTED_VALUE"""),5000000.0)</f>
        <v>5000000</v>
      </c>
      <c r="J131" s="135"/>
      <c r="K131" s="135"/>
      <c r="L131" s="135">
        <f>IFERROR(__xludf.DUMMYFUNCTION("""COMPUTED_VALUE"""),5000000.0)</f>
        <v>5000000</v>
      </c>
      <c r="M131" s="135"/>
      <c r="N131" s="136"/>
      <c r="O131" s="113"/>
      <c r="P131" s="129"/>
      <c r="Q131" s="129"/>
      <c r="R131" s="113"/>
      <c r="S131" s="114"/>
      <c r="T131" s="115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105"/>
      <c r="B132" s="105"/>
      <c r="C132" s="16"/>
      <c r="D132" s="28"/>
      <c r="E132" s="128"/>
      <c r="F132" s="28"/>
      <c r="G132" s="28"/>
      <c r="H132" s="15"/>
      <c r="I132" s="113"/>
      <c r="J132" s="135"/>
      <c r="K132" s="135"/>
      <c r="L132" s="135"/>
      <c r="M132" s="135"/>
      <c r="N132" s="136"/>
      <c r="O132" s="113"/>
      <c r="P132" s="129"/>
      <c r="Q132" s="129"/>
      <c r="R132" s="113"/>
      <c r="S132" s="114"/>
      <c r="T132" s="115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105"/>
      <c r="B133" s="105"/>
      <c r="C133" s="16"/>
      <c r="D133" s="28"/>
      <c r="E133" s="128"/>
      <c r="F133" s="28"/>
      <c r="G133" s="28"/>
      <c r="H133" s="15"/>
      <c r="I133" s="113"/>
      <c r="J133" s="135"/>
      <c r="K133" s="135"/>
      <c r="L133" s="135"/>
      <c r="M133" s="135"/>
      <c r="N133" s="136"/>
      <c r="O133" s="113"/>
      <c r="P133" s="129"/>
      <c r="Q133" s="129"/>
      <c r="R133" s="113"/>
      <c r="S133" s="114"/>
      <c r="T133" s="115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105"/>
      <c r="B134" s="105"/>
      <c r="C134" s="16"/>
      <c r="D134" s="28"/>
      <c r="E134" s="128"/>
      <c r="F134" s="28"/>
      <c r="G134" s="28"/>
      <c r="H134" s="15"/>
      <c r="I134" s="113"/>
      <c r="J134" s="135"/>
      <c r="K134" s="135"/>
      <c r="L134" s="135"/>
      <c r="M134" s="135"/>
      <c r="N134" s="136"/>
      <c r="O134" s="113"/>
      <c r="P134" s="129"/>
      <c r="Q134" s="129"/>
      <c r="R134" s="113"/>
      <c r="S134" s="114"/>
      <c r="T134" s="115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105"/>
      <c r="B135" s="105"/>
      <c r="C135" s="16"/>
      <c r="D135" s="28"/>
      <c r="E135" s="128"/>
      <c r="F135" s="28"/>
      <c r="G135" s="28"/>
      <c r="H135" s="15"/>
      <c r="I135" s="113"/>
      <c r="J135" s="135"/>
      <c r="K135" s="135"/>
      <c r="L135" s="135"/>
      <c r="M135" s="135"/>
      <c r="N135" s="136"/>
      <c r="O135" s="113"/>
      <c r="P135" s="129"/>
      <c r="Q135" s="129"/>
      <c r="R135" s="113"/>
      <c r="S135" s="114"/>
      <c r="T135" s="115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105"/>
      <c r="B136" s="105"/>
      <c r="C136" s="16"/>
      <c r="D136" s="28"/>
      <c r="E136" s="128"/>
      <c r="F136" s="28"/>
      <c r="G136" s="28"/>
      <c r="H136" s="15"/>
      <c r="I136" s="113"/>
      <c r="J136" s="135"/>
      <c r="K136" s="135"/>
      <c r="L136" s="135"/>
      <c r="M136" s="135"/>
      <c r="N136" s="136"/>
      <c r="O136" s="113"/>
      <c r="P136" s="129"/>
      <c r="Q136" s="129"/>
      <c r="R136" s="113"/>
      <c r="S136" s="114"/>
      <c r="T136" s="115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105"/>
      <c r="B137" s="105"/>
      <c r="C137" s="16"/>
      <c r="D137" s="28"/>
      <c r="E137" s="128"/>
      <c r="F137" s="28"/>
      <c r="G137" s="28"/>
      <c r="H137" s="15"/>
      <c r="I137" s="113"/>
      <c r="J137" s="135"/>
      <c r="K137" s="135"/>
      <c r="L137" s="135"/>
      <c r="M137" s="135"/>
      <c r="N137" s="136"/>
      <c r="O137" s="113"/>
      <c r="P137" s="129"/>
      <c r="Q137" s="129"/>
      <c r="R137" s="113"/>
      <c r="S137" s="114"/>
      <c r="T137" s="115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105"/>
      <c r="B138" s="105"/>
      <c r="C138" s="16"/>
      <c r="D138" s="28"/>
      <c r="E138" s="128"/>
      <c r="F138" s="28"/>
      <c r="G138" s="28"/>
      <c r="H138" s="15"/>
      <c r="I138" s="113"/>
      <c r="J138" s="135"/>
      <c r="K138" s="135"/>
      <c r="L138" s="135"/>
      <c r="M138" s="135"/>
      <c r="N138" s="136"/>
      <c r="O138" s="113"/>
      <c r="P138" s="129"/>
      <c r="Q138" s="129"/>
      <c r="R138" s="113"/>
      <c r="S138" s="114"/>
      <c r="T138" s="115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105"/>
      <c r="B139" s="105"/>
      <c r="C139" s="16"/>
      <c r="D139" s="28"/>
      <c r="E139" s="128"/>
      <c r="F139" s="28"/>
      <c r="G139" s="28"/>
      <c r="H139" s="15"/>
      <c r="I139" s="113"/>
      <c r="J139" s="135"/>
      <c r="K139" s="135"/>
      <c r="L139" s="135"/>
      <c r="M139" s="135"/>
      <c r="N139" s="136"/>
      <c r="O139" s="113"/>
      <c r="P139" s="129"/>
      <c r="Q139" s="129"/>
      <c r="R139" s="113"/>
      <c r="S139" s="114"/>
      <c r="T139" s="115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105"/>
      <c r="B140" s="105"/>
      <c r="C140" s="16"/>
      <c r="D140" s="28"/>
      <c r="E140" s="128"/>
      <c r="F140" s="28"/>
      <c r="G140" s="28"/>
      <c r="H140" s="15"/>
      <c r="I140" s="113"/>
      <c r="J140" s="135"/>
      <c r="K140" s="135"/>
      <c r="L140" s="135"/>
      <c r="M140" s="135"/>
      <c r="N140" s="136"/>
      <c r="O140" s="113"/>
      <c r="P140" s="129"/>
      <c r="Q140" s="129"/>
      <c r="R140" s="113"/>
      <c r="S140" s="114"/>
      <c r="T140" s="115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105"/>
      <c r="B141" s="105"/>
      <c r="C141" s="16"/>
      <c r="D141" s="28"/>
      <c r="E141" s="128"/>
      <c r="F141" s="28"/>
      <c r="G141" s="28"/>
      <c r="H141" s="15"/>
      <c r="I141" s="113"/>
      <c r="J141" s="135"/>
      <c r="K141" s="135"/>
      <c r="L141" s="135"/>
      <c r="M141" s="135"/>
      <c r="N141" s="136"/>
      <c r="O141" s="113"/>
      <c r="P141" s="129"/>
      <c r="Q141" s="129"/>
      <c r="R141" s="113"/>
      <c r="S141" s="114"/>
      <c r="T141" s="115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105"/>
      <c r="B142" s="105"/>
      <c r="C142" s="16"/>
      <c r="D142" s="28"/>
      <c r="E142" s="128"/>
      <c r="F142" s="28"/>
      <c r="G142" s="28"/>
      <c r="H142" s="15"/>
      <c r="I142" s="113"/>
      <c r="J142" s="135"/>
      <c r="K142" s="135"/>
      <c r="L142" s="135"/>
      <c r="M142" s="135"/>
      <c r="N142" s="136"/>
      <c r="O142" s="113"/>
      <c r="P142" s="129"/>
      <c r="Q142" s="129"/>
      <c r="R142" s="113"/>
      <c r="S142" s="114"/>
      <c r="T142" s="115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105"/>
      <c r="B143" s="105"/>
      <c r="C143" s="16"/>
      <c r="D143" s="28"/>
      <c r="E143" s="128"/>
      <c r="F143" s="28"/>
      <c r="G143" s="28"/>
      <c r="H143" s="15"/>
      <c r="I143" s="113"/>
      <c r="J143" s="135"/>
      <c r="K143" s="135"/>
      <c r="L143" s="135"/>
      <c r="M143" s="135"/>
      <c r="N143" s="136"/>
      <c r="O143" s="113"/>
      <c r="P143" s="129"/>
      <c r="Q143" s="129"/>
      <c r="R143" s="113"/>
      <c r="S143" s="114"/>
      <c r="T143" s="115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105"/>
      <c r="B144" s="105"/>
      <c r="C144" s="16"/>
      <c r="D144" s="28"/>
      <c r="E144" s="128"/>
      <c r="F144" s="28"/>
      <c r="G144" s="28"/>
      <c r="H144" s="15"/>
      <c r="I144" s="113"/>
      <c r="J144" s="135"/>
      <c r="K144" s="135"/>
      <c r="L144" s="135"/>
      <c r="M144" s="135"/>
      <c r="N144" s="136"/>
      <c r="O144" s="113"/>
      <c r="P144" s="129"/>
      <c r="Q144" s="129"/>
      <c r="R144" s="113"/>
      <c r="S144" s="114"/>
      <c r="T144" s="115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105"/>
      <c r="B145" s="105"/>
      <c r="C145" s="16"/>
      <c r="D145" s="28"/>
      <c r="E145" s="128"/>
      <c r="F145" s="28"/>
      <c r="G145" s="28"/>
      <c r="H145" s="15"/>
      <c r="I145" s="113"/>
      <c r="J145" s="135"/>
      <c r="K145" s="135"/>
      <c r="L145" s="135"/>
      <c r="M145" s="135"/>
      <c r="N145" s="136"/>
      <c r="O145" s="113"/>
      <c r="P145" s="129"/>
      <c r="Q145" s="129"/>
      <c r="R145" s="113"/>
      <c r="S145" s="114"/>
      <c r="T145" s="115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105"/>
      <c r="B146" s="105"/>
      <c r="C146" s="16"/>
      <c r="D146" s="28"/>
      <c r="E146" s="128"/>
      <c r="F146" s="28"/>
      <c r="G146" s="28"/>
      <c r="H146" s="15"/>
      <c r="I146" s="113"/>
      <c r="J146" s="135"/>
      <c r="K146" s="135"/>
      <c r="L146" s="135"/>
      <c r="M146" s="135"/>
      <c r="N146" s="136"/>
      <c r="O146" s="113"/>
      <c r="P146" s="129"/>
      <c r="Q146" s="129"/>
      <c r="R146" s="113"/>
      <c r="S146" s="114"/>
      <c r="T146" s="115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105"/>
      <c r="B147" s="105"/>
      <c r="C147" s="16"/>
      <c r="D147" s="28"/>
      <c r="E147" s="128"/>
      <c r="F147" s="28"/>
      <c r="G147" s="28"/>
      <c r="H147" s="15"/>
      <c r="I147" s="113"/>
      <c r="J147" s="135"/>
      <c r="K147" s="135"/>
      <c r="L147" s="135"/>
      <c r="M147" s="135"/>
      <c r="N147" s="136"/>
      <c r="O147" s="113"/>
      <c r="P147" s="129"/>
      <c r="Q147" s="129"/>
      <c r="R147" s="113"/>
      <c r="S147" s="114"/>
      <c r="T147" s="115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105"/>
      <c r="B148" s="105"/>
      <c r="C148" s="16"/>
      <c r="D148" s="28"/>
      <c r="E148" s="128"/>
      <c r="F148" s="28"/>
      <c r="G148" s="28"/>
      <c r="H148" s="15"/>
      <c r="I148" s="113"/>
      <c r="J148" s="135"/>
      <c r="K148" s="135"/>
      <c r="L148" s="135"/>
      <c r="M148" s="135"/>
      <c r="N148" s="136"/>
      <c r="O148" s="113"/>
      <c r="P148" s="129"/>
      <c r="Q148" s="129"/>
      <c r="R148" s="113"/>
      <c r="S148" s="114"/>
      <c r="T148" s="115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105"/>
      <c r="B149" s="105"/>
      <c r="C149" s="16"/>
      <c r="D149" s="28"/>
      <c r="E149" s="128"/>
      <c r="F149" s="28"/>
      <c r="G149" s="28"/>
      <c r="H149" s="15"/>
      <c r="I149" s="113"/>
      <c r="J149" s="135"/>
      <c r="K149" s="135"/>
      <c r="L149" s="135"/>
      <c r="M149" s="135"/>
      <c r="N149" s="136"/>
      <c r="O149" s="113"/>
      <c r="P149" s="129"/>
      <c r="Q149" s="129"/>
      <c r="R149" s="113"/>
      <c r="S149" s="114"/>
      <c r="T149" s="115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105"/>
      <c r="B150" s="105"/>
      <c r="C150" s="16"/>
      <c r="D150" s="28"/>
      <c r="E150" s="128"/>
      <c r="F150" s="28"/>
      <c r="G150" s="28"/>
      <c r="H150" s="15"/>
      <c r="I150" s="113"/>
      <c r="J150" s="135"/>
      <c r="K150" s="135"/>
      <c r="L150" s="135"/>
      <c r="M150" s="135"/>
      <c r="N150" s="136"/>
      <c r="O150" s="113"/>
      <c r="P150" s="129"/>
      <c r="Q150" s="129"/>
      <c r="R150" s="113"/>
      <c r="S150" s="114"/>
      <c r="T150" s="115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105"/>
      <c r="B151" s="105"/>
      <c r="C151" s="16"/>
      <c r="D151" s="28"/>
      <c r="E151" s="128"/>
      <c r="F151" s="28"/>
      <c r="G151" s="28"/>
      <c r="H151" s="15"/>
      <c r="I151" s="113"/>
      <c r="J151" s="135"/>
      <c r="K151" s="135"/>
      <c r="L151" s="135"/>
      <c r="M151" s="135"/>
      <c r="N151" s="136"/>
      <c r="O151" s="113"/>
      <c r="P151" s="129"/>
      <c r="Q151" s="129"/>
      <c r="R151" s="113"/>
      <c r="S151" s="114"/>
      <c r="T151" s="115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105"/>
      <c r="B152" s="105"/>
      <c r="C152" s="16"/>
      <c r="D152" s="28"/>
      <c r="E152" s="128"/>
      <c r="F152" s="28"/>
      <c r="G152" s="28"/>
      <c r="H152" s="15"/>
      <c r="I152" s="113"/>
      <c r="J152" s="135"/>
      <c r="K152" s="135"/>
      <c r="L152" s="135"/>
      <c r="M152" s="135"/>
      <c r="N152" s="136"/>
      <c r="O152" s="113"/>
      <c r="P152" s="129"/>
      <c r="Q152" s="129"/>
      <c r="R152" s="113"/>
      <c r="S152" s="114"/>
      <c r="T152" s="115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105"/>
      <c r="B153" s="105"/>
      <c r="C153" s="16"/>
      <c r="D153" s="28"/>
      <c r="E153" s="128"/>
      <c r="F153" s="28"/>
      <c r="G153" s="28"/>
      <c r="H153" s="15"/>
      <c r="I153" s="113"/>
      <c r="J153" s="135"/>
      <c r="K153" s="135"/>
      <c r="L153" s="135"/>
      <c r="M153" s="135"/>
      <c r="N153" s="136"/>
      <c r="O153" s="113"/>
      <c r="P153" s="129"/>
      <c r="Q153" s="129"/>
      <c r="R153" s="113"/>
      <c r="S153" s="114"/>
      <c r="T153" s="115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105"/>
      <c r="B154" s="105"/>
      <c r="C154" s="16"/>
      <c r="D154" s="28"/>
      <c r="E154" s="128"/>
      <c r="F154" s="28"/>
      <c r="G154" s="28"/>
      <c r="H154" s="15"/>
      <c r="I154" s="113"/>
      <c r="J154" s="135"/>
      <c r="K154" s="135"/>
      <c r="L154" s="135"/>
      <c r="M154" s="135"/>
      <c r="N154" s="136"/>
      <c r="O154" s="113"/>
      <c r="P154" s="129"/>
      <c r="Q154" s="129"/>
      <c r="R154" s="113"/>
      <c r="S154" s="114"/>
      <c r="T154" s="115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105"/>
      <c r="B155" s="105"/>
      <c r="C155" s="16"/>
      <c r="D155" s="28"/>
      <c r="E155" s="128"/>
      <c r="F155" s="28"/>
      <c r="G155" s="28"/>
      <c r="H155" s="15"/>
      <c r="I155" s="113"/>
      <c r="J155" s="135"/>
      <c r="K155" s="135"/>
      <c r="L155" s="135"/>
      <c r="M155" s="135"/>
      <c r="N155" s="136"/>
      <c r="O155" s="113"/>
      <c r="P155" s="129"/>
      <c r="Q155" s="129"/>
      <c r="R155" s="113"/>
      <c r="S155" s="114"/>
      <c r="T155" s="115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105"/>
      <c r="B156" s="105"/>
      <c r="C156" s="16"/>
      <c r="D156" s="28"/>
      <c r="E156" s="128"/>
      <c r="F156" s="28"/>
      <c r="G156" s="28"/>
      <c r="H156" s="15"/>
      <c r="I156" s="113"/>
      <c r="J156" s="135"/>
      <c r="K156" s="135"/>
      <c r="L156" s="135"/>
      <c r="M156" s="135"/>
      <c r="N156" s="136"/>
      <c r="O156" s="113"/>
      <c r="P156" s="129"/>
      <c r="Q156" s="129"/>
      <c r="R156" s="113"/>
      <c r="S156" s="114"/>
      <c r="T156" s="115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105"/>
      <c r="B157" s="105"/>
      <c r="C157" s="16"/>
      <c r="D157" s="28"/>
      <c r="E157" s="128"/>
      <c r="F157" s="28"/>
      <c r="G157" s="28"/>
      <c r="H157" s="15"/>
      <c r="I157" s="113"/>
      <c r="J157" s="135"/>
      <c r="K157" s="135"/>
      <c r="L157" s="135"/>
      <c r="M157" s="135"/>
      <c r="N157" s="136"/>
      <c r="O157" s="113"/>
      <c r="P157" s="129"/>
      <c r="Q157" s="129"/>
      <c r="R157" s="113"/>
      <c r="S157" s="114"/>
      <c r="T157" s="115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105"/>
      <c r="B158" s="105"/>
      <c r="C158" s="16"/>
      <c r="D158" s="28"/>
      <c r="E158" s="128"/>
      <c r="F158" s="28"/>
      <c r="G158" s="28"/>
      <c r="H158" s="15"/>
      <c r="I158" s="113"/>
      <c r="J158" s="135"/>
      <c r="K158" s="135"/>
      <c r="L158" s="135"/>
      <c r="M158" s="135"/>
      <c r="N158" s="136"/>
      <c r="O158" s="113"/>
      <c r="P158" s="129"/>
      <c r="Q158" s="129"/>
      <c r="R158" s="113"/>
      <c r="S158" s="114"/>
      <c r="T158" s="115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105"/>
      <c r="B159" s="105"/>
      <c r="C159" s="16"/>
      <c r="D159" s="28"/>
      <c r="E159" s="128"/>
      <c r="F159" s="28"/>
      <c r="G159" s="28"/>
      <c r="H159" s="15"/>
      <c r="I159" s="113"/>
      <c r="J159" s="135"/>
      <c r="K159" s="135"/>
      <c r="L159" s="135"/>
      <c r="M159" s="135"/>
      <c r="N159" s="136"/>
      <c r="O159" s="113"/>
      <c r="P159" s="129"/>
      <c r="Q159" s="129"/>
      <c r="R159" s="113"/>
      <c r="S159" s="114"/>
      <c r="T159" s="115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105"/>
      <c r="B160" s="105"/>
      <c r="C160" s="16"/>
      <c r="D160" s="28"/>
      <c r="E160" s="128"/>
      <c r="F160" s="28"/>
      <c r="G160" s="28"/>
      <c r="H160" s="15"/>
      <c r="I160" s="113"/>
      <c r="J160" s="135"/>
      <c r="K160" s="135"/>
      <c r="L160" s="135"/>
      <c r="M160" s="135"/>
      <c r="N160" s="136"/>
      <c r="O160" s="113"/>
      <c r="P160" s="129"/>
      <c r="Q160" s="129"/>
      <c r="R160" s="113"/>
      <c r="S160" s="114"/>
      <c r="T160" s="115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105"/>
      <c r="B161" s="105"/>
      <c r="C161" s="16"/>
      <c r="D161" s="28"/>
      <c r="E161" s="128"/>
      <c r="F161" s="28"/>
      <c r="G161" s="28"/>
      <c r="H161" s="15"/>
      <c r="I161" s="113"/>
      <c r="J161" s="135"/>
      <c r="K161" s="135"/>
      <c r="L161" s="135"/>
      <c r="M161" s="135"/>
      <c r="N161" s="136"/>
      <c r="O161" s="113"/>
      <c r="P161" s="129"/>
      <c r="Q161" s="129"/>
      <c r="R161" s="113"/>
      <c r="S161" s="114"/>
      <c r="T161" s="115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105"/>
      <c r="B162" s="105"/>
      <c r="C162" s="16"/>
      <c r="D162" s="28"/>
      <c r="E162" s="128"/>
      <c r="F162" s="28"/>
      <c r="G162" s="28"/>
      <c r="H162" s="15"/>
      <c r="I162" s="113"/>
      <c r="J162" s="135"/>
      <c r="K162" s="135"/>
      <c r="L162" s="135"/>
      <c r="M162" s="135"/>
      <c r="N162" s="136"/>
      <c r="O162" s="113"/>
      <c r="P162" s="129"/>
      <c r="Q162" s="129"/>
      <c r="R162" s="113"/>
      <c r="S162" s="114"/>
      <c r="T162" s="115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105"/>
      <c r="B163" s="105"/>
      <c r="C163" s="16"/>
      <c r="D163" s="28"/>
      <c r="E163" s="128"/>
      <c r="F163" s="28"/>
      <c r="G163" s="28"/>
      <c r="H163" s="15"/>
      <c r="I163" s="113"/>
      <c r="J163" s="135"/>
      <c r="K163" s="135"/>
      <c r="L163" s="135"/>
      <c r="M163" s="135"/>
      <c r="N163" s="136"/>
      <c r="O163" s="113"/>
      <c r="P163" s="129"/>
      <c r="Q163" s="129"/>
      <c r="R163" s="113"/>
      <c r="S163" s="114"/>
      <c r="T163" s="115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105"/>
      <c r="B164" s="105"/>
      <c r="C164" s="16"/>
      <c r="D164" s="28"/>
      <c r="E164" s="128"/>
      <c r="F164" s="28"/>
      <c r="G164" s="28"/>
      <c r="H164" s="15"/>
      <c r="I164" s="113"/>
      <c r="J164" s="135"/>
      <c r="K164" s="135"/>
      <c r="L164" s="135"/>
      <c r="M164" s="135"/>
      <c r="N164" s="136"/>
      <c r="O164" s="113"/>
      <c r="P164" s="129"/>
      <c r="Q164" s="129"/>
      <c r="R164" s="113"/>
      <c r="S164" s="114"/>
      <c r="T164" s="115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105"/>
      <c r="B165" s="105"/>
      <c r="C165" s="16"/>
      <c r="D165" s="28"/>
      <c r="E165" s="128"/>
      <c r="F165" s="28"/>
      <c r="G165" s="28"/>
      <c r="H165" s="15"/>
      <c r="I165" s="113"/>
      <c r="J165" s="135"/>
      <c r="K165" s="135"/>
      <c r="L165" s="135"/>
      <c r="M165" s="135"/>
      <c r="N165" s="136"/>
      <c r="O165" s="113"/>
      <c r="P165" s="129"/>
      <c r="Q165" s="129"/>
      <c r="R165" s="113"/>
      <c r="S165" s="114"/>
      <c r="T165" s="115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A166" s="105"/>
      <c r="B166" s="105"/>
      <c r="C166" s="16"/>
      <c r="D166" s="28"/>
      <c r="E166" s="128"/>
      <c r="F166" s="28"/>
      <c r="G166" s="28"/>
      <c r="H166" s="15"/>
      <c r="I166" s="113"/>
      <c r="J166" s="135"/>
      <c r="K166" s="135"/>
      <c r="L166" s="135"/>
      <c r="M166" s="135"/>
      <c r="N166" s="136"/>
      <c r="O166" s="113"/>
      <c r="P166" s="129"/>
      <c r="Q166" s="129"/>
      <c r="R166" s="113"/>
      <c r="S166" s="114"/>
      <c r="T166" s="115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A167" s="105"/>
      <c r="B167" s="105"/>
      <c r="C167" s="16"/>
      <c r="D167" s="28"/>
      <c r="E167" s="128"/>
      <c r="F167" s="28"/>
      <c r="G167" s="28"/>
      <c r="H167" s="15"/>
      <c r="I167" s="113"/>
      <c r="J167" s="135"/>
      <c r="K167" s="135"/>
      <c r="L167" s="135"/>
      <c r="M167" s="135"/>
      <c r="N167" s="136"/>
      <c r="O167" s="113"/>
      <c r="P167" s="129"/>
      <c r="Q167" s="129"/>
      <c r="R167" s="113"/>
      <c r="S167" s="114"/>
      <c r="T167" s="115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A168" s="105"/>
      <c r="B168" s="105"/>
      <c r="C168" s="16"/>
      <c r="D168" s="28"/>
      <c r="E168" s="128"/>
      <c r="F168" s="28"/>
      <c r="G168" s="28"/>
      <c r="H168" s="15"/>
      <c r="I168" s="113"/>
      <c r="J168" s="135"/>
      <c r="K168" s="135"/>
      <c r="L168" s="135"/>
      <c r="M168" s="135"/>
      <c r="N168" s="136"/>
      <c r="O168" s="113"/>
      <c r="P168" s="129"/>
      <c r="Q168" s="129"/>
      <c r="R168" s="113"/>
      <c r="S168" s="114"/>
      <c r="T168" s="115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A169" s="105"/>
      <c r="B169" s="105"/>
      <c r="C169" s="16"/>
      <c r="D169" s="28"/>
      <c r="E169" s="128"/>
      <c r="F169" s="28"/>
      <c r="G169" s="28"/>
      <c r="H169" s="15"/>
      <c r="I169" s="113"/>
      <c r="J169" s="135"/>
      <c r="K169" s="135"/>
      <c r="L169" s="135"/>
      <c r="M169" s="135"/>
      <c r="N169" s="136"/>
      <c r="O169" s="113"/>
      <c r="P169" s="129"/>
      <c r="Q169" s="129"/>
      <c r="R169" s="113"/>
      <c r="S169" s="114"/>
      <c r="T169" s="115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A170" s="105"/>
      <c r="B170" s="105"/>
      <c r="C170" s="16"/>
      <c r="D170" s="28"/>
      <c r="E170" s="128"/>
      <c r="F170" s="28"/>
      <c r="G170" s="28"/>
      <c r="H170" s="15"/>
      <c r="I170" s="113"/>
      <c r="J170" s="135"/>
      <c r="K170" s="135"/>
      <c r="L170" s="135"/>
      <c r="M170" s="135"/>
      <c r="N170" s="136"/>
      <c r="O170" s="113"/>
      <c r="P170" s="129"/>
      <c r="Q170" s="129"/>
      <c r="R170" s="113"/>
      <c r="S170" s="114"/>
      <c r="T170" s="115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A171" s="105"/>
      <c r="B171" s="105"/>
      <c r="C171" s="16"/>
      <c r="D171" s="28"/>
      <c r="E171" s="128"/>
      <c r="F171" s="28"/>
      <c r="G171" s="28"/>
      <c r="H171" s="15"/>
      <c r="I171" s="113"/>
      <c r="J171" s="135"/>
      <c r="K171" s="135"/>
      <c r="L171" s="135"/>
      <c r="M171" s="135"/>
      <c r="N171" s="136"/>
      <c r="O171" s="113"/>
      <c r="P171" s="129"/>
      <c r="Q171" s="129"/>
      <c r="R171" s="113"/>
      <c r="S171" s="114"/>
      <c r="T171" s="115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A172" s="105"/>
      <c r="B172" s="105"/>
      <c r="C172" s="16"/>
      <c r="D172" s="28"/>
      <c r="E172" s="128"/>
      <c r="F172" s="28"/>
      <c r="G172" s="28"/>
      <c r="H172" s="15"/>
      <c r="I172" s="113"/>
      <c r="J172" s="135"/>
      <c r="K172" s="135"/>
      <c r="L172" s="135"/>
      <c r="M172" s="135"/>
      <c r="N172" s="136"/>
      <c r="O172" s="113"/>
      <c r="P172" s="129"/>
      <c r="Q172" s="129"/>
      <c r="R172" s="113"/>
      <c r="S172" s="114"/>
      <c r="T172" s="115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A173" s="105"/>
      <c r="B173" s="105"/>
      <c r="C173" s="16"/>
      <c r="D173" s="28"/>
      <c r="E173" s="128"/>
      <c r="F173" s="28"/>
      <c r="G173" s="28"/>
      <c r="H173" s="15"/>
      <c r="I173" s="113"/>
      <c r="J173" s="135"/>
      <c r="K173" s="135"/>
      <c r="L173" s="135"/>
      <c r="M173" s="135"/>
      <c r="N173" s="136"/>
      <c r="O173" s="113"/>
      <c r="P173" s="129"/>
      <c r="Q173" s="129"/>
      <c r="R173" s="113"/>
      <c r="S173" s="114"/>
      <c r="T173" s="115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A174" s="105"/>
      <c r="B174" s="105"/>
      <c r="C174" s="16"/>
      <c r="D174" s="28"/>
      <c r="E174" s="128"/>
      <c r="F174" s="28"/>
      <c r="G174" s="28"/>
      <c r="H174" s="15"/>
      <c r="I174" s="113"/>
      <c r="J174" s="135"/>
      <c r="K174" s="135"/>
      <c r="L174" s="135"/>
      <c r="M174" s="135"/>
      <c r="N174" s="136"/>
      <c r="O174" s="113"/>
      <c r="P174" s="129"/>
      <c r="Q174" s="129"/>
      <c r="R174" s="113"/>
      <c r="S174" s="114"/>
      <c r="T174" s="115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A175" s="105"/>
      <c r="B175" s="105"/>
      <c r="C175" s="16"/>
      <c r="D175" s="28"/>
      <c r="E175" s="128"/>
      <c r="F175" s="28"/>
      <c r="G175" s="28"/>
      <c r="H175" s="15"/>
      <c r="I175" s="113"/>
      <c r="J175" s="135"/>
      <c r="K175" s="135"/>
      <c r="L175" s="135"/>
      <c r="M175" s="135"/>
      <c r="N175" s="136"/>
      <c r="O175" s="113"/>
      <c r="P175" s="129"/>
      <c r="Q175" s="129"/>
      <c r="R175" s="113"/>
      <c r="S175" s="114"/>
      <c r="T175" s="115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A176" s="105"/>
      <c r="B176" s="105"/>
      <c r="C176" s="16"/>
      <c r="D176" s="28"/>
      <c r="E176" s="128"/>
      <c r="F176" s="28"/>
      <c r="G176" s="28"/>
      <c r="H176" s="15"/>
      <c r="I176" s="113"/>
      <c r="J176" s="135"/>
      <c r="K176" s="135"/>
      <c r="L176" s="135"/>
      <c r="M176" s="135"/>
      <c r="N176" s="136"/>
      <c r="O176" s="113"/>
      <c r="P176" s="129"/>
      <c r="Q176" s="129"/>
      <c r="R176" s="113"/>
      <c r="S176" s="114"/>
      <c r="T176" s="115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A177" s="105"/>
      <c r="B177" s="105"/>
      <c r="C177" s="16"/>
      <c r="D177" s="28"/>
      <c r="E177" s="128"/>
      <c r="F177" s="28"/>
      <c r="G177" s="28"/>
      <c r="H177" s="15"/>
      <c r="I177" s="113"/>
      <c r="J177" s="135"/>
      <c r="K177" s="135"/>
      <c r="L177" s="135"/>
      <c r="M177" s="135"/>
      <c r="N177" s="136"/>
      <c r="O177" s="113"/>
      <c r="P177" s="129"/>
      <c r="Q177" s="129"/>
      <c r="R177" s="113"/>
      <c r="S177" s="114"/>
      <c r="T177" s="115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A178" s="105"/>
      <c r="B178" s="105"/>
      <c r="C178" s="16"/>
      <c r="D178" s="28"/>
      <c r="E178" s="128"/>
      <c r="F178" s="28"/>
      <c r="G178" s="28"/>
      <c r="H178" s="15"/>
      <c r="I178" s="113"/>
      <c r="J178" s="135"/>
      <c r="K178" s="135"/>
      <c r="L178" s="135"/>
      <c r="M178" s="135"/>
      <c r="N178" s="136"/>
      <c r="O178" s="113"/>
      <c r="P178" s="129"/>
      <c r="Q178" s="129"/>
      <c r="R178" s="113"/>
      <c r="S178" s="114"/>
      <c r="T178" s="115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A179" s="105"/>
      <c r="B179" s="105"/>
      <c r="C179" s="16"/>
      <c r="D179" s="28"/>
      <c r="E179" s="128"/>
      <c r="F179" s="28"/>
      <c r="G179" s="28"/>
      <c r="H179" s="15"/>
      <c r="I179" s="113"/>
      <c r="J179" s="135"/>
      <c r="K179" s="135"/>
      <c r="L179" s="135"/>
      <c r="M179" s="135"/>
      <c r="N179" s="136"/>
      <c r="O179" s="113"/>
      <c r="P179" s="129"/>
      <c r="Q179" s="129"/>
      <c r="R179" s="113"/>
      <c r="S179" s="114"/>
      <c r="T179" s="115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A180" s="105"/>
      <c r="B180" s="105"/>
      <c r="C180" s="16"/>
      <c r="D180" s="28"/>
      <c r="E180" s="128"/>
      <c r="F180" s="28"/>
      <c r="G180" s="28"/>
      <c r="H180" s="15"/>
      <c r="I180" s="113"/>
      <c r="J180" s="135"/>
      <c r="K180" s="135"/>
      <c r="L180" s="135"/>
      <c r="M180" s="135"/>
      <c r="N180" s="136"/>
      <c r="O180" s="113"/>
      <c r="P180" s="129"/>
      <c r="Q180" s="129"/>
      <c r="R180" s="113"/>
      <c r="S180" s="114"/>
      <c r="T180" s="115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A181" s="105"/>
      <c r="B181" s="105"/>
      <c r="C181" s="16"/>
      <c r="D181" s="28"/>
      <c r="E181" s="128"/>
      <c r="F181" s="28"/>
      <c r="G181" s="28"/>
      <c r="H181" s="15"/>
      <c r="I181" s="113"/>
      <c r="J181" s="135"/>
      <c r="K181" s="135"/>
      <c r="L181" s="135"/>
      <c r="M181" s="135"/>
      <c r="N181" s="136"/>
      <c r="O181" s="113"/>
      <c r="P181" s="129"/>
      <c r="Q181" s="129"/>
      <c r="R181" s="113"/>
      <c r="S181" s="114"/>
      <c r="T181" s="115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A182" s="105"/>
      <c r="B182" s="105"/>
      <c r="C182" s="16"/>
      <c r="D182" s="28"/>
      <c r="E182" s="128"/>
      <c r="F182" s="28"/>
      <c r="G182" s="28"/>
      <c r="H182" s="15"/>
      <c r="I182" s="113"/>
      <c r="J182" s="135"/>
      <c r="K182" s="135"/>
      <c r="L182" s="135"/>
      <c r="M182" s="135"/>
      <c r="N182" s="136"/>
      <c r="O182" s="113"/>
      <c r="P182" s="129"/>
      <c r="Q182" s="129"/>
      <c r="R182" s="113"/>
      <c r="S182" s="114"/>
      <c r="T182" s="115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A183" s="105"/>
      <c r="B183" s="105"/>
      <c r="C183" s="16"/>
      <c r="D183" s="28"/>
      <c r="E183" s="128"/>
      <c r="F183" s="28"/>
      <c r="G183" s="28"/>
      <c r="H183" s="15"/>
      <c r="I183" s="113"/>
      <c r="J183" s="135"/>
      <c r="K183" s="135"/>
      <c r="L183" s="135"/>
      <c r="M183" s="135"/>
      <c r="N183" s="136"/>
      <c r="O183" s="113"/>
      <c r="P183" s="129"/>
      <c r="Q183" s="129"/>
      <c r="R183" s="113"/>
      <c r="S183" s="114"/>
      <c r="T183" s="115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A184" s="105"/>
      <c r="B184" s="105"/>
      <c r="C184" s="16"/>
      <c r="D184" s="28"/>
      <c r="E184" s="128"/>
      <c r="F184" s="28"/>
      <c r="G184" s="28"/>
      <c r="H184" s="15"/>
      <c r="I184" s="113"/>
      <c r="J184" s="135"/>
      <c r="K184" s="135"/>
      <c r="L184" s="135"/>
      <c r="M184" s="135"/>
      <c r="N184" s="136"/>
      <c r="O184" s="113"/>
      <c r="P184" s="129"/>
      <c r="Q184" s="129"/>
      <c r="R184" s="113"/>
      <c r="S184" s="114"/>
      <c r="T184" s="115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A185" s="105"/>
      <c r="B185" s="105"/>
      <c r="C185" s="16"/>
      <c r="D185" s="28"/>
      <c r="E185" s="128"/>
      <c r="F185" s="28"/>
      <c r="G185" s="28"/>
      <c r="H185" s="15"/>
      <c r="I185" s="113"/>
      <c r="J185" s="135"/>
      <c r="K185" s="135"/>
      <c r="L185" s="135"/>
      <c r="M185" s="135"/>
      <c r="N185" s="136"/>
      <c r="O185" s="113"/>
      <c r="P185" s="129"/>
      <c r="Q185" s="129"/>
      <c r="R185" s="113"/>
      <c r="S185" s="114"/>
      <c r="T185" s="115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A186" s="105"/>
      <c r="B186" s="105"/>
      <c r="C186" s="16"/>
      <c r="D186" s="28"/>
      <c r="E186" s="128"/>
      <c r="F186" s="28"/>
      <c r="G186" s="28"/>
      <c r="H186" s="15"/>
      <c r="I186" s="113"/>
      <c r="J186" s="135"/>
      <c r="K186" s="135"/>
      <c r="L186" s="135"/>
      <c r="M186" s="135"/>
      <c r="N186" s="136"/>
      <c r="O186" s="113"/>
      <c r="P186" s="129"/>
      <c r="Q186" s="129"/>
      <c r="R186" s="113"/>
      <c r="S186" s="114"/>
      <c r="T186" s="115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A187" s="105"/>
      <c r="B187" s="105"/>
      <c r="C187" s="16"/>
      <c r="D187" s="28"/>
      <c r="E187" s="128"/>
      <c r="F187" s="28"/>
      <c r="G187" s="28"/>
      <c r="H187" s="15"/>
      <c r="I187" s="113"/>
      <c r="J187" s="135"/>
      <c r="K187" s="135"/>
      <c r="L187" s="135"/>
      <c r="M187" s="135"/>
      <c r="N187" s="136"/>
      <c r="O187" s="113"/>
      <c r="P187" s="129"/>
      <c r="Q187" s="129"/>
      <c r="R187" s="113"/>
      <c r="S187" s="114"/>
      <c r="T187" s="115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A188" s="105"/>
      <c r="B188" s="105"/>
      <c r="C188" s="16"/>
      <c r="D188" s="28"/>
      <c r="E188" s="128"/>
      <c r="F188" s="28"/>
      <c r="G188" s="28"/>
      <c r="H188" s="15"/>
      <c r="I188" s="113"/>
      <c r="J188" s="135"/>
      <c r="K188" s="135"/>
      <c r="L188" s="135"/>
      <c r="M188" s="135"/>
      <c r="N188" s="136"/>
      <c r="O188" s="113"/>
      <c r="P188" s="129"/>
      <c r="Q188" s="129"/>
      <c r="R188" s="113"/>
      <c r="S188" s="114"/>
      <c r="T188" s="115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A189" s="105"/>
      <c r="B189" s="105"/>
      <c r="C189" s="16"/>
      <c r="D189" s="28"/>
      <c r="E189" s="128"/>
      <c r="F189" s="28"/>
      <c r="G189" s="28"/>
      <c r="H189" s="15"/>
      <c r="I189" s="113"/>
      <c r="J189" s="135"/>
      <c r="K189" s="135"/>
      <c r="L189" s="135"/>
      <c r="M189" s="135"/>
      <c r="N189" s="136"/>
      <c r="O189" s="113"/>
      <c r="P189" s="129"/>
      <c r="Q189" s="129"/>
      <c r="R189" s="113"/>
      <c r="S189" s="114"/>
      <c r="T189" s="115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A190" s="105"/>
      <c r="B190" s="105" t="str">
        <f>PURCHASES!B29</f>
        <v>PT. Top Point Medical</v>
      </c>
      <c r="C190" s="16" t="str">
        <f>PURCHASES!B29</f>
        <v>PT. Top Point Medical</v>
      </c>
      <c r="D190" s="28"/>
      <c r="E190" s="128"/>
      <c r="F190" s="127" t="str">
        <f>PURCHASES!F29</f>
        <v>po ke tp (rspp ke 4)</v>
      </c>
      <c r="G190" s="28">
        <f>PURCHASES!G29</f>
        <v>45909</v>
      </c>
      <c r="H190" s="15" t="str">
        <f>PURCHASES!H29</f>
        <v/>
      </c>
      <c r="I190" s="113">
        <f>PURCHASES!L29</f>
        <v>5062500</v>
      </c>
      <c r="J190" s="135"/>
      <c r="K190" s="135"/>
      <c r="L190" s="135"/>
      <c r="M190" s="135"/>
      <c r="N190" s="136"/>
      <c r="O190" s="113"/>
      <c r="P190" s="129"/>
      <c r="Q190" s="129"/>
      <c r="R190" s="113">
        <f t="shared" ref="R190:R191" si="3">I190-O190-Q190</f>
        <v>5062500</v>
      </c>
      <c r="S190" s="114" t="str">
        <f t="shared" ref="S190:S191" si="4">IF(R190&gt;0,"ost","-")</f>
        <v>ost</v>
      </c>
      <c r="T190" s="115" t="s">
        <v>438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A191" s="105"/>
      <c r="B191" s="105" t="str">
        <f>PURCHASES!B30</f>
        <v>Gedung</v>
      </c>
      <c r="C191" s="16" t="str">
        <f>PURCHASES!B30</f>
        <v>Gedung</v>
      </c>
      <c r="D191" s="28"/>
      <c r="E191" s="128"/>
      <c r="F191" s="28" t="str">
        <f>PURCHASES!F30</f>
        <v/>
      </c>
      <c r="G191" s="28">
        <f>PURCHASES!G30</f>
        <v>45915</v>
      </c>
      <c r="H191" s="15" t="str">
        <f>PURCHASES!H30</f>
        <v/>
      </c>
      <c r="I191" s="113">
        <f>PURCHASES!L30</f>
        <v>4684781</v>
      </c>
      <c r="J191" s="137"/>
      <c r="K191" s="137"/>
      <c r="L191" s="137"/>
      <c r="M191" s="137"/>
      <c r="N191" s="137"/>
      <c r="O191" s="129"/>
      <c r="P191" s="113"/>
      <c r="Q191" s="113">
        <f>IF(O191&gt;1,I191-O191,0)</f>
        <v>0</v>
      </c>
      <c r="R191" s="113">
        <f t="shared" si="3"/>
        <v>4684781</v>
      </c>
      <c r="S191" s="114" t="str">
        <f t="shared" si="4"/>
        <v>ost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A192" s="138"/>
      <c r="B192" s="68"/>
      <c r="C192" s="68"/>
      <c r="D192" s="68"/>
      <c r="E192" s="139"/>
      <c r="F192" s="140"/>
      <c r="G192" s="141"/>
      <c r="H192" s="142"/>
      <c r="I192" s="86"/>
      <c r="J192" s="143"/>
      <c r="K192" s="143"/>
      <c r="L192" s="143"/>
      <c r="M192" s="143"/>
      <c r="N192" s="144"/>
      <c r="O192" s="144"/>
      <c r="P192" s="144"/>
      <c r="Q192" s="144"/>
      <c r="R192" s="144"/>
      <c r="S192" s="14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A193" s="145"/>
      <c r="B193" s="146"/>
      <c r="C193" s="146"/>
      <c r="D193" s="146"/>
      <c r="E193" s="147"/>
      <c r="F193" s="148"/>
      <c r="G193" s="146"/>
      <c r="H193" s="148" t="s">
        <v>421</v>
      </c>
      <c r="I193" s="149">
        <f>SUBTOTAL(9,I4:I192)</f>
        <v>339995560.1</v>
      </c>
      <c r="J193" s="150"/>
      <c r="K193" s="150"/>
      <c r="L193" s="150"/>
      <c r="M193" s="150"/>
      <c r="N193" s="151"/>
      <c r="O193" s="149">
        <f>SUBTOTAL(9,O4:O192)</f>
        <v>97369791</v>
      </c>
      <c r="P193" s="149"/>
      <c r="Q193" s="149">
        <f t="shared" ref="Q193:S193" si="5">SUBTOTAL(9,Q4:Q192)</f>
        <v>0</v>
      </c>
      <c r="R193" s="149">
        <f t="shared" si="5"/>
        <v>-8266115.45</v>
      </c>
      <c r="S193" s="149">
        <f t="shared" si="5"/>
        <v>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A194" s="44"/>
      <c r="B194" s="44"/>
      <c r="C194" s="44"/>
      <c r="D194" s="44"/>
      <c r="E194" s="152"/>
      <c r="F194" s="46"/>
      <c r="G194" s="44"/>
      <c r="H194" s="44"/>
      <c r="I194" s="153">
        <f>I193-PURCHASES!L160</f>
        <v>-7478067.719</v>
      </c>
      <c r="J194" s="61"/>
      <c r="K194" s="61"/>
      <c r="L194" s="61"/>
      <c r="M194" s="61"/>
      <c r="N194" s="154"/>
      <c r="O194" s="154"/>
      <c r="P194" s="154"/>
      <c r="Q194" s="154"/>
      <c r="R194" s="154"/>
      <c r="S194" s="4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A195" s="44"/>
      <c r="B195" s="44"/>
      <c r="C195" s="44"/>
      <c r="D195" s="44"/>
      <c r="E195" s="152"/>
      <c r="F195" s="46"/>
      <c r="G195" s="44"/>
      <c r="H195" s="155" t="s">
        <v>458</v>
      </c>
      <c r="I195" s="156" t="str">
        <f>I193-I198</f>
        <v>#REF!</v>
      </c>
      <c r="J195" s="61"/>
      <c r="K195" s="61"/>
      <c r="L195" s="61"/>
      <c r="M195" s="61"/>
      <c r="N195" s="154" t="s">
        <v>459</v>
      </c>
      <c r="O195" s="157" t="s">
        <v>460</v>
      </c>
      <c r="P195" s="158"/>
      <c r="Q195" s="158" t="s">
        <v>461</v>
      </c>
      <c r="R195" s="159">
        <v>3.46241843E8</v>
      </c>
      <c r="S195" s="4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A196" s="44"/>
      <c r="B196" s="44"/>
      <c r="C196" s="44"/>
      <c r="D196" s="44"/>
      <c r="E196" s="152"/>
      <c r="F196" s="46"/>
      <c r="G196" s="44"/>
      <c r="H196" s="160" t="s">
        <v>462</v>
      </c>
      <c r="I196" s="161" t="str">
        <f>SUM(#REF!)</f>
        <v>#REF!</v>
      </c>
      <c r="J196" s="61"/>
      <c r="K196" s="61"/>
      <c r="L196" s="61"/>
      <c r="M196" s="61" t="s">
        <v>463</v>
      </c>
      <c r="N196" s="162">
        <v>0.0</v>
      </c>
      <c r="O196" s="162">
        <v>0.0</v>
      </c>
      <c r="P196" s="153"/>
      <c r="Q196" s="153">
        <f>O196-N196</f>
        <v>0</v>
      </c>
      <c r="R196" s="159">
        <f>R195-R193</f>
        <v>354507958.5</v>
      </c>
      <c r="S196" s="4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A197" s="44"/>
      <c r="B197" s="44"/>
      <c r="C197" s="44"/>
      <c r="D197" s="44"/>
      <c r="E197" s="152"/>
      <c r="F197" s="46"/>
      <c r="G197" s="44"/>
      <c r="H197" s="160" t="s">
        <v>464</v>
      </c>
      <c r="I197" s="163">
        <f>PURCHASES!L160</f>
        <v>347473627.8</v>
      </c>
      <c r="J197" s="61"/>
      <c r="K197" s="61"/>
      <c r="L197" s="61"/>
      <c r="M197" s="61" t="s">
        <v>465</v>
      </c>
      <c r="N197" s="162">
        <v>0.0</v>
      </c>
      <c r="O197" s="162">
        <v>0.0</v>
      </c>
      <c r="P197" s="162"/>
      <c r="Q197" s="162">
        <f>N197-O197</f>
        <v>0</v>
      </c>
      <c r="R197" s="154"/>
      <c r="S197" s="4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A198" s="44"/>
      <c r="B198" s="44"/>
      <c r="C198" s="44"/>
      <c r="D198" s="44"/>
      <c r="E198" s="152"/>
      <c r="F198" s="46"/>
      <c r="G198" s="44"/>
      <c r="H198" s="164" t="s">
        <v>421</v>
      </c>
      <c r="I198" s="163" t="str">
        <f>I196+I197</f>
        <v>#REF!</v>
      </c>
      <c r="J198" s="61"/>
      <c r="K198" s="61"/>
      <c r="L198" s="61"/>
      <c r="M198" s="61" t="s">
        <v>466</v>
      </c>
      <c r="N198" s="165">
        <v>0.0</v>
      </c>
      <c r="O198" s="165">
        <v>0.0</v>
      </c>
      <c r="P198" s="153"/>
      <c r="Q198" s="153">
        <f>O198-N198</f>
        <v>0</v>
      </c>
      <c r="R198" s="44"/>
      <c r="S198" s="4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A199" s="44"/>
      <c r="B199" s="44"/>
      <c r="C199" s="44"/>
      <c r="D199" s="44"/>
      <c r="E199" s="152"/>
      <c r="F199" s="46"/>
      <c r="G199" s="44"/>
      <c r="H199" s="44"/>
      <c r="I199" s="44"/>
      <c r="J199" s="61"/>
      <c r="K199" s="61"/>
      <c r="L199" s="61"/>
      <c r="M199" s="61" t="s">
        <v>467</v>
      </c>
      <c r="N199" s="166">
        <f t="shared" ref="N199:O199" si="6">SUM(N196:N198)</f>
        <v>0</v>
      </c>
      <c r="O199" s="166">
        <f t="shared" si="6"/>
        <v>0</v>
      </c>
      <c r="P199" s="157"/>
      <c r="Q199" s="157"/>
      <c r="R199" s="44"/>
      <c r="S199" s="4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A200" s="44"/>
      <c r="B200" s="44"/>
      <c r="C200" s="44"/>
      <c r="D200" s="44"/>
      <c r="E200" s="152"/>
      <c r="F200" s="46"/>
      <c r="G200" s="44"/>
      <c r="H200" s="44"/>
      <c r="I200" s="44"/>
      <c r="J200" s="61"/>
      <c r="K200" s="61"/>
      <c r="L200" s="61"/>
      <c r="M200" s="61" t="s">
        <v>468</v>
      </c>
      <c r="N200" s="166">
        <v>0.0</v>
      </c>
      <c r="O200" s="166">
        <v>0.0</v>
      </c>
      <c r="P200" s="157"/>
      <c r="Q200" s="157"/>
      <c r="R200" s="44"/>
      <c r="S200" s="4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A201" s="44"/>
      <c r="B201" s="44"/>
      <c r="C201" s="44"/>
      <c r="D201" s="44"/>
      <c r="E201" s="152"/>
      <c r="F201" s="46"/>
      <c r="G201" s="44"/>
      <c r="H201" s="44"/>
      <c r="I201" s="44"/>
      <c r="J201" s="61"/>
      <c r="K201" s="61"/>
      <c r="L201" s="61"/>
      <c r="M201" s="61" t="s">
        <v>469</v>
      </c>
      <c r="N201" s="166">
        <f t="shared" ref="N201:O201" si="7">N200-N199</f>
        <v>0</v>
      </c>
      <c r="O201" s="166">
        <f t="shared" si="7"/>
        <v>0</v>
      </c>
      <c r="P201" s="157"/>
      <c r="Q201" s="157"/>
      <c r="R201" s="44"/>
      <c r="S201" s="4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A202" s="44"/>
      <c r="B202" s="44"/>
      <c r="C202" s="44"/>
      <c r="D202" s="44"/>
      <c r="E202" s="152"/>
      <c r="F202" s="46"/>
      <c r="G202" s="44"/>
      <c r="H202" s="44"/>
      <c r="I202" s="44"/>
      <c r="J202" s="61"/>
      <c r="K202" s="61"/>
      <c r="L202" s="61"/>
      <c r="M202" s="61"/>
      <c r="N202" s="44"/>
      <c r="O202" s="44"/>
      <c r="P202" s="157"/>
      <c r="Q202" s="157"/>
      <c r="R202" s="44"/>
      <c r="S202" s="4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A203" s="44"/>
      <c r="B203" s="44"/>
      <c r="C203" s="44"/>
      <c r="D203" s="44"/>
      <c r="E203" s="152"/>
      <c r="F203" s="46"/>
      <c r="G203" s="44"/>
      <c r="H203" s="44"/>
      <c r="I203" s="44"/>
      <c r="J203" s="61"/>
      <c r="K203" s="61"/>
      <c r="L203" s="61"/>
      <c r="M203" s="61"/>
      <c r="N203" s="167"/>
      <c r="O203" s="167"/>
      <c r="P203" s="44"/>
      <c r="Q203" s="44"/>
      <c r="R203" s="44"/>
      <c r="S203" s="4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A204" s="44"/>
      <c r="B204" s="44"/>
      <c r="C204" s="44"/>
      <c r="D204" s="44"/>
      <c r="E204" s="152"/>
      <c r="F204" s="46"/>
      <c r="G204" s="44"/>
      <c r="H204" s="44" t="s">
        <v>470</v>
      </c>
      <c r="I204" s="168"/>
      <c r="J204" s="169"/>
      <c r="K204" s="169"/>
      <c r="L204" s="169"/>
      <c r="M204" s="169"/>
      <c r="N204" s="168"/>
      <c r="O204" s="168"/>
      <c r="P204" s="168"/>
      <c r="Q204" s="168"/>
      <c r="R204" s="168"/>
      <c r="S204" s="4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A205" s="44"/>
      <c r="B205" s="44"/>
      <c r="C205" s="44"/>
      <c r="D205" s="44"/>
      <c r="E205" s="152"/>
      <c r="F205" s="46"/>
      <c r="G205" s="44"/>
      <c r="H205" s="44" t="s">
        <v>471</v>
      </c>
      <c r="I205" s="170">
        <f>I193-I204</f>
        <v>339995560.1</v>
      </c>
      <c r="J205" s="61"/>
      <c r="K205" s="61"/>
      <c r="L205" s="61"/>
      <c r="M205" s="61"/>
      <c r="N205" s="170">
        <f t="shared" ref="N205:O205" si="8">N193-N204</f>
        <v>0</v>
      </c>
      <c r="O205" s="170">
        <f t="shared" si="8"/>
        <v>97369791</v>
      </c>
      <c r="P205" s="170"/>
      <c r="Q205" s="170">
        <f t="shared" ref="Q205:R205" si="9">Q193-Q204</f>
        <v>0</v>
      </c>
      <c r="R205" s="170">
        <f t="shared" si="9"/>
        <v>-8266115.45</v>
      </c>
      <c r="S205" s="4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A206" s="4"/>
      <c r="B206" s="4"/>
      <c r="C206" s="4"/>
      <c r="D206" s="4"/>
      <c r="E206" s="171"/>
      <c r="F206" s="17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A207" s="4"/>
      <c r="B207" s="4"/>
      <c r="C207" s="4"/>
      <c r="D207" s="4"/>
      <c r="E207" s="171"/>
      <c r="F207" s="17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A208" s="4"/>
      <c r="B208" s="4"/>
      <c r="C208" s="4"/>
      <c r="D208" s="4"/>
      <c r="E208" s="171"/>
      <c r="F208" s="17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A209" s="4"/>
      <c r="B209" s="4"/>
      <c r="C209" s="4"/>
      <c r="D209" s="4"/>
      <c r="E209" s="171"/>
      <c r="F209" s="17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A210" s="4"/>
      <c r="B210" s="4"/>
      <c r="C210" s="4"/>
      <c r="D210" s="4"/>
      <c r="E210" s="171"/>
      <c r="F210" s="17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A211" s="4"/>
      <c r="B211" s="4"/>
      <c r="C211" s="4"/>
      <c r="D211" s="4"/>
      <c r="E211" s="171"/>
      <c r="F211" s="17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A212" s="4"/>
      <c r="B212" s="4"/>
      <c r="C212" s="4"/>
      <c r="D212" s="4"/>
      <c r="E212" s="171"/>
      <c r="F212" s="17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A213" s="4"/>
      <c r="B213" s="4"/>
      <c r="C213" s="4"/>
      <c r="D213" s="4"/>
      <c r="E213" s="171"/>
      <c r="F213" s="17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A214" s="4"/>
      <c r="B214" s="4"/>
      <c r="C214" s="4"/>
      <c r="D214" s="4"/>
      <c r="E214" s="171"/>
      <c r="F214" s="17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A215" s="4"/>
      <c r="B215" s="4"/>
      <c r="C215" s="4"/>
      <c r="D215" s="4"/>
      <c r="E215" s="171"/>
      <c r="F215" s="17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A216" s="4"/>
      <c r="B216" s="4"/>
      <c r="C216" s="4"/>
      <c r="D216" s="4"/>
      <c r="E216" s="171"/>
      <c r="F216" s="17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A217" s="4"/>
      <c r="B217" s="4"/>
      <c r="C217" s="4"/>
      <c r="D217" s="4"/>
      <c r="E217" s="171"/>
      <c r="F217" s="17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A218" s="4"/>
      <c r="B218" s="4"/>
      <c r="C218" s="4"/>
      <c r="D218" s="4"/>
      <c r="E218" s="171"/>
      <c r="F218" s="17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A219" s="4"/>
      <c r="B219" s="4"/>
      <c r="C219" s="4"/>
      <c r="D219" s="4"/>
      <c r="E219" s="171"/>
      <c r="F219" s="17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A220" s="4"/>
      <c r="B220" s="4"/>
      <c r="C220" s="4"/>
      <c r="D220" s="4"/>
      <c r="E220" s="171"/>
      <c r="F220" s="17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A221" s="4"/>
      <c r="B221" s="4"/>
      <c r="C221" s="4"/>
      <c r="D221" s="4"/>
      <c r="E221" s="171"/>
      <c r="F221" s="17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A222" s="4"/>
      <c r="B222" s="4"/>
      <c r="C222" s="4"/>
      <c r="D222" s="4"/>
      <c r="E222" s="171"/>
      <c r="F222" s="17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A223" s="4"/>
      <c r="B223" s="4"/>
      <c r="C223" s="4"/>
      <c r="D223" s="4"/>
      <c r="E223" s="171"/>
      <c r="F223" s="17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A224" s="4"/>
      <c r="B224" s="4"/>
      <c r="C224" s="4"/>
      <c r="D224" s="4"/>
      <c r="E224" s="171"/>
      <c r="F224" s="17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A225" s="4"/>
      <c r="B225" s="4"/>
      <c r="C225" s="4"/>
      <c r="D225" s="4"/>
      <c r="E225" s="171"/>
      <c r="F225" s="17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A226" s="4"/>
      <c r="B226" s="4"/>
      <c r="C226" s="4"/>
      <c r="D226" s="4"/>
      <c r="E226" s="171"/>
      <c r="F226" s="17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A227" s="4"/>
      <c r="B227" s="4"/>
      <c r="C227" s="4"/>
      <c r="D227" s="4"/>
      <c r="E227" s="171"/>
      <c r="F227" s="17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A228" s="4"/>
      <c r="B228" s="4"/>
      <c r="C228" s="4"/>
      <c r="D228" s="4"/>
      <c r="E228" s="171"/>
      <c r="F228" s="17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A229" s="4"/>
      <c r="B229" s="4"/>
      <c r="C229" s="4"/>
      <c r="D229" s="4"/>
      <c r="E229" s="171"/>
      <c r="F229" s="17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A230" s="4"/>
      <c r="B230" s="4"/>
      <c r="C230" s="4"/>
      <c r="D230" s="4"/>
      <c r="E230" s="171"/>
      <c r="F230" s="17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A231" s="4"/>
      <c r="B231" s="4"/>
      <c r="C231" s="4"/>
      <c r="D231" s="4"/>
      <c r="E231" s="171"/>
      <c r="F231" s="17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A232" s="4"/>
      <c r="B232" s="4"/>
      <c r="C232" s="4"/>
      <c r="D232" s="4"/>
      <c r="E232" s="171"/>
      <c r="F232" s="17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A233" s="4"/>
      <c r="B233" s="4"/>
      <c r="C233" s="4"/>
      <c r="D233" s="4"/>
      <c r="E233" s="171"/>
      <c r="F233" s="17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A234" s="4"/>
      <c r="B234" s="4"/>
      <c r="C234" s="4"/>
      <c r="D234" s="4"/>
      <c r="E234" s="171"/>
      <c r="F234" s="17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A235" s="4"/>
      <c r="B235" s="4"/>
      <c r="C235" s="4"/>
      <c r="D235" s="4"/>
      <c r="E235" s="171"/>
      <c r="F235" s="17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A236" s="4"/>
      <c r="B236" s="4"/>
      <c r="C236" s="4"/>
      <c r="D236" s="4"/>
      <c r="E236" s="171"/>
      <c r="F236" s="17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A237" s="4"/>
      <c r="B237" s="4"/>
      <c r="C237" s="4"/>
      <c r="D237" s="4"/>
      <c r="E237" s="171"/>
      <c r="F237" s="17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A238" s="4"/>
      <c r="B238" s="4"/>
      <c r="C238" s="4"/>
      <c r="D238" s="4"/>
      <c r="E238" s="171"/>
      <c r="F238" s="17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A239" s="4"/>
      <c r="B239" s="4"/>
      <c r="C239" s="4"/>
      <c r="D239" s="4"/>
      <c r="E239" s="171"/>
      <c r="F239" s="17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A240" s="4"/>
      <c r="B240" s="4"/>
      <c r="C240" s="4"/>
      <c r="D240" s="4"/>
      <c r="E240" s="171"/>
      <c r="F240" s="17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A241" s="4"/>
      <c r="B241" s="4"/>
      <c r="C241" s="4"/>
      <c r="D241" s="4"/>
      <c r="E241" s="171"/>
      <c r="F241" s="17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A242" s="4"/>
      <c r="B242" s="4"/>
      <c r="C242" s="4"/>
      <c r="D242" s="4"/>
      <c r="E242" s="171"/>
      <c r="F242" s="17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A243" s="4"/>
      <c r="B243" s="4"/>
      <c r="C243" s="4"/>
      <c r="D243" s="4"/>
      <c r="E243" s="171"/>
      <c r="F243" s="17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A244" s="4"/>
      <c r="B244" s="4"/>
      <c r="C244" s="4"/>
      <c r="D244" s="4"/>
      <c r="E244" s="171"/>
      <c r="F244" s="17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A245" s="4"/>
      <c r="B245" s="4"/>
      <c r="C245" s="4"/>
      <c r="D245" s="4"/>
      <c r="E245" s="171"/>
      <c r="F245" s="17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A246" s="4"/>
      <c r="B246" s="4"/>
      <c r="C246" s="4"/>
      <c r="D246" s="4"/>
      <c r="E246" s="171"/>
      <c r="F246" s="17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A247" s="4"/>
      <c r="B247" s="4"/>
      <c r="C247" s="4"/>
      <c r="D247" s="4"/>
      <c r="E247" s="171"/>
      <c r="F247" s="17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A248" s="4"/>
      <c r="B248" s="4"/>
      <c r="C248" s="4"/>
      <c r="D248" s="4"/>
      <c r="E248" s="171"/>
      <c r="F248" s="17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A249" s="4"/>
      <c r="B249" s="4"/>
      <c r="C249" s="4"/>
      <c r="D249" s="4"/>
      <c r="E249" s="171"/>
      <c r="F249" s="17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A250" s="4"/>
      <c r="B250" s="4"/>
      <c r="C250" s="4"/>
      <c r="D250" s="4"/>
      <c r="E250" s="171"/>
      <c r="F250" s="17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A251" s="4"/>
      <c r="B251" s="4"/>
      <c r="C251" s="4"/>
      <c r="D251" s="4"/>
      <c r="E251" s="171"/>
      <c r="F251" s="17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A252" s="4"/>
      <c r="B252" s="4"/>
      <c r="C252" s="4"/>
      <c r="D252" s="4"/>
      <c r="E252" s="171"/>
      <c r="F252" s="17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>
      <c r="A253" s="4"/>
      <c r="B253" s="4"/>
      <c r="C253" s="4"/>
      <c r="D253" s="4"/>
      <c r="E253" s="171"/>
      <c r="F253" s="17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A254" s="4"/>
      <c r="B254" s="4"/>
      <c r="C254" s="4"/>
      <c r="D254" s="4"/>
      <c r="E254" s="171"/>
      <c r="F254" s="17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A255" s="4"/>
      <c r="B255" s="4"/>
      <c r="C255" s="4"/>
      <c r="D255" s="4"/>
      <c r="E255" s="171"/>
      <c r="F255" s="17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15.75" customHeight="1">
      <c r="A256" s="4"/>
      <c r="B256" s="4"/>
      <c r="C256" s="4"/>
      <c r="D256" s="4"/>
      <c r="E256" s="171"/>
      <c r="F256" s="17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15.75" customHeight="1">
      <c r="A257" s="4"/>
      <c r="B257" s="4"/>
      <c r="C257" s="4"/>
      <c r="D257" s="4"/>
      <c r="E257" s="171"/>
      <c r="F257" s="17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A258" s="4"/>
      <c r="B258" s="4"/>
      <c r="C258" s="4"/>
      <c r="D258" s="4"/>
      <c r="E258" s="171"/>
      <c r="F258" s="17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15.75" customHeight="1">
      <c r="A259" s="4"/>
      <c r="B259" s="4"/>
      <c r="C259" s="4"/>
      <c r="D259" s="4"/>
      <c r="E259" s="171"/>
      <c r="F259" s="17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15.75" customHeight="1">
      <c r="A260" s="4"/>
      <c r="B260" s="4"/>
      <c r="C260" s="4"/>
      <c r="D260" s="4"/>
      <c r="E260" s="171"/>
      <c r="F260" s="17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15.75" customHeight="1">
      <c r="A261" s="4"/>
      <c r="B261" s="4"/>
      <c r="C261" s="4"/>
      <c r="D261" s="4"/>
      <c r="E261" s="171"/>
      <c r="F261" s="17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15.75" customHeight="1">
      <c r="A262" s="4"/>
      <c r="B262" s="4"/>
      <c r="C262" s="4"/>
      <c r="D262" s="4"/>
      <c r="E262" s="171"/>
      <c r="F262" s="17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ht="15.75" customHeight="1">
      <c r="A263" s="4"/>
      <c r="B263" s="4"/>
      <c r="C263" s="4"/>
      <c r="D263" s="4"/>
      <c r="E263" s="171"/>
      <c r="F263" s="17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15.75" customHeight="1">
      <c r="A264" s="4"/>
      <c r="B264" s="4"/>
      <c r="C264" s="4"/>
      <c r="D264" s="4"/>
      <c r="E264" s="171"/>
      <c r="F264" s="17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15.75" customHeight="1">
      <c r="A265" s="4"/>
      <c r="B265" s="4"/>
      <c r="C265" s="4"/>
      <c r="D265" s="4"/>
      <c r="E265" s="171"/>
      <c r="F265" s="17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15.75" customHeight="1">
      <c r="A266" s="4"/>
      <c r="B266" s="4"/>
      <c r="C266" s="4"/>
      <c r="D266" s="4"/>
      <c r="E266" s="171"/>
      <c r="F266" s="17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5.75" customHeight="1">
      <c r="A267" s="4"/>
      <c r="B267" s="4"/>
      <c r="C267" s="4"/>
      <c r="D267" s="4"/>
      <c r="E267" s="171"/>
      <c r="F267" s="17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A268" s="4"/>
      <c r="B268" s="4"/>
      <c r="C268" s="4"/>
      <c r="D268" s="4"/>
      <c r="E268" s="171"/>
      <c r="F268" s="17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A269" s="4"/>
      <c r="B269" s="4"/>
      <c r="C269" s="4"/>
      <c r="D269" s="4"/>
      <c r="E269" s="171"/>
      <c r="F269" s="17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15.75" customHeight="1">
      <c r="A270" s="4"/>
      <c r="B270" s="4"/>
      <c r="C270" s="4"/>
      <c r="D270" s="4"/>
      <c r="E270" s="171"/>
      <c r="F270" s="17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15.75" customHeight="1">
      <c r="A271" s="4"/>
      <c r="B271" s="4"/>
      <c r="C271" s="4"/>
      <c r="D271" s="4"/>
      <c r="E271" s="171"/>
      <c r="F271" s="17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A272" s="4"/>
      <c r="B272" s="4"/>
      <c r="C272" s="4"/>
      <c r="D272" s="4"/>
      <c r="E272" s="171"/>
      <c r="F272" s="17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15.75" customHeight="1">
      <c r="A273" s="4"/>
      <c r="B273" s="4"/>
      <c r="C273" s="4"/>
      <c r="D273" s="4"/>
      <c r="E273" s="171"/>
      <c r="F273" s="17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15.75" customHeight="1">
      <c r="A274" s="4"/>
      <c r="B274" s="4"/>
      <c r="C274" s="4"/>
      <c r="D274" s="4"/>
      <c r="E274" s="171"/>
      <c r="F274" s="17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15.75" customHeight="1">
      <c r="A275" s="4"/>
      <c r="B275" s="4"/>
      <c r="C275" s="4"/>
      <c r="D275" s="4"/>
      <c r="E275" s="171"/>
      <c r="F275" s="17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15.75" customHeight="1">
      <c r="A276" s="4"/>
      <c r="B276" s="4"/>
      <c r="C276" s="4"/>
      <c r="D276" s="4"/>
      <c r="E276" s="171"/>
      <c r="F276" s="17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ht="15.75" customHeight="1">
      <c r="A277" s="4"/>
      <c r="B277" s="4"/>
      <c r="C277" s="4"/>
      <c r="D277" s="4"/>
      <c r="E277" s="171"/>
      <c r="F277" s="17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15.75" customHeight="1">
      <c r="A278" s="4"/>
      <c r="B278" s="4"/>
      <c r="C278" s="4"/>
      <c r="D278" s="4"/>
      <c r="E278" s="171"/>
      <c r="F278" s="17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15.75" customHeight="1">
      <c r="A279" s="4"/>
      <c r="B279" s="4"/>
      <c r="C279" s="4"/>
      <c r="D279" s="4"/>
      <c r="E279" s="171"/>
      <c r="F279" s="17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15.75" customHeight="1">
      <c r="A280" s="4"/>
      <c r="B280" s="4"/>
      <c r="C280" s="4"/>
      <c r="D280" s="4"/>
      <c r="E280" s="171"/>
      <c r="F280" s="17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A281" s="4"/>
      <c r="B281" s="4"/>
      <c r="C281" s="4"/>
      <c r="D281" s="4"/>
      <c r="E281" s="171"/>
      <c r="F281" s="17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15.75" customHeight="1">
      <c r="A282" s="4"/>
      <c r="B282" s="4"/>
      <c r="C282" s="4"/>
      <c r="D282" s="4"/>
      <c r="E282" s="171"/>
      <c r="F282" s="17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15.75" customHeight="1">
      <c r="A283" s="4"/>
      <c r="B283" s="4"/>
      <c r="C283" s="4"/>
      <c r="D283" s="4"/>
      <c r="E283" s="171"/>
      <c r="F283" s="17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15.75" customHeight="1">
      <c r="A284" s="4"/>
      <c r="B284" s="4"/>
      <c r="C284" s="4"/>
      <c r="D284" s="4"/>
      <c r="E284" s="171"/>
      <c r="F284" s="17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5.75" customHeight="1">
      <c r="A285" s="4"/>
      <c r="B285" s="4"/>
      <c r="C285" s="4"/>
      <c r="D285" s="4"/>
      <c r="E285" s="171"/>
      <c r="F285" s="17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A286" s="4"/>
      <c r="B286" s="4"/>
      <c r="C286" s="4"/>
      <c r="D286" s="4"/>
      <c r="E286" s="171"/>
      <c r="F286" s="17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A287" s="4"/>
      <c r="B287" s="4"/>
      <c r="C287" s="4"/>
      <c r="D287" s="4"/>
      <c r="E287" s="171"/>
      <c r="F287" s="17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15.75" customHeight="1">
      <c r="A288" s="4"/>
      <c r="B288" s="4"/>
      <c r="C288" s="4"/>
      <c r="D288" s="4"/>
      <c r="E288" s="171"/>
      <c r="F288" s="17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15.75" customHeight="1">
      <c r="A289" s="4"/>
      <c r="B289" s="4"/>
      <c r="C289" s="4"/>
      <c r="D289" s="4"/>
      <c r="E289" s="171"/>
      <c r="F289" s="17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A290" s="4"/>
      <c r="B290" s="4"/>
      <c r="C290" s="4"/>
      <c r="D290" s="4"/>
      <c r="E290" s="171"/>
      <c r="F290" s="17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15.75" customHeight="1">
      <c r="A291" s="4"/>
      <c r="B291" s="4"/>
      <c r="C291" s="4"/>
      <c r="D291" s="4"/>
      <c r="E291" s="171"/>
      <c r="F291" s="17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15.75" customHeight="1">
      <c r="A292" s="4"/>
      <c r="B292" s="4"/>
      <c r="C292" s="4"/>
      <c r="D292" s="4"/>
      <c r="E292" s="171"/>
      <c r="F292" s="17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15.75" customHeight="1">
      <c r="A293" s="4"/>
      <c r="B293" s="4"/>
      <c r="C293" s="4"/>
      <c r="D293" s="4"/>
      <c r="E293" s="171"/>
      <c r="F293" s="17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15.75" customHeight="1">
      <c r="A294" s="4"/>
      <c r="B294" s="4"/>
      <c r="C294" s="4"/>
      <c r="D294" s="4"/>
      <c r="E294" s="171"/>
      <c r="F294" s="17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ht="15.75" customHeight="1">
      <c r="A295" s="4"/>
      <c r="B295" s="4"/>
      <c r="C295" s="4"/>
      <c r="D295" s="4"/>
      <c r="E295" s="171"/>
      <c r="F295" s="17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15.75" customHeight="1">
      <c r="A296" s="4"/>
      <c r="B296" s="4"/>
      <c r="C296" s="4"/>
      <c r="D296" s="4"/>
      <c r="E296" s="171"/>
      <c r="F296" s="17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15.75" customHeight="1">
      <c r="A297" s="4"/>
      <c r="B297" s="4"/>
      <c r="C297" s="4"/>
      <c r="D297" s="4"/>
      <c r="E297" s="171"/>
      <c r="F297" s="17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15.75" customHeight="1">
      <c r="A298" s="4"/>
      <c r="B298" s="4"/>
      <c r="C298" s="4"/>
      <c r="D298" s="4"/>
      <c r="E298" s="171"/>
      <c r="F298" s="17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5.75" customHeight="1">
      <c r="A299" s="4"/>
      <c r="B299" s="4"/>
      <c r="C299" s="4"/>
      <c r="D299" s="4"/>
      <c r="E299" s="171"/>
      <c r="F299" s="17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A300" s="4"/>
      <c r="B300" s="4"/>
      <c r="C300" s="4"/>
      <c r="D300" s="4"/>
      <c r="E300" s="171"/>
      <c r="F300" s="17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A301" s="4"/>
      <c r="B301" s="4"/>
      <c r="C301" s="4"/>
      <c r="D301" s="4"/>
      <c r="E301" s="171"/>
      <c r="F301" s="17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A302" s="4"/>
      <c r="B302" s="4"/>
      <c r="C302" s="4"/>
      <c r="D302" s="4"/>
      <c r="E302" s="171"/>
      <c r="F302" s="17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A303" s="4"/>
      <c r="B303" s="4"/>
      <c r="C303" s="4"/>
      <c r="D303" s="4"/>
      <c r="E303" s="171"/>
      <c r="F303" s="17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A304" s="4"/>
      <c r="B304" s="4"/>
      <c r="C304" s="4"/>
      <c r="D304" s="4"/>
      <c r="E304" s="171"/>
      <c r="F304" s="17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A305" s="4"/>
      <c r="B305" s="4"/>
      <c r="C305" s="4"/>
      <c r="D305" s="4"/>
      <c r="E305" s="171"/>
      <c r="F305" s="17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A306" s="4"/>
      <c r="B306" s="4"/>
      <c r="C306" s="4"/>
      <c r="D306" s="4"/>
      <c r="E306" s="171"/>
      <c r="F306" s="17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A307" s="4"/>
      <c r="B307" s="4"/>
      <c r="C307" s="4"/>
      <c r="D307" s="4"/>
      <c r="E307" s="171"/>
      <c r="F307" s="17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A308" s="4"/>
      <c r="B308" s="4"/>
      <c r="C308" s="4"/>
      <c r="D308" s="4"/>
      <c r="E308" s="171"/>
      <c r="F308" s="17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A309" s="4"/>
      <c r="B309" s="4"/>
      <c r="C309" s="4"/>
      <c r="D309" s="4"/>
      <c r="E309" s="171"/>
      <c r="F309" s="17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A310" s="4"/>
      <c r="B310" s="4"/>
      <c r="C310" s="4"/>
      <c r="D310" s="4"/>
      <c r="E310" s="171"/>
      <c r="F310" s="17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A311" s="4"/>
      <c r="B311" s="4"/>
      <c r="C311" s="4"/>
      <c r="D311" s="4"/>
      <c r="E311" s="171"/>
      <c r="F311" s="17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A312" s="4"/>
      <c r="B312" s="4"/>
      <c r="C312" s="4"/>
      <c r="D312" s="4"/>
      <c r="E312" s="171"/>
      <c r="F312" s="17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A313" s="4"/>
      <c r="B313" s="4"/>
      <c r="C313" s="4"/>
      <c r="D313" s="4"/>
      <c r="E313" s="171"/>
      <c r="F313" s="17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A314" s="4"/>
      <c r="B314" s="4"/>
      <c r="C314" s="4"/>
      <c r="D314" s="4"/>
      <c r="E314" s="171"/>
      <c r="F314" s="17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A315" s="4"/>
      <c r="B315" s="4"/>
      <c r="C315" s="4"/>
      <c r="D315" s="4"/>
      <c r="E315" s="171"/>
      <c r="F315" s="17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A316" s="4"/>
      <c r="B316" s="4"/>
      <c r="C316" s="4"/>
      <c r="D316" s="4"/>
      <c r="E316" s="171"/>
      <c r="F316" s="17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A317" s="4"/>
      <c r="B317" s="4"/>
      <c r="C317" s="4"/>
      <c r="D317" s="4"/>
      <c r="E317" s="171"/>
      <c r="F317" s="17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A318" s="4"/>
      <c r="B318" s="4"/>
      <c r="C318" s="4"/>
      <c r="D318" s="4"/>
      <c r="E318" s="171"/>
      <c r="F318" s="17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A319" s="4"/>
      <c r="B319" s="4"/>
      <c r="C319" s="4"/>
      <c r="D319" s="4"/>
      <c r="E319" s="171"/>
      <c r="F319" s="17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A320" s="4"/>
      <c r="B320" s="4"/>
      <c r="C320" s="4"/>
      <c r="D320" s="4"/>
      <c r="E320" s="171"/>
      <c r="F320" s="17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A321" s="4"/>
      <c r="B321" s="4"/>
      <c r="C321" s="4"/>
      <c r="D321" s="4"/>
      <c r="E321" s="171"/>
      <c r="F321" s="17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A322" s="4"/>
      <c r="B322" s="4"/>
      <c r="C322" s="4"/>
      <c r="D322" s="4"/>
      <c r="E322" s="171"/>
      <c r="F322" s="17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A323" s="4"/>
      <c r="B323" s="4"/>
      <c r="C323" s="4"/>
      <c r="D323" s="4"/>
      <c r="E323" s="171"/>
      <c r="F323" s="17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A324" s="4"/>
      <c r="B324" s="4"/>
      <c r="C324" s="4"/>
      <c r="D324" s="4"/>
      <c r="E324" s="171"/>
      <c r="F324" s="17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A325" s="4"/>
      <c r="B325" s="4"/>
      <c r="C325" s="4"/>
      <c r="D325" s="4"/>
      <c r="E325" s="171"/>
      <c r="F325" s="17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A326" s="4"/>
      <c r="B326" s="4"/>
      <c r="C326" s="4"/>
      <c r="D326" s="4"/>
      <c r="E326" s="171"/>
      <c r="F326" s="17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A327" s="4"/>
      <c r="B327" s="4"/>
      <c r="C327" s="4"/>
      <c r="D327" s="4"/>
      <c r="E327" s="171"/>
      <c r="F327" s="17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A328" s="4"/>
      <c r="B328" s="4"/>
      <c r="C328" s="4"/>
      <c r="D328" s="4"/>
      <c r="E328" s="171"/>
      <c r="F328" s="17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A329" s="4"/>
      <c r="B329" s="4"/>
      <c r="C329" s="4"/>
      <c r="D329" s="4"/>
      <c r="E329" s="171"/>
      <c r="F329" s="17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A330" s="4"/>
      <c r="B330" s="4"/>
      <c r="C330" s="4"/>
      <c r="D330" s="4"/>
      <c r="E330" s="171"/>
      <c r="F330" s="17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A331" s="4"/>
      <c r="B331" s="4"/>
      <c r="C331" s="4"/>
      <c r="D331" s="4"/>
      <c r="E331" s="171"/>
      <c r="F331" s="17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A332" s="4"/>
      <c r="B332" s="4"/>
      <c r="C332" s="4"/>
      <c r="D332" s="4"/>
      <c r="E332" s="171"/>
      <c r="F332" s="17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A333" s="4"/>
      <c r="B333" s="4"/>
      <c r="C333" s="4"/>
      <c r="D333" s="4"/>
      <c r="E333" s="171"/>
      <c r="F333" s="17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A334" s="4"/>
      <c r="B334" s="4"/>
      <c r="C334" s="4"/>
      <c r="D334" s="4"/>
      <c r="E334" s="171"/>
      <c r="F334" s="17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A335" s="4"/>
      <c r="B335" s="4"/>
      <c r="C335" s="4"/>
      <c r="D335" s="4"/>
      <c r="E335" s="171"/>
      <c r="F335" s="17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A336" s="4"/>
      <c r="B336" s="4"/>
      <c r="C336" s="4"/>
      <c r="D336" s="4"/>
      <c r="E336" s="171"/>
      <c r="F336" s="17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A337" s="4"/>
      <c r="B337" s="4"/>
      <c r="C337" s="4"/>
      <c r="D337" s="4"/>
      <c r="E337" s="171"/>
      <c r="F337" s="17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A338" s="4"/>
      <c r="B338" s="4"/>
      <c r="C338" s="4"/>
      <c r="D338" s="4"/>
      <c r="E338" s="171"/>
      <c r="F338" s="17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A339" s="4"/>
      <c r="B339" s="4"/>
      <c r="C339" s="4"/>
      <c r="D339" s="4"/>
      <c r="E339" s="171"/>
      <c r="F339" s="17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A340" s="4"/>
      <c r="B340" s="4"/>
      <c r="C340" s="4"/>
      <c r="D340" s="4"/>
      <c r="E340" s="171"/>
      <c r="F340" s="17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A341" s="4"/>
      <c r="B341" s="4"/>
      <c r="C341" s="4"/>
      <c r="D341" s="4"/>
      <c r="E341" s="171"/>
      <c r="F341" s="17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A342" s="4"/>
      <c r="B342" s="4"/>
      <c r="C342" s="4"/>
      <c r="D342" s="4"/>
      <c r="E342" s="171"/>
      <c r="F342" s="17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A343" s="4"/>
      <c r="B343" s="4"/>
      <c r="C343" s="4"/>
      <c r="D343" s="4"/>
      <c r="E343" s="171"/>
      <c r="F343" s="17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A344" s="4"/>
      <c r="B344" s="4"/>
      <c r="C344" s="4"/>
      <c r="D344" s="4"/>
      <c r="E344" s="171"/>
      <c r="F344" s="17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A345" s="4"/>
      <c r="B345" s="4"/>
      <c r="C345" s="4"/>
      <c r="D345" s="4"/>
      <c r="E345" s="171"/>
      <c r="F345" s="17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A346" s="4"/>
      <c r="B346" s="4"/>
      <c r="C346" s="4"/>
      <c r="D346" s="4"/>
      <c r="E346" s="171"/>
      <c r="F346" s="17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A347" s="4"/>
      <c r="B347" s="4"/>
      <c r="C347" s="4"/>
      <c r="D347" s="4"/>
      <c r="E347" s="171"/>
      <c r="F347" s="17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A348" s="4"/>
      <c r="B348" s="4"/>
      <c r="C348" s="4"/>
      <c r="D348" s="4"/>
      <c r="E348" s="171"/>
      <c r="F348" s="17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A349" s="4"/>
      <c r="B349" s="4"/>
      <c r="C349" s="4"/>
      <c r="D349" s="4"/>
      <c r="E349" s="171"/>
      <c r="F349" s="17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A350" s="4"/>
      <c r="B350" s="4"/>
      <c r="C350" s="4"/>
      <c r="D350" s="4"/>
      <c r="E350" s="171"/>
      <c r="F350" s="17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A351" s="4"/>
      <c r="B351" s="4"/>
      <c r="C351" s="4"/>
      <c r="D351" s="4"/>
      <c r="E351" s="171"/>
      <c r="F351" s="17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A352" s="4"/>
      <c r="B352" s="4"/>
      <c r="C352" s="4"/>
      <c r="D352" s="4"/>
      <c r="E352" s="171"/>
      <c r="F352" s="17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A353" s="4"/>
      <c r="B353" s="4"/>
      <c r="C353" s="4"/>
      <c r="D353" s="4"/>
      <c r="E353" s="171"/>
      <c r="F353" s="17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A354" s="4"/>
      <c r="B354" s="4"/>
      <c r="C354" s="4"/>
      <c r="D354" s="4"/>
      <c r="E354" s="171"/>
      <c r="F354" s="17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A355" s="4"/>
      <c r="B355" s="4"/>
      <c r="C355" s="4"/>
      <c r="D355" s="4"/>
      <c r="E355" s="171"/>
      <c r="F355" s="17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A356" s="4"/>
      <c r="B356" s="4"/>
      <c r="C356" s="4"/>
      <c r="D356" s="4"/>
      <c r="E356" s="171"/>
      <c r="F356" s="17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A357" s="4"/>
      <c r="B357" s="4"/>
      <c r="C357" s="4"/>
      <c r="D357" s="4"/>
      <c r="E357" s="171"/>
      <c r="F357" s="17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A358" s="4"/>
      <c r="B358" s="4"/>
      <c r="C358" s="4"/>
      <c r="D358" s="4"/>
      <c r="E358" s="171"/>
      <c r="F358" s="17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A359" s="4"/>
      <c r="B359" s="4"/>
      <c r="C359" s="4"/>
      <c r="D359" s="4"/>
      <c r="E359" s="171"/>
      <c r="F359" s="17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A360" s="4"/>
      <c r="B360" s="4"/>
      <c r="C360" s="4"/>
      <c r="D360" s="4"/>
      <c r="E360" s="171"/>
      <c r="F360" s="17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A361" s="4"/>
      <c r="B361" s="4"/>
      <c r="C361" s="4"/>
      <c r="D361" s="4"/>
      <c r="E361" s="171"/>
      <c r="F361" s="17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A362" s="4"/>
      <c r="B362" s="4"/>
      <c r="C362" s="4"/>
      <c r="D362" s="4"/>
      <c r="E362" s="171"/>
      <c r="F362" s="17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A363" s="4"/>
      <c r="B363" s="4"/>
      <c r="C363" s="4"/>
      <c r="D363" s="4"/>
      <c r="E363" s="171"/>
      <c r="F363" s="17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A364" s="4"/>
      <c r="B364" s="4"/>
      <c r="C364" s="4"/>
      <c r="D364" s="4"/>
      <c r="E364" s="171"/>
      <c r="F364" s="17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A365" s="4"/>
      <c r="B365" s="4"/>
      <c r="C365" s="4"/>
      <c r="D365" s="4"/>
      <c r="E365" s="171"/>
      <c r="F365" s="17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A366" s="4"/>
      <c r="B366" s="4"/>
      <c r="C366" s="4"/>
      <c r="D366" s="4"/>
      <c r="E366" s="171"/>
      <c r="F366" s="17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A367" s="4"/>
      <c r="B367" s="4"/>
      <c r="C367" s="4"/>
      <c r="D367" s="4"/>
      <c r="E367" s="171"/>
      <c r="F367" s="17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A368" s="4"/>
      <c r="B368" s="4"/>
      <c r="C368" s="4"/>
      <c r="D368" s="4"/>
      <c r="E368" s="171"/>
      <c r="F368" s="17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A369" s="4"/>
      <c r="B369" s="4"/>
      <c r="C369" s="4"/>
      <c r="D369" s="4"/>
      <c r="E369" s="171"/>
      <c r="F369" s="17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A370" s="4"/>
      <c r="B370" s="4"/>
      <c r="C370" s="4"/>
      <c r="D370" s="4"/>
      <c r="E370" s="171"/>
      <c r="F370" s="17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A371" s="4"/>
      <c r="B371" s="4"/>
      <c r="C371" s="4"/>
      <c r="D371" s="4"/>
      <c r="E371" s="171"/>
      <c r="F371" s="17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A372" s="4"/>
      <c r="B372" s="4"/>
      <c r="C372" s="4"/>
      <c r="D372" s="4"/>
      <c r="E372" s="171"/>
      <c r="F372" s="17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A373" s="4"/>
      <c r="B373" s="4"/>
      <c r="C373" s="4"/>
      <c r="D373" s="4"/>
      <c r="E373" s="171"/>
      <c r="F373" s="17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A374" s="4"/>
      <c r="B374" s="4"/>
      <c r="C374" s="4"/>
      <c r="D374" s="4"/>
      <c r="E374" s="171"/>
      <c r="F374" s="17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A375" s="4"/>
      <c r="B375" s="4"/>
      <c r="C375" s="4"/>
      <c r="D375" s="4"/>
      <c r="E375" s="171"/>
      <c r="F375" s="17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A376" s="4"/>
      <c r="B376" s="4"/>
      <c r="C376" s="4"/>
      <c r="D376" s="4"/>
      <c r="E376" s="171"/>
      <c r="F376" s="17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A377" s="4"/>
      <c r="B377" s="4"/>
      <c r="C377" s="4"/>
      <c r="D377" s="4"/>
      <c r="E377" s="171"/>
      <c r="F377" s="17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A378" s="4"/>
      <c r="B378" s="4"/>
      <c r="C378" s="4"/>
      <c r="D378" s="4"/>
      <c r="E378" s="171"/>
      <c r="F378" s="17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A379" s="4"/>
      <c r="B379" s="4"/>
      <c r="C379" s="4"/>
      <c r="D379" s="4"/>
      <c r="E379" s="171"/>
      <c r="F379" s="17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A380" s="4"/>
      <c r="B380" s="4"/>
      <c r="C380" s="4"/>
      <c r="D380" s="4"/>
      <c r="E380" s="171"/>
      <c r="F380" s="17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A381" s="4"/>
      <c r="B381" s="4"/>
      <c r="C381" s="4"/>
      <c r="D381" s="4"/>
      <c r="E381" s="171"/>
      <c r="F381" s="17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A382" s="4"/>
      <c r="B382" s="4"/>
      <c r="C382" s="4"/>
      <c r="D382" s="4"/>
      <c r="E382" s="171"/>
      <c r="F382" s="17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A383" s="4"/>
      <c r="B383" s="4"/>
      <c r="C383" s="4"/>
      <c r="D383" s="4"/>
      <c r="E383" s="171"/>
      <c r="F383" s="17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A384" s="4"/>
      <c r="B384" s="4"/>
      <c r="C384" s="4"/>
      <c r="D384" s="4"/>
      <c r="E384" s="171"/>
      <c r="F384" s="17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A385" s="4"/>
      <c r="B385" s="4"/>
      <c r="C385" s="4"/>
      <c r="D385" s="4"/>
      <c r="E385" s="171"/>
      <c r="F385" s="17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A386" s="4"/>
      <c r="B386" s="4"/>
      <c r="C386" s="4"/>
      <c r="D386" s="4"/>
      <c r="E386" s="171"/>
      <c r="F386" s="17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A387" s="4"/>
      <c r="B387" s="4"/>
      <c r="C387" s="4"/>
      <c r="D387" s="4"/>
      <c r="E387" s="171"/>
      <c r="F387" s="17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A388" s="4"/>
      <c r="B388" s="4"/>
      <c r="C388" s="4"/>
      <c r="D388" s="4"/>
      <c r="E388" s="171"/>
      <c r="F388" s="17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A389" s="4"/>
      <c r="B389" s="4"/>
      <c r="C389" s="4"/>
      <c r="D389" s="4"/>
      <c r="E389" s="171"/>
      <c r="F389" s="17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A390" s="4"/>
      <c r="B390" s="4"/>
      <c r="C390" s="4"/>
      <c r="D390" s="4"/>
      <c r="E390" s="171"/>
      <c r="F390" s="17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A391" s="4"/>
      <c r="B391" s="4"/>
      <c r="C391" s="4"/>
      <c r="D391" s="4"/>
      <c r="E391" s="171"/>
      <c r="F391" s="17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A392" s="4"/>
      <c r="B392" s="4"/>
      <c r="C392" s="4"/>
      <c r="D392" s="4"/>
      <c r="E392" s="171"/>
      <c r="F392" s="17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A393" s="4"/>
      <c r="B393" s="4"/>
      <c r="C393" s="4"/>
      <c r="D393" s="4"/>
      <c r="E393" s="171"/>
      <c r="F393" s="17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A394" s="4"/>
      <c r="B394" s="4"/>
      <c r="C394" s="4"/>
      <c r="D394" s="4"/>
      <c r="E394" s="171"/>
      <c r="F394" s="17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A395" s="4"/>
      <c r="B395" s="4"/>
      <c r="C395" s="4"/>
      <c r="D395" s="4"/>
      <c r="E395" s="171"/>
      <c r="F395" s="17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A396" s="4"/>
      <c r="B396" s="4"/>
      <c r="C396" s="4"/>
      <c r="D396" s="4"/>
      <c r="E396" s="171"/>
      <c r="F396" s="17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A397" s="4"/>
      <c r="B397" s="4"/>
      <c r="C397" s="4"/>
      <c r="D397" s="4"/>
      <c r="E397" s="171"/>
      <c r="F397" s="17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A398" s="4"/>
      <c r="B398" s="4"/>
      <c r="C398" s="4"/>
      <c r="D398" s="4"/>
      <c r="E398" s="171"/>
      <c r="F398" s="17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A399" s="4"/>
      <c r="B399" s="4"/>
      <c r="C399" s="4"/>
      <c r="D399" s="4"/>
      <c r="E399" s="171"/>
      <c r="F399" s="17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A400" s="4"/>
      <c r="B400" s="4"/>
      <c r="C400" s="4"/>
      <c r="D400" s="4"/>
      <c r="E400" s="171"/>
      <c r="F400" s="17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A401" s="4"/>
      <c r="B401" s="4"/>
      <c r="C401" s="4"/>
      <c r="D401" s="4"/>
      <c r="E401" s="171"/>
      <c r="F401" s="17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A402" s="4"/>
      <c r="B402" s="4"/>
      <c r="C402" s="4"/>
      <c r="D402" s="4"/>
      <c r="E402" s="171"/>
      <c r="F402" s="17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A403" s="4"/>
      <c r="B403" s="4"/>
      <c r="C403" s="4"/>
      <c r="D403" s="4"/>
      <c r="E403" s="171"/>
      <c r="F403" s="17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A404" s="4"/>
      <c r="B404" s="4"/>
      <c r="C404" s="4"/>
      <c r="D404" s="4"/>
      <c r="E404" s="171"/>
      <c r="F404" s="17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A405" s="4"/>
      <c r="B405" s="4"/>
      <c r="C405" s="4"/>
      <c r="D405" s="4"/>
      <c r="E405" s="171"/>
      <c r="F405" s="17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E406" s="173"/>
      <c r="F406" s="174"/>
    </row>
    <row r="407" ht="15.75" customHeight="1">
      <c r="E407" s="173"/>
      <c r="F407" s="174"/>
    </row>
    <row r="408" ht="15.75" customHeight="1">
      <c r="E408" s="173"/>
      <c r="F408" s="174"/>
    </row>
    <row r="409" ht="15.75" customHeight="1">
      <c r="E409" s="173"/>
      <c r="F409" s="174"/>
    </row>
    <row r="410" ht="15.75" customHeight="1">
      <c r="E410" s="173"/>
      <c r="F410" s="174"/>
    </row>
    <row r="411" ht="15.75" customHeight="1">
      <c r="E411" s="173"/>
      <c r="F411" s="174"/>
    </row>
    <row r="412" ht="15.75" customHeight="1">
      <c r="E412" s="173"/>
      <c r="F412" s="174"/>
    </row>
    <row r="413" ht="15.75" customHeight="1">
      <c r="E413" s="173"/>
      <c r="F413" s="174"/>
    </row>
    <row r="414" ht="15.75" customHeight="1">
      <c r="E414" s="173"/>
      <c r="F414" s="174"/>
    </row>
    <row r="415" ht="15.75" customHeight="1">
      <c r="E415" s="173"/>
      <c r="F415" s="174"/>
    </row>
    <row r="416" ht="15.75" customHeight="1">
      <c r="E416" s="173"/>
      <c r="F416" s="174"/>
    </row>
    <row r="417" ht="15.75" customHeight="1">
      <c r="E417" s="173"/>
      <c r="F417" s="174"/>
    </row>
    <row r="418" ht="15.75" customHeight="1">
      <c r="E418" s="173"/>
      <c r="F418" s="174"/>
    </row>
    <row r="419" ht="15.75" customHeight="1">
      <c r="E419" s="173"/>
      <c r="F419" s="174"/>
    </row>
    <row r="420" ht="15.75" customHeight="1">
      <c r="E420" s="173"/>
      <c r="F420" s="174"/>
    </row>
    <row r="421" ht="15.75" customHeight="1">
      <c r="E421" s="173"/>
      <c r="F421" s="174"/>
    </row>
    <row r="422" ht="15.75" customHeight="1">
      <c r="E422" s="173"/>
      <c r="F422" s="174"/>
    </row>
    <row r="423" ht="15.75" customHeight="1">
      <c r="E423" s="173"/>
      <c r="F423" s="174"/>
    </row>
    <row r="424" ht="15.75" customHeight="1">
      <c r="E424" s="173"/>
      <c r="F424" s="174"/>
    </row>
    <row r="425" ht="15.75" customHeight="1">
      <c r="E425" s="173"/>
      <c r="F425" s="174"/>
    </row>
    <row r="426" ht="15.75" customHeight="1">
      <c r="E426" s="173"/>
      <c r="F426" s="174"/>
    </row>
    <row r="427" ht="15.75" customHeight="1">
      <c r="E427" s="173"/>
      <c r="F427" s="174"/>
    </row>
    <row r="428" ht="15.75" customHeight="1">
      <c r="E428" s="173"/>
      <c r="F428" s="174"/>
    </row>
    <row r="429" ht="15.75" customHeight="1">
      <c r="E429" s="173"/>
      <c r="F429" s="174"/>
    </row>
    <row r="430" ht="15.75" customHeight="1">
      <c r="E430" s="173"/>
      <c r="F430" s="174"/>
    </row>
    <row r="431" ht="15.75" customHeight="1">
      <c r="E431" s="173"/>
      <c r="F431" s="174"/>
    </row>
    <row r="432" ht="15.75" customHeight="1">
      <c r="E432" s="173"/>
      <c r="F432" s="174"/>
    </row>
    <row r="433" ht="15.75" customHeight="1">
      <c r="E433" s="173"/>
      <c r="F433" s="174"/>
    </row>
    <row r="434" ht="15.75" customHeight="1">
      <c r="E434" s="173"/>
      <c r="F434" s="174"/>
    </row>
    <row r="435" ht="15.75" customHeight="1">
      <c r="E435" s="173"/>
      <c r="F435" s="174"/>
    </row>
    <row r="436" ht="15.75" customHeight="1">
      <c r="E436" s="173"/>
      <c r="F436" s="174"/>
    </row>
    <row r="437" ht="15.75" customHeight="1">
      <c r="E437" s="173"/>
      <c r="F437" s="174"/>
    </row>
    <row r="438" ht="15.75" customHeight="1">
      <c r="E438" s="173"/>
      <c r="F438" s="174"/>
    </row>
    <row r="439" ht="15.75" customHeight="1">
      <c r="E439" s="173"/>
      <c r="F439" s="174"/>
    </row>
    <row r="440" ht="15.75" customHeight="1">
      <c r="E440" s="173"/>
      <c r="F440" s="174"/>
    </row>
    <row r="441" ht="15.75" customHeight="1">
      <c r="E441" s="173"/>
      <c r="F441" s="174"/>
    </row>
    <row r="442" ht="15.75" customHeight="1">
      <c r="E442" s="173"/>
      <c r="F442" s="174"/>
    </row>
    <row r="443" ht="15.75" customHeight="1">
      <c r="E443" s="173"/>
      <c r="F443" s="174"/>
    </row>
    <row r="444" ht="15.75" customHeight="1">
      <c r="E444" s="173"/>
      <c r="F444" s="174"/>
    </row>
    <row r="445" ht="15.75" customHeight="1">
      <c r="E445" s="173"/>
      <c r="F445" s="174"/>
    </row>
    <row r="446" ht="15.75" customHeight="1">
      <c r="E446" s="173"/>
      <c r="F446" s="174"/>
    </row>
    <row r="447" ht="15.75" customHeight="1">
      <c r="E447" s="173"/>
      <c r="F447" s="174"/>
    </row>
    <row r="448" ht="15.75" customHeight="1">
      <c r="E448" s="173"/>
      <c r="F448" s="174"/>
    </row>
    <row r="449" ht="15.75" customHeight="1">
      <c r="E449" s="173"/>
      <c r="F449" s="174"/>
    </row>
    <row r="450" ht="15.75" customHeight="1">
      <c r="E450" s="173"/>
      <c r="F450" s="174"/>
    </row>
    <row r="451" ht="15.75" customHeight="1">
      <c r="E451" s="173"/>
      <c r="F451" s="174"/>
    </row>
    <row r="452" ht="15.75" customHeight="1">
      <c r="E452" s="173"/>
      <c r="F452" s="174"/>
    </row>
    <row r="453" ht="15.75" customHeight="1">
      <c r="E453" s="173"/>
      <c r="F453" s="174"/>
    </row>
    <row r="454" ht="15.75" customHeight="1">
      <c r="E454" s="173"/>
      <c r="F454" s="174"/>
    </row>
    <row r="455" ht="15.75" customHeight="1">
      <c r="E455" s="173"/>
      <c r="F455" s="174"/>
    </row>
    <row r="456" ht="15.75" customHeight="1">
      <c r="E456" s="173"/>
      <c r="F456" s="174"/>
    </row>
    <row r="457" ht="15.75" customHeight="1">
      <c r="E457" s="173"/>
      <c r="F457" s="174"/>
    </row>
    <row r="458" ht="15.75" customHeight="1">
      <c r="E458" s="173"/>
      <c r="F458" s="174"/>
    </row>
    <row r="459" ht="15.75" customHeight="1">
      <c r="E459" s="173"/>
      <c r="F459" s="174"/>
    </row>
    <row r="460" ht="15.75" customHeight="1">
      <c r="E460" s="173"/>
      <c r="F460" s="174"/>
    </row>
    <row r="461" ht="15.75" customHeight="1">
      <c r="E461" s="173"/>
      <c r="F461" s="174"/>
    </row>
    <row r="462" ht="15.75" customHeight="1">
      <c r="E462" s="173"/>
      <c r="F462" s="174"/>
    </row>
    <row r="463" ht="15.75" customHeight="1">
      <c r="E463" s="173"/>
      <c r="F463" s="174"/>
    </row>
    <row r="464" ht="15.75" customHeight="1">
      <c r="E464" s="173"/>
      <c r="F464" s="174"/>
    </row>
    <row r="465" ht="15.75" customHeight="1">
      <c r="E465" s="173"/>
      <c r="F465" s="174"/>
    </row>
    <row r="466" ht="15.75" customHeight="1">
      <c r="E466" s="173"/>
      <c r="F466" s="174"/>
    </row>
    <row r="467" ht="15.75" customHeight="1">
      <c r="E467" s="173"/>
      <c r="F467" s="174"/>
    </row>
    <row r="468" ht="15.75" customHeight="1">
      <c r="E468" s="173"/>
      <c r="F468" s="174"/>
    </row>
    <row r="469" ht="15.75" customHeight="1">
      <c r="E469" s="173"/>
      <c r="F469" s="174"/>
    </row>
    <row r="470" ht="15.75" customHeight="1">
      <c r="E470" s="173"/>
      <c r="F470" s="174"/>
    </row>
    <row r="471" ht="15.75" customHeight="1">
      <c r="E471" s="173"/>
      <c r="F471" s="174"/>
    </row>
    <row r="472" ht="15.75" customHeight="1">
      <c r="E472" s="173"/>
      <c r="F472" s="174"/>
    </row>
    <row r="473" ht="15.75" customHeight="1">
      <c r="E473" s="173"/>
      <c r="F473" s="174"/>
    </row>
    <row r="474" ht="15.75" customHeight="1">
      <c r="E474" s="173"/>
      <c r="F474" s="174"/>
    </row>
    <row r="475" ht="15.75" customHeight="1">
      <c r="E475" s="173"/>
      <c r="F475" s="174"/>
    </row>
    <row r="476" ht="15.75" customHeight="1">
      <c r="E476" s="173"/>
      <c r="F476" s="174"/>
    </row>
    <row r="477" ht="15.75" customHeight="1">
      <c r="E477" s="173"/>
      <c r="F477" s="174"/>
    </row>
    <row r="478" ht="15.75" customHeight="1">
      <c r="E478" s="173"/>
      <c r="F478" s="174"/>
    </row>
    <row r="479" ht="15.75" customHeight="1">
      <c r="E479" s="173"/>
      <c r="F479" s="174"/>
    </row>
    <row r="480" ht="15.75" customHeight="1">
      <c r="E480" s="173"/>
      <c r="F480" s="174"/>
    </row>
    <row r="481" ht="15.75" customHeight="1">
      <c r="E481" s="173"/>
      <c r="F481" s="174"/>
    </row>
    <row r="482" ht="15.75" customHeight="1">
      <c r="E482" s="173"/>
      <c r="F482" s="174"/>
    </row>
    <row r="483" ht="15.75" customHeight="1">
      <c r="E483" s="173"/>
      <c r="F483" s="174"/>
    </row>
    <row r="484" ht="15.75" customHeight="1">
      <c r="E484" s="173"/>
      <c r="F484" s="174"/>
    </row>
    <row r="485" ht="15.75" customHeight="1">
      <c r="E485" s="173"/>
      <c r="F485" s="174"/>
    </row>
    <row r="486" ht="15.75" customHeight="1">
      <c r="E486" s="173"/>
      <c r="F486" s="174"/>
    </row>
    <row r="487" ht="15.75" customHeight="1">
      <c r="E487" s="173"/>
      <c r="F487" s="174"/>
    </row>
    <row r="488" ht="15.75" customHeight="1">
      <c r="E488" s="173"/>
      <c r="F488" s="174"/>
    </row>
    <row r="489" ht="15.75" customHeight="1">
      <c r="E489" s="173"/>
      <c r="F489" s="174"/>
    </row>
    <row r="490" ht="15.75" customHeight="1">
      <c r="E490" s="173"/>
      <c r="F490" s="174"/>
    </row>
    <row r="491" ht="15.75" customHeight="1">
      <c r="E491" s="173"/>
      <c r="F491" s="174"/>
    </row>
    <row r="492" ht="15.75" customHeight="1">
      <c r="E492" s="173"/>
      <c r="F492" s="174"/>
    </row>
    <row r="493" ht="15.75" customHeight="1">
      <c r="E493" s="173"/>
      <c r="F493" s="174"/>
    </row>
    <row r="494" ht="15.75" customHeight="1">
      <c r="E494" s="173"/>
      <c r="F494" s="174"/>
    </row>
    <row r="495" ht="15.75" customHeight="1">
      <c r="E495" s="173"/>
      <c r="F495" s="174"/>
    </row>
    <row r="496" ht="15.75" customHeight="1">
      <c r="E496" s="173"/>
      <c r="F496" s="174"/>
    </row>
    <row r="497" ht="15.75" customHeight="1">
      <c r="E497" s="173"/>
      <c r="F497" s="174"/>
    </row>
    <row r="498" ht="15.75" customHeight="1">
      <c r="E498" s="173"/>
      <c r="F498" s="174"/>
    </row>
    <row r="499" ht="15.75" customHeight="1">
      <c r="E499" s="173"/>
      <c r="F499" s="174"/>
    </row>
    <row r="500" ht="15.75" customHeight="1">
      <c r="E500" s="173"/>
      <c r="F500" s="174"/>
    </row>
    <row r="501" ht="15.75" customHeight="1">
      <c r="E501" s="173"/>
      <c r="F501" s="174"/>
    </row>
    <row r="502" ht="15.75" customHeight="1">
      <c r="E502" s="173"/>
      <c r="F502" s="174"/>
    </row>
    <row r="503" ht="15.75" customHeight="1">
      <c r="E503" s="173"/>
      <c r="F503" s="174"/>
    </row>
    <row r="504" ht="15.75" customHeight="1">
      <c r="E504" s="173"/>
      <c r="F504" s="174"/>
    </row>
    <row r="505" ht="15.75" customHeight="1">
      <c r="E505" s="173"/>
      <c r="F505" s="174"/>
    </row>
    <row r="506" ht="15.75" customHeight="1">
      <c r="E506" s="173"/>
      <c r="F506" s="174"/>
    </row>
    <row r="507" ht="15.75" customHeight="1">
      <c r="E507" s="173"/>
      <c r="F507" s="174"/>
    </row>
    <row r="508" ht="15.75" customHeight="1">
      <c r="E508" s="173"/>
      <c r="F508" s="174"/>
    </row>
    <row r="509" ht="15.75" customHeight="1">
      <c r="E509" s="173"/>
      <c r="F509" s="174"/>
    </row>
    <row r="510" ht="15.75" customHeight="1">
      <c r="E510" s="173"/>
      <c r="F510" s="174"/>
    </row>
    <row r="511" ht="15.75" customHeight="1">
      <c r="E511" s="173"/>
      <c r="F511" s="174"/>
    </row>
    <row r="512" ht="15.75" customHeight="1">
      <c r="E512" s="173"/>
      <c r="F512" s="174"/>
    </row>
    <row r="513" ht="15.75" customHeight="1">
      <c r="E513" s="173"/>
      <c r="F513" s="174"/>
    </row>
    <row r="514" ht="15.75" customHeight="1">
      <c r="E514" s="173"/>
      <c r="F514" s="174"/>
    </row>
    <row r="515" ht="15.75" customHeight="1">
      <c r="E515" s="173"/>
      <c r="F515" s="174"/>
    </row>
    <row r="516" ht="15.75" customHeight="1">
      <c r="E516" s="173"/>
      <c r="F516" s="174"/>
    </row>
    <row r="517" ht="15.75" customHeight="1">
      <c r="E517" s="173"/>
      <c r="F517" s="174"/>
    </row>
    <row r="518" ht="15.75" customHeight="1">
      <c r="E518" s="173"/>
      <c r="F518" s="174"/>
    </row>
    <row r="519" ht="15.75" customHeight="1">
      <c r="E519" s="173"/>
      <c r="F519" s="174"/>
    </row>
    <row r="520" ht="15.75" customHeight="1">
      <c r="E520" s="173"/>
      <c r="F520" s="174"/>
    </row>
    <row r="521" ht="15.75" customHeight="1">
      <c r="E521" s="173"/>
      <c r="F521" s="174"/>
    </row>
    <row r="522" ht="15.75" customHeight="1">
      <c r="E522" s="173"/>
      <c r="F522" s="174"/>
    </row>
    <row r="523" ht="15.75" customHeight="1">
      <c r="E523" s="173"/>
      <c r="F523" s="174"/>
    </row>
    <row r="524" ht="15.75" customHeight="1">
      <c r="E524" s="173"/>
      <c r="F524" s="174"/>
    </row>
    <row r="525" ht="15.75" customHeight="1">
      <c r="E525" s="173"/>
      <c r="F525" s="174"/>
    </row>
    <row r="526" ht="15.75" customHeight="1">
      <c r="E526" s="173"/>
      <c r="F526" s="174"/>
    </row>
    <row r="527" ht="15.75" customHeight="1">
      <c r="E527" s="173"/>
      <c r="F527" s="174"/>
    </row>
    <row r="528" ht="15.75" customHeight="1">
      <c r="E528" s="173"/>
      <c r="F528" s="174"/>
    </row>
    <row r="529" ht="15.75" customHeight="1">
      <c r="E529" s="173"/>
      <c r="F529" s="174"/>
    </row>
    <row r="530" ht="15.75" customHeight="1">
      <c r="E530" s="173"/>
      <c r="F530" s="174"/>
    </row>
    <row r="531" ht="15.75" customHeight="1">
      <c r="E531" s="173"/>
      <c r="F531" s="174"/>
    </row>
    <row r="532" ht="15.75" customHeight="1">
      <c r="E532" s="173"/>
      <c r="F532" s="174"/>
    </row>
    <row r="533" ht="15.75" customHeight="1">
      <c r="E533" s="173"/>
      <c r="F533" s="174"/>
    </row>
    <row r="534" ht="15.75" customHeight="1">
      <c r="E534" s="173"/>
      <c r="F534" s="174"/>
    </row>
    <row r="535" ht="15.75" customHeight="1">
      <c r="E535" s="173"/>
      <c r="F535" s="174"/>
    </row>
    <row r="536" ht="15.75" customHeight="1">
      <c r="E536" s="173"/>
      <c r="F536" s="174"/>
    </row>
    <row r="537" ht="15.75" customHeight="1">
      <c r="E537" s="173"/>
      <c r="F537" s="174"/>
    </row>
    <row r="538" ht="15.75" customHeight="1">
      <c r="E538" s="173"/>
      <c r="F538" s="174"/>
    </row>
    <row r="539" ht="15.75" customHeight="1">
      <c r="E539" s="173"/>
      <c r="F539" s="174"/>
    </row>
    <row r="540" ht="15.75" customHeight="1">
      <c r="E540" s="173"/>
      <c r="F540" s="174"/>
    </row>
    <row r="541" ht="15.75" customHeight="1">
      <c r="E541" s="173"/>
      <c r="F541" s="174"/>
    </row>
    <row r="542" ht="15.75" customHeight="1">
      <c r="E542" s="173"/>
      <c r="F542" s="174"/>
    </row>
    <row r="543" ht="15.75" customHeight="1">
      <c r="E543" s="173"/>
      <c r="F543" s="174"/>
    </row>
    <row r="544" ht="15.75" customHeight="1">
      <c r="E544" s="173"/>
      <c r="F544" s="174"/>
    </row>
    <row r="545" ht="15.75" customHeight="1">
      <c r="E545" s="173"/>
      <c r="F545" s="174"/>
    </row>
    <row r="546" ht="15.75" customHeight="1">
      <c r="E546" s="173"/>
      <c r="F546" s="174"/>
    </row>
    <row r="547" ht="15.75" customHeight="1">
      <c r="E547" s="173"/>
      <c r="F547" s="174"/>
    </row>
    <row r="548" ht="15.75" customHeight="1">
      <c r="E548" s="173"/>
      <c r="F548" s="174"/>
    </row>
    <row r="549" ht="15.75" customHeight="1">
      <c r="E549" s="173"/>
      <c r="F549" s="174"/>
    </row>
    <row r="550" ht="15.75" customHeight="1">
      <c r="E550" s="173"/>
      <c r="F550" s="174"/>
    </row>
    <row r="551" ht="15.75" customHeight="1">
      <c r="E551" s="173"/>
      <c r="F551" s="174"/>
    </row>
    <row r="552" ht="15.75" customHeight="1">
      <c r="E552" s="173"/>
      <c r="F552" s="174"/>
    </row>
    <row r="553" ht="15.75" customHeight="1">
      <c r="E553" s="173"/>
      <c r="F553" s="174"/>
    </row>
    <row r="554" ht="15.75" customHeight="1">
      <c r="E554" s="173"/>
      <c r="F554" s="174"/>
    </row>
    <row r="555" ht="15.75" customHeight="1">
      <c r="E555" s="173"/>
      <c r="F555" s="174"/>
    </row>
    <row r="556" ht="15.75" customHeight="1">
      <c r="E556" s="173"/>
      <c r="F556" s="174"/>
    </row>
    <row r="557" ht="15.75" customHeight="1">
      <c r="E557" s="173"/>
      <c r="F557" s="174"/>
    </row>
    <row r="558" ht="15.75" customHeight="1">
      <c r="E558" s="173"/>
      <c r="F558" s="174"/>
    </row>
    <row r="559" ht="15.75" customHeight="1">
      <c r="E559" s="173"/>
      <c r="F559" s="174"/>
    </row>
    <row r="560" ht="15.75" customHeight="1">
      <c r="E560" s="173"/>
      <c r="F560" s="174"/>
    </row>
    <row r="561" ht="15.75" customHeight="1">
      <c r="E561" s="173"/>
      <c r="F561" s="174"/>
    </row>
    <row r="562" ht="15.75" customHeight="1">
      <c r="E562" s="173"/>
      <c r="F562" s="174"/>
    </row>
    <row r="563" ht="15.75" customHeight="1">
      <c r="E563" s="173"/>
      <c r="F563" s="174"/>
    </row>
    <row r="564" ht="15.75" customHeight="1">
      <c r="E564" s="173"/>
      <c r="F564" s="174"/>
    </row>
    <row r="565" ht="15.75" customHeight="1">
      <c r="E565" s="173"/>
      <c r="F565" s="174"/>
    </row>
    <row r="566" ht="15.75" customHeight="1">
      <c r="E566" s="173"/>
      <c r="F566" s="174"/>
    </row>
    <row r="567" ht="15.75" customHeight="1">
      <c r="E567" s="173"/>
      <c r="F567" s="174"/>
    </row>
    <row r="568" ht="15.75" customHeight="1">
      <c r="E568" s="173"/>
      <c r="F568" s="174"/>
    </row>
    <row r="569" ht="15.75" customHeight="1">
      <c r="E569" s="173"/>
      <c r="F569" s="174"/>
    </row>
    <row r="570" ht="15.75" customHeight="1">
      <c r="E570" s="173"/>
      <c r="F570" s="174"/>
    </row>
    <row r="571" ht="15.75" customHeight="1">
      <c r="E571" s="173"/>
      <c r="F571" s="174"/>
    </row>
    <row r="572" ht="15.75" customHeight="1">
      <c r="E572" s="173"/>
      <c r="F572" s="174"/>
    </row>
    <row r="573" ht="15.75" customHeight="1">
      <c r="E573" s="173"/>
      <c r="F573" s="174"/>
    </row>
    <row r="574" ht="15.75" customHeight="1">
      <c r="E574" s="173"/>
      <c r="F574" s="174"/>
    </row>
    <row r="575" ht="15.75" customHeight="1">
      <c r="E575" s="173"/>
      <c r="F575" s="174"/>
    </row>
    <row r="576" ht="15.75" customHeight="1">
      <c r="E576" s="173"/>
      <c r="F576" s="174"/>
    </row>
    <row r="577" ht="15.75" customHeight="1">
      <c r="E577" s="173"/>
      <c r="F577" s="174"/>
    </row>
    <row r="578" ht="15.75" customHeight="1">
      <c r="E578" s="173"/>
      <c r="F578" s="174"/>
    </row>
    <row r="579" ht="15.75" customHeight="1">
      <c r="E579" s="173"/>
      <c r="F579" s="174"/>
    </row>
    <row r="580" ht="15.75" customHeight="1">
      <c r="E580" s="173"/>
      <c r="F580" s="174"/>
    </row>
    <row r="581" ht="15.75" customHeight="1">
      <c r="E581" s="173"/>
      <c r="F581" s="174"/>
    </row>
    <row r="582" ht="15.75" customHeight="1">
      <c r="E582" s="173"/>
      <c r="F582" s="174"/>
    </row>
    <row r="583" ht="15.75" customHeight="1">
      <c r="E583" s="173"/>
      <c r="F583" s="174"/>
    </row>
    <row r="584" ht="15.75" customHeight="1">
      <c r="E584" s="173"/>
      <c r="F584" s="174"/>
    </row>
    <row r="585" ht="15.75" customHeight="1">
      <c r="E585" s="173"/>
      <c r="F585" s="174"/>
    </row>
    <row r="586" ht="15.75" customHeight="1">
      <c r="E586" s="173"/>
      <c r="F586" s="174"/>
    </row>
    <row r="587" ht="15.75" customHeight="1">
      <c r="E587" s="173"/>
      <c r="F587" s="174"/>
    </row>
    <row r="588" ht="15.75" customHeight="1">
      <c r="E588" s="173"/>
      <c r="F588" s="174"/>
    </row>
    <row r="589" ht="15.75" customHeight="1">
      <c r="E589" s="173"/>
      <c r="F589" s="174"/>
    </row>
    <row r="590" ht="15.75" customHeight="1">
      <c r="E590" s="173"/>
      <c r="F590" s="174"/>
    </row>
    <row r="591" ht="15.75" customHeight="1">
      <c r="E591" s="173"/>
      <c r="F591" s="174"/>
    </row>
    <row r="592" ht="15.75" customHeight="1">
      <c r="E592" s="173"/>
      <c r="F592" s="174"/>
    </row>
    <row r="593" ht="15.75" customHeight="1">
      <c r="E593" s="173"/>
      <c r="F593" s="174"/>
    </row>
    <row r="594" ht="15.75" customHeight="1">
      <c r="E594" s="173"/>
      <c r="F594" s="174"/>
    </row>
    <row r="595" ht="15.75" customHeight="1">
      <c r="E595" s="173"/>
      <c r="F595" s="174"/>
    </row>
    <row r="596" ht="15.75" customHeight="1">
      <c r="E596" s="173"/>
      <c r="F596" s="174"/>
    </row>
    <row r="597" ht="15.75" customHeight="1">
      <c r="E597" s="173"/>
      <c r="F597" s="174"/>
    </row>
    <row r="598" ht="15.75" customHeight="1">
      <c r="E598" s="173"/>
      <c r="F598" s="174"/>
    </row>
    <row r="599" ht="15.75" customHeight="1">
      <c r="E599" s="173"/>
      <c r="F599" s="174"/>
    </row>
    <row r="600" ht="15.75" customHeight="1">
      <c r="E600" s="173"/>
      <c r="F600" s="174"/>
    </row>
    <row r="601" ht="15.75" customHeight="1">
      <c r="E601" s="173"/>
      <c r="F601" s="174"/>
    </row>
    <row r="602" ht="15.75" customHeight="1">
      <c r="E602" s="173"/>
      <c r="F602" s="174"/>
    </row>
    <row r="603" ht="15.75" customHeight="1">
      <c r="E603" s="173"/>
      <c r="F603" s="174"/>
    </row>
    <row r="604" ht="15.75" customHeight="1">
      <c r="E604" s="173"/>
      <c r="F604" s="174"/>
    </row>
    <row r="605" ht="15.75" customHeight="1">
      <c r="E605" s="173"/>
      <c r="F605" s="174"/>
    </row>
    <row r="606" ht="15.75" customHeight="1">
      <c r="E606" s="173"/>
      <c r="F606" s="174"/>
    </row>
    <row r="607" ht="15.75" customHeight="1">
      <c r="E607" s="173"/>
      <c r="F607" s="174"/>
    </row>
    <row r="608" ht="15.75" customHeight="1">
      <c r="E608" s="173"/>
      <c r="F608" s="174"/>
    </row>
    <row r="609" ht="15.75" customHeight="1">
      <c r="E609" s="173"/>
      <c r="F609" s="174"/>
    </row>
    <row r="610" ht="15.75" customHeight="1">
      <c r="E610" s="173"/>
      <c r="F610" s="174"/>
    </row>
    <row r="611" ht="15.75" customHeight="1">
      <c r="E611" s="173"/>
      <c r="F611" s="174"/>
    </row>
    <row r="612" ht="15.75" customHeight="1">
      <c r="E612" s="173"/>
      <c r="F612" s="174"/>
    </row>
    <row r="613" ht="15.75" customHeight="1">
      <c r="E613" s="173"/>
      <c r="F613" s="174"/>
    </row>
    <row r="614" ht="15.75" customHeight="1">
      <c r="E614" s="173"/>
      <c r="F614" s="174"/>
    </row>
    <row r="615" ht="15.75" customHeight="1">
      <c r="E615" s="173"/>
      <c r="F615" s="174"/>
    </row>
    <row r="616" ht="15.75" customHeight="1">
      <c r="E616" s="173"/>
      <c r="F616" s="174"/>
    </row>
    <row r="617" ht="15.75" customHeight="1">
      <c r="E617" s="173"/>
      <c r="F617" s="174"/>
    </row>
    <row r="618" ht="15.75" customHeight="1">
      <c r="E618" s="173"/>
      <c r="F618" s="174"/>
    </row>
    <row r="619" ht="15.75" customHeight="1">
      <c r="E619" s="173"/>
      <c r="F619" s="174"/>
    </row>
    <row r="620" ht="15.75" customHeight="1">
      <c r="E620" s="173"/>
      <c r="F620" s="174"/>
    </row>
    <row r="621" ht="15.75" customHeight="1">
      <c r="E621" s="173"/>
      <c r="F621" s="174"/>
    </row>
    <row r="622" ht="15.75" customHeight="1">
      <c r="E622" s="173"/>
      <c r="F622" s="174"/>
    </row>
    <row r="623" ht="15.75" customHeight="1">
      <c r="E623" s="173"/>
      <c r="F623" s="174"/>
    </row>
    <row r="624" ht="15.75" customHeight="1">
      <c r="E624" s="173"/>
      <c r="F624" s="174"/>
    </row>
    <row r="625" ht="15.75" customHeight="1">
      <c r="E625" s="173"/>
      <c r="F625" s="174"/>
    </row>
    <row r="626" ht="15.75" customHeight="1">
      <c r="E626" s="173"/>
      <c r="F626" s="174"/>
    </row>
    <row r="627" ht="15.75" customHeight="1">
      <c r="E627" s="173"/>
      <c r="F627" s="174"/>
    </row>
    <row r="628" ht="15.75" customHeight="1">
      <c r="E628" s="173"/>
      <c r="F628" s="174"/>
    </row>
    <row r="629" ht="15.75" customHeight="1">
      <c r="E629" s="173"/>
      <c r="F629" s="174"/>
    </row>
    <row r="630" ht="15.75" customHeight="1">
      <c r="E630" s="173"/>
      <c r="F630" s="174"/>
    </row>
    <row r="631" ht="15.75" customHeight="1">
      <c r="E631" s="173"/>
      <c r="F631" s="174"/>
    </row>
    <row r="632" ht="15.75" customHeight="1">
      <c r="E632" s="173"/>
      <c r="F632" s="174"/>
    </row>
    <row r="633" ht="15.75" customHeight="1">
      <c r="E633" s="173"/>
      <c r="F633" s="174"/>
    </row>
    <row r="634" ht="15.75" customHeight="1">
      <c r="E634" s="173"/>
      <c r="F634" s="174"/>
    </row>
    <row r="635" ht="15.75" customHeight="1">
      <c r="E635" s="173"/>
      <c r="F635" s="174"/>
    </row>
    <row r="636" ht="15.75" customHeight="1">
      <c r="E636" s="173"/>
      <c r="F636" s="174"/>
    </row>
    <row r="637" ht="15.75" customHeight="1">
      <c r="E637" s="173"/>
      <c r="F637" s="174"/>
    </row>
    <row r="638" ht="15.75" customHeight="1">
      <c r="E638" s="173"/>
      <c r="F638" s="174"/>
    </row>
    <row r="639" ht="15.75" customHeight="1">
      <c r="E639" s="173"/>
      <c r="F639" s="174"/>
    </row>
    <row r="640" ht="15.75" customHeight="1">
      <c r="E640" s="173"/>
      <c r="F640" s="174"/>
    </row>
    <row r="641" ht="15.75" customHeight="1">
      <c r="E641" s="173"/>
      <c r="F641" s="174"/>
    </row>
    <row r="642" ht="15.75" customHeight="1">
      <c r="E642" s="173"/>
      <c r="F642" s="174"/>
    </row>
    <row r="643" ht="15.75" customHeight="1">
      <c r="E643" s="173"/>
      <c r="F643" s="174"/>
    </row>
    <row r="644" ht="15.75" customHeight="1">
      <c r="E644" s="173"/>
      <c r="F644" s="174"/>
    </row>
    <row r="645" ht="15.75" customHeight="1">
      <c r="E645" s="173"/>
      <c r="F645" s="174"/>
    </row>
    <row r="646" ht="15.75" customHeight="1">
      <c r="E646" s="173"/>
      <c r="F646" s="174"/>
    </row>
    <row r="647" ht="15.75" customHeight="1">
      <c r="E647" s="173"/>
      <c r="F647" s="174"/>
    </row>
    <row r="648" ht="15.75" customHeight="1">
      <c r="E648" s="173"/>
      <c r="F648" s="174"/>
    </row>
    <row r="649" ht="15.75" customHeight="1">
      <c r="E649" s="173"/>
      <c r="F649" s="174"/>
    </row>
    <row r="650" ht="15.75" customHeight="1">
      <c r="E650" s="173"/>
      <c r="F650" s="174"/>
    </row>
    <row r="651" ht="15.75" customHeight="1">
      <c r="E651" s="173"/>
      <c r="F651" s="174"/>
    </row>
    <row r="652" ht="15.75" customHeight="1">
      <c r="E652" s="173"/>
      <c r="F652" s="174"/>
    </row>
    <row r="653" ht="15.75" customHeight="1">
      <c r="E653" s="173"/>
      <c r="F653" s="174"/>
    </row>
    <row r="654" ht="15.75" customHeight="1">
      <c r="E654" s="173"/>
      <c r="F654" s="174"/>
    </row>
    <row r="655" ht="15.75" customHeight="1">
      <c r="E655" s="173"/>
      <c r="F655" s="174"/>
    </row>
    <row r="656" ht="15.75" customHeight="1">
      <c r="E656" s="173"/>
      <c r="F656" s="174"/>
    </row>
    <row r="657" ht="15.75" customHeight="1">
      <c r="E657" s="173"/>
      <c r="F657" s="174"/>
    </row>
    <row r="658" ht="15.75" customHeight="1">
      <c r="E658" s="173"/>
      <c r="F658" s="174"/>
    </row>
    <row r="659" ht="15.75" customHeight="1">
      <c r="E659" s="173"/>
      <c r="F659" s="174"/>
    </row>
    <row r="660" ht="15.75" customHeight="1">
      <c r="E660" s="173"/>
      <c r="F660" s="174"/>
    </row>
    <row r="661" ht="15.75" customHeight="1">
      <c r="E661" s="173"/>
      <c r="F661" s="174"/>
    </row>
    <row r="662" ht="15.75" customHeight="1">
      <c r="E662" s="173"/>
      <c r="F662" s="174"/>
    </row>
    <row r="663" ht="15.75" customHeight="1">
      <c r="E663" s="173"/>
      <c r="F663" s="174"/>
    </row>
    <row r="664" ht="15.75" customHeight="1">
      <c r="E664" s="173"/>
      <c r="F664" s="174"/>
    </row>
    <row r="665" ht="15.75" customHeight="1">
      <c r="E665" s="173"/>
      <c r="F665" s="174"/>
    </row>
    <row r="666" ht="15.75" customHeight="1">
      <c r="E666" s="173"/>
      <c r="F666" s="174"/>
    </row>
    <row r="667" ht="15.75" customHeight="1">
      <c r="E667" s="173"/>
      <c r="F667" s="174"/>
    </row>
    <row r="668" ht="15.75" customHeight="1">
      <c r="E668" s="173"/>
      <c r="F668" s="174"/>
    </row>
    <row r="669" ht="15.75" customHeight="1">
      <c r="E669" s="173"/>
      <c r="F669" s="174"/>
    </row>
    <row r="670" ht="15.75" customHeight="1">
      <c r="E670" s="173"/>
      <c r="F670" s="174"/>
    </row>
    <row r="671" ht="15.75" customHeight="1">
      <c r="E671" s="173"/>
      <c r="F671" s="174"/>
    </row>
    <row r="672" ht="15.75" customHeight="1">
      <c r="E672" s="173"/>
      <c r="F672" s="174"/>
    </row>
    <row r="673" ht="15.75" customHeight="1">
      <c r="E673" s="173"/>
      <c r="F673" s="174"/>
    </row>
    <row r="674" ht="15.75" customHeight="1">
      <c r="E674" s="173"/>
      <c r="F674" s="174"/>
    </row>
    <row r="675" ht="15.75" customHeight="1">
      <c r="E675" s="173"/>
      <c r="F675" s="174"/>
    </row>
    <row r="676" ht="15.75" customHeight="1">
      <c r="E676" s="173"/>
      <c r="F676" s="174"/>
    </row>
    <row r="677" ht="15.75" customHeight="1">
      <c r="E677" s="173"/>
      <c r="F677" s="174"/>
    </row>
    <row r="678" ht="15.75" customHeight="1">
      <c r="E678" s="173"/>
      <c r="F678" s="174"/>
    </row>
    <row r="679" ht="15.75" customHeight="1">
      <c r="E679" s="173"/>
      <c r="F679" s="174"/>
    </row>
    <row r="680" ht="15.75" customHeight="1">
      <c r="E680" s="173"/>
      <c r="F680" s="174"/>
    </row>
    <row r="681" ht="15.75" customHeight="1">
      <c r="E681" s="173"/>
      <c r="F681" s="174"/>
    </row>
    <row r="682" ht="15.75" customHeight="1">
      <c r="E682" s="173"/>
      <c r="F682" s="174"/>
    </row>
    <row r="683" ht="15.75" customHeight="1">
      <c r="E683" s="173"/>
      <c r="F683" s="174"/>
    </row>
    <row r="684" ht="15.75" customHeight="1">
      <c r="E684" s="173"/>
      <c r="F684" s="174"/>
    </row>
    <row r="685" ht="15.75" customHeight="1">
      <c r="E685" s="173"/>
      <c r="F685" s="174"/>
    </row>
    <row r="686" ht="15.75" customHeight="1">
      <c r="E686" s="173"/>
      <c r="F686" s="174"/>
    </row>
    <row r="687" ht="15.75" customHeight="1">
      <c r="E687" s="173"/>
      <c r="F687" s="174"/>
    </row>
    <row r="688" ht="15.75" customHeight="1">
      <c r="E688" s="173"/>
      <c r="F688" s="174"/>
    </row>
    <row r="689" ht="15.75" customHeight="1">
      <c r="E689" s="173"/>
      <c r="F689" s="174"/>
    </row>
    <row r="690" ht="15.75" customHeight="1">
      <c r="E690" s="173"/>
      <c r="F690" s="174"/>
    </row>
    <row r="691" ht="15.75" customHeight="1">
      <c r="E691" s="173"/>
      <c r="F691" s="174"/>
    </row>
    <row r="692" ht="15.75" customHeight="1">
      <c r="E692" s="173"/>
      <c r="F692" s="174"/>
    </row>
    <row r="693" ht="15.75" customHeight="1">
      <c r="E693" s="173"/>
      <c r="F693" s="174"/>
    </row>
    <row r="694" ht="15.75" customHeight="1">
      <c r="E694" s="173"/>
      <c r="F694" s="174"/>
    </row>
    <row r="695" ht="15.75" customHeight="1">
      <c r="E695" s="173"/>
      <c r="F695" s="174"/>
    </row>
    <row r="696" ht="15.75" customHeight="1">
      <c r="E696" s="173"/>
      <c r="F696" s="174"/>
    </row>
    <row r="697" ht="15.75" customHeight="1">
      <c r="E697" s="173"/>
      <c r="F697" s="174"/>
    </row>
    <row r="698" ht="15.75" customHeight="1">
      <c r="E698" s="173"/>
      <c r="F698" s="174"/>
    </row>
    <row r="699" ht="15.75" customHeight="1">
      <c r="E699" s="173"/>
      <c r="F699" s="174"/>
    </row>
    <row r="700" ht="15.75" customHeight="1">
      <c r="E700" s="173"/>
      <c r="F700" s="174"/>
    </row>
    <row r="701" ht="15.75" customHeight="1">
      <c r="E701" s="173"/>
      <c r="F701" s="174"/>
    </row>
    <row r="702" ht="15.75" customHeight="1">
      <c r="E702" s="173"/>
      <c r="F702" s="174"/>
    </row>
    <row r="703" ht="15.75" customHeight="1">
      <c r="E703" s="173"/>
      <c r="F703" s="174"/>
    </row>
    <row r="704" ht="15.75" customHeight="1">
      <c r="E704" s="173"/>
      <c r="F704" s="174"/>
    </row>
    <row r="705" ht="15.75" customHeight="1">
      <c r="E705" s="173"/>
      <c r="F705" s="174"/>
    </row>
    <row r="706" ht="15.75" customHeight="1">
      <c r="E706" s="173"/>
      <c r="F706" s="174"/>
    </row>
    <row r="707" ht="15.75" customHeight="1">
      <c r="E707" s="173"/>
      <c r="F707" s="174"/>
    </row>
    <row r="708" ht="15.75" customHeight="1">
      <c r="E708" s="173"/>
      <c r="F708" s="174"/>
    </row>
    <row r="709" ht="15.75" customHeight="1">
      <c r="E709" s="173"/>
      <c r="F709" s="174"/>
    </row>
    <row r="710" ht="15.75" customHeight="1">
      <c r="E710" s="173"/>
      <c r="F710" s="174"/>
    </row>
    <row r="711" ht="15.75" customHeight="1">
      <c r="E711" s="173"/>
      <c r="F711" s="174"/>
    </row>
    <row r="712" ht="15.75" customHeight="1">
      <c r="E712" s="173"/>
      <c r="F712" s="174"/>
    </row>
    <row r="713" ht="15.75" customHeight="1">
      <c r="E713" s="173"/>
      <c r="F713" s="174"/>
    </row>
    <row r="714" ht="15.75" customHeight="1">
      <c r="E714" s="173"/>
      <c r="F714" s="174"/>
    </row>
    <row r="715" ht="15.75" customHeight="1">
      <c r="E715" s="173"/>
      <c r="F715" s="174"/>
    </row>
    <row r="716" ht="15.75" customHeight="1">
      <c r="E716" s="173"/>
      <c r="F716" s="174"/>
    </row>
    <row r="717" ht="15.75" customHeight="1">
      <c r="E717" s="173"/>
      <c r="F717" s="174"/>
    </row>
    <row r="718" ht="15.75" customHeight="1">
      <c r="E718" s="173"/>
      <c r="F718" s="174"/>
    </row>
    <row r="719" ht="15.75" customHeight="1">
      <c r="E719" s="173"/>
      <c r="F719" s="174"/>
    </row>
    <row r="720" ht="15.75" customHeight="1">
      <c r="E720" s="173"/>
      <c r="F720" s="174"/>
    </row>
    <row r="721" ht="15.75" customHeight="1">
      <c r="E721" s="173"/>
      <c r="F721" s="174"/>
    </row>
    <row r="722" ht="15.75" customHeight="1">
      <c r="E722" s="173"/>
      <c r="F722" s="174"/>
    </row>
    <row r="723" ht="15.75" customHeight="1">
      <c r="E723" s="173"/>
      <c r="F723" s="174"/>
    </row>
    <row r="724" ht="15.75" customHeight="1">
      <c r="E724" s="173"/>
      <c r="F724" s="174"/>
    </row>
    <row r="725" ht="15.75" customHeight="1">
      <c r="E725" s="173"/>
      <c r="F725" s="174"/>
    </row>
    <row r="726" ht="15.75" customHeight="1">
      <c r="E726" s="173"/>
      <c r="F726" s="174"/>
    </row>
    <row r="727" ht="15.75" customHeight="1">
      <c r="E727" s="173"/>
      <c r="F727" s="174"/>
    </row>
    <row r="728" ht="15.75" customHeight="1">
      <c r="E728" s="173"/>
      <c r="F728" s="174"/>
    </row>
    <row r="729" ht="15.75" customHeight="1">
      <c r="E729" s="173"/>
      <c r="F729" s="174"/>
    </row>
    <row r="730" ht="15.75" customHeight="1">
      <c r="E730" s="173"/>
      <c r="F730" s="174"/>
    </row>
    <row r="731" ht="15.75" customHeight="1">
      <c r="E731" s="173"/>
      <c r="F731" s="174"/>
    </row>
    <row r="732" ht="15.75" customHeight="1">
      <c r="E732" s="173"/>
      <c r="F732" s="174"/>
    </row>
    <row r="733" ht="15.75" customHeight="1">
      <c r="E733" s="173"/>
      <c r="F733" s="174"/>
    </row>
    <row r="734" ht="15.75" customHeight="1">
      <c r="E734" s="173"/>
      <c r="F734" s="174"/>
    </row>
    <row r="735" ht="15.75" customHeight="1">
      <c r="E735" s="173"/>
      <c r="F735" s="174"/>
    </row>
    <row r="736" ht="15.75" customHeight="1">
      <c r="E736" s="173"/>
      <c r="F736" s="174"/>
    </row>
    <row r="737" ht="15.75" customHeight="1">
      <c r="E737" s="173"/>
      <c r="F737" s="174"/>
    </row>
    <row r="738" ht="15.75" customHeight="1">
      <c r="E738" s="173"/>
      <c r="F738" s="174"/>
    </row>
    <row r="739" ht="15.75" customHeight="1">
      <c r="E739" s="173"/>
      <c r="F739" s="174"/>
    </row>
    <row r="740" ht="15.75" customHeight="1">
      <c r="E740" s="173"/>
      <c r="F740" s="174"/>
    </row>
    <row r="741" ht="15.75" customHeight="1">
      <c r="E741" s="173"/>
      <c r="F741" s="174"/>
    </row>
    <row r="742" ht="15.75" customHeight="1">
      <c r="E742" s="173"/>
      <c r="F742" s="174"/>
    </row>
    <row r="743" ht="15.75" customHeight="1">
      <c r="E743" s="173"/>
      <c r="F743" s="174"/>
    </row>
    <row r="744" ht="15.75" customHeight="1">
      <c r="E744" s="173"/>
      <c r="F744" s="174"/>
    </row>
    <row r="745" ht="15.75" customHeight="1">
      <c r="E745" s="173"/>
      <c r="F745" s="174"/>
    </row>
    <row r="746" ht="15.75" customHeight="1">
      <c r="E746" s="173"/>
      <c r="F746" s="174"/>
    </row>
    <row r="747" ht="15.75" customHeight="1">
      <c r="E747" s="173"/>
      <c r="F747" s="174"/>
    </row>
    <row r="748" ht="15.75" customHeight="1">
      <c r="E748" s="173"/>
      <c r="F748" s="174"/>
    </row>
    <row r="749" ht="15.75" customHeight="1">
      <c r="E749" s="173"/>
      <c r="F749" s="174"/>
    </row>
    <row r="750" ht="15.75" customHeight="1">
      <c r="E750" s="173"/>
      <c r="F750" s="174"/>
    </row>
    <row r="751" ht="15.75" customHeight="1">
      <c r="E751" s="173"/>
      <c r="F751" s="174"/>
    </row>
    <row r="752" ht="15.75" customHeight="1">
      <c r="E752" s="173"/>
      <c r="F752" s="174"/>
    </row>
    <row r="753" ht="15.75" customHeight="1">
      <c r="E753" s="173"/>
      <c r="F753" s="174"/>
    </row>
    <row r="754" ht="15.75" customHeight="1">
      <c r="E754" s="173"/>
      <c r="F754" s="174"/>
    </row>
    <row r="755" ht="15.75" customHeight="1">
      <c r="E755" s="173"/>
      <c r="F755" s="174"/>
    </row>
    <row r="756" ht="15.75" customHeight="1">
      <c r="E756" s="173"/>
      <c r="F756" s="174"/>
    </row>
    <row r="757" ht="15.75" customHeight="1">
      <c r="E757" s="173"/>
      <c r="F757" s="174"/>
    </row>
    <row r="758" ht="15.75" customHeight="1">
      <c r="E758" s="173"/>
      <c r="F758" s="174"/>
    </row>
    <row r="759" ht="15.75" customHeight="1">
      <c r="E759" s="173"/>
      <c r="F759" s="174"/>
    </row>
    <row r="760" ht="15.75" customHeight="1">
      <c r="E760" s="173"/>
      <c r="F760" s="174"/>
    </row>
    <row r="761" ht="15.75" customHeight="1">
      <c r="E761" s="173"/>
      <c r="F761" s="174"/>
    </row>
    <row r="762" ht="15.75" customHeight="1">
      <c r="E762" s="173"/>
      <c r="F762" s="174"/>
    </row>
    <row r="763" ht="15.75" customHeight="1">
      <c r="E763" s="173"/>
      <c r="F763" s="174"/>
    </row>
    <row r="764" ht="15.75" customHeight="1">
      <c r="E764" s="173"/>
      <c r="F764" s="174"/>
    </row>
    <row r="765" ht="15.75" customHeight="1">
      <c r="E765" s="173"/>
      <c r="F765" s="174"/>
    </row>
    <row r="766" ht="15.75" customHeight="1">
      <c r="E766" s="173"/>
      <c r="F766" s="174"/>
    </row>
    <row r="767" ht="15.75" customHeight="1">
      <c r="E767" s="173"/>
      <c r="F767" s="174"/>
    </row>
    <row r="768" ht="15.75" customHeight="1">
      <c r="E768" s="173"/>
      <c r="F768" s="174"/>
    </row>
    <row r="769" ht="15.75" customHeight="1">
      <c r="E769" s="173"/>
      <c r="F769" s="174"/>
    </row>
    <row r="770" ht="15.75" customHeight="1">
      <c r="E770" s="173"/>
      <c r="F770" s="174"/>
    </row>
    <row r="771" ht="15.75" customHeight="1">
      <c r="E771" s="173"/>
      <c r="F771" s="174"/>
    </row>
    <row r="772" ht="15.75" customHeight="1">
      <c r="E772" s="173"/>
      <c r="F772" s="174"/>
    </row>
    <row r="773" ht="15.75" customHeight="1">
      <c r="E773" s="173"/>
      <c r="F773" s="174"/>
    </row>
    <row r="774" ht="15.75" customHeight="1">
      <c r="E774" s="173"/>
      <c r="F774" s="174"/>
    </row>
    <row r="775" ht="15.75" customHeight="1">
      <c r="E775" s="173"/>
      <c r="F775" s="174"/>
    </row>
    <row r="776" ht="15.75" customHeight="1">
      <c r="E776" s="173"/>
      <c r="F776" s="174"/>
    </row>
    <row r="777" ht="15.75" customHeight="1">
      <c r="E777" s="173"/>
      <c r="F777" s="174"/>
    </row>
    <row r="778" ht="15.75" customHeight="1">
      <c r="E778" s="173"/>
      <c r="F778" s="174"/>
    </row>
    <row r="779" ht="15.75" customHeight="1">
      <c r="E779" s="173"/>
      <c r="F779" s="174"/>
    </row>
    <row r="780" ht="15.75" customHeight="1">
      <c r="E780" s="173"/>
      <c r="F780" s="174"/>
    </row>
    <row r="781" ht="15.75" customHeight="1">
      <c r="E781" s="173"/>
      <c r="F781" s="174"/>
    </row>
    <row r="782" ht="15.75" customHeight="1">
      <c r="E782" s="173"/>
      <c r="F782" s="174"/>
    </row>
    <row r="783" ht="15.75" customHeight="1">
      <c r="E783" s="173"/>
      <c r="F783" s="174"/>
    </row>
    <row r="784" ht="15.75" customHeight="1">
      <c r="E784" s="173"/>
      <c r="F784" s="174"/>
    </row>
    <row r="785" ht="15.75" customHeight="1">
      <c r="E785" s="173"/>
      <c r="F785" s="174"/>
    </row>
    <row r="786" ht="15.75" customHeight="1">
      <c r="E786" s="173"/>
      <c r="F786" s="174"/>
    </row>
    <row r="787" ht="15.75" customHeight="1">
      <c r="E787" s="173"/>
      <c r="F787" s="174"/>
    </row>
    <row r="788" ht="15.75" customHeight="1">
      <c r="E788" s="173"/>
      <c r="F788" s="174"/>
    </row>
    <row r="789" ht="15.75" customHeight="1">
      <c r="E789" s="173"/>
      <c r="F789" s="174"/>
    </row>
    <row r="790" ht="15.75" customHeight="1">
      <c r="E790" s="173"/>
      <c r="F790" s="174"/>
    </row>
    <row r="791" ht="15.75" customHeight="1">
      <c r="E791" s="173"/>
      <c r="F791" s="174"/>
    </row>
    <row r="792" ht="15.75" customHeight="1">
      <c r="E792" s="173"/>
      <c r="F792" s="174"/>
    </row>
    <row r="793" ht="15.75" customHeight="1">
      <c r="E793" s="173"/>
      <c r="F793" s="174"/>
    </row>
    <row r="794" ht="15.75" customHeight="1">
      <c r="E794" s="173"/>
      <c r="F794" s="174"/>
    </row>
    <row r="795" ht="15.75" customHeight="1">
      <c r="E795" s="173"/>
      <c r="F795" s="174"/>
    </row>
    <row r="796" ht="15.75" customHeight="1">
      <c r="E796" s="173"/>
      <c r="F796" s="174"/>
    </row>
    <row r="797" ht="15.75" customHeight="1">
      <c r="E797" s="173"/>
      <c r="F797" s="174"/>
    </row>
    <row r="798" ht="15.75" customHeight="1">
      <c r="E798" s="173"/>
      <c r="F798" s="174"/>
    </row>
    <row r="799" ht="15.75" customHeight="1">
      <c r="E799" s="173"/>
      <c r="F799" s="174"/>
    </row>
    <row r="800" ht="15.75" customHeight="1">
      <c r="E800" s="173"/>
      <c r="F800" s="174"/>
    </row>
    <row r="801" ht="15.75" customHeight="1">
      <c r="E801" s="173"/>
      <c r="F801" s="174"/>
    </row>
    <row r="802" ht="15.75" customHeight="1">
      <c r="E802" s="173"/>
      <c r="F802" s="174"/>
    </row>
    <row r="803" ht="15.75" customHeight="1">
      <c r="E803" s="173"/>
      <c r="F803" s="174"/>
    </row>
    <row r="804" ht="15.75" customHeight="1">
      <c r="E804" s="173"/>
      <c r="F804" s="174"/>
    </row>
    <row r="805" ht="15.75" customHeight="1">
      <c r="E805" s="173"/>
      <c r="F805" s="174"/>
    </row>
    <row r="806" ht="15.75" customHeight="1">
      <c r="E806" s="173"/>
      <c r="F806" s="174"/>
    </row>
    <row r="807" ht="15.75" customHeight="1">
      <c r="E807" s="173"/>
      <c r="F807" s="174"/>
    </row>
    <row r="808" ht="15.75" customHeight="1">
      <c r="E808" s="173"/>
      <c r="F808" s="174"/>
    </row>
    <row r="809" ht="15.75" customHeight="1">
      <c r="E809" s="173"/>
      <c r="F809" s="174"/>
    </row>
    <row r="810" ht="15.75" customHeight="1">
      <c r="E810" s="173"/>
      <c r="F810" s="174"/>
    </row>
    <row r="811" ht="15.75" customHeight="1">
      <c r="E811" s="173"/>
      <c r="F811" s="174"/>
    </row>
    <row r="812" ht="15.75" customHeight="1">
      <c r="E812" s="173"/>
      <c r="F812" s="174"/>
    </row>
    <row r="813" ht="15.75" customHeight="1">
      <c r="E813" s="173"/>
      <c r="F813" s="174"/>
    </row>
    <row r="814" ht="15.75" customHeight="1">
      <c r="E814" s="173"/>
      <c r="F814" s="174"/>
    </row>
    <row r="815" ht="15.75" customHeight="1">
      <c r="E815" s="173"/>
      <c r="F815" s="174"/>
    </row>
    <row r="816" ht="15.75" customHeight="1">
      <c r="E816" s="173"/>
      <c r="F816" s="174"/>
    </row>
    <row r="817" ht="15.75" customHeight="1">
      <c r="E817" s="173"/>
      <c r="F817" s="174"/>
    </row>
    <row r="818" ht="15.75" customHeight="1">
      <c r="E818" s="173"/>
      <c r="F818" s="174"/>
    </row>
    <row r="819" ht="15.75" customHeight="1">
      <c r="E819" s="173"/>
      <c r="F819" s="174"/>
    </row>
    <row r="820" ht="15.75" customHeight="1">
      <c r="E820" s="173"/>
      <c r="F820" s="174"/>
    </row>
    <row r="821" ht="15.75" customHeight="1">
      <c r="E821" s="173"/>
      <c r="F821" s="174"/>
    </row>
    <row r="822" ht="15.75" customHeight="1">
      <c r="E822" s="173"/>
      <c r="F822" s="174"/>
    </row>
    <row r="823" ht="15.75" customHeight="1">
      <c r="E823" s="173"/>
      <c r="F823" s="174"/>
    </row>
    <row r="824" ht="15.75" customHeight="1">
      <c r="E824" s="173"/>
      <c r="F824" s="174"/>
    </row>
    <row r="825" ht="15.75" customHeight="1">
      <c r="E825" s="173"/>
      <c r="F825" s="174"/>
    </row>
    <row r="826" ht="15.75" customHeight="1">
      <c r="E826" s="173"/>
      <c r="F826" s="174"/>
    </row>
    <row r="827" ht="15.75" customHeight="1">
      <c r="E827" s="173"/>
      <c r="F827" s="174"/>
    </row>
    <row r="828" ht="15.75" customHeight="1">
      <c r="E828" s="173"/>
      <c r="F828" s="174"/>
    </row>
    <row r="829" ht="15.75" customHeight="1">
      <c r="E829" s="173"/>
      <c r="F829" s="174"/>
    </row>
    <row r="830" ht="15.75" customHeight="1">
      <c r="E830" s="173"/>
      <c r="F830" s="174"/>
    </row>
    <row r="831" ht="15.75" customHeight="1">
      <c r="E831" s="173"/>
      <c r="F831" s="174"/>
    </row>
    <row r="832" ht="15.75" customHeight="1">
      <c r="E832" s="173"/>
      <c r="F832" s="174"/>
    </row>
    <row r="833" ht="15.75" customHeight="1">
      <c r="E833" s="173"/>
      <c r="F833" s="174"/>
    </row>
    <row r="834" ht="15.75" customHeight="1">
      <c r="E834" s="173"/>
      <c r="F834" s="174"/>
    </row>
    <row r="835" ht="15.75" customHeight="1">
      <c r="E835" s="173"/>
      <c r="F835" s="174"/>
    </row>
    <row r="836" ht="15.75" customHeight="1">
      <c r="E836" s="173"/>
      <c r="F836" s="174"/>
    </row>
    <row r="837" ht="15.75" customHeight="1">
      <c r="E837" s="173"/>
      <c r="F837" s="174"/>
    </row>
    <row r="838" ht="15.75" customHeight="1">
      <c r="E838" s="173"/>
      <c r="F838" s="174"/>
    </row>
    <row r="839" ht="15.75" customHeight="1">
      <c r="E839" s="173"/>
      <c r="F839" s="174"/>
    </row>
    <row r="840" ht="15.75" customHeight="1">
      <c r="E840" s="173"/>
      <c r="F840" s="174"/>
    </row>
    <row r="841" ht="15.75" customHeight="1">
      <c r="E841" s="173"/>
      <c r="F841" s="174"/>
    </row>
    <row r="842" ht="15.75" customHeight="1">
      <c r="E842" s="173"/>
      <c r="F842" s="174"/>
    </row>
    <row r="843" ht="15.75" customHeight="1">
      <c r="E843" s="173"/>
      <c r="F843" s="174"/>
    </row>
    <row r="844" ht="15.75" customHeight="1">
      <c r="E844" s="173"/>
      <c r="F844" s="174"/>
    </row>
    <row r="845" ht="15.75" customHeight="1">
      <c r="E845" s="173"/>
      <c r="F845" s="174"/>
    </row>
    <row r="846" ht="15.75" customHeight="1">
      <c r="E846" s="173"/>
      <c r="F846" s="174"/>
    </row>
    <row r="847" ht="15.75" customHeight="1">
      <c r="E847" s="173"/>
      <c r="F847" s="174"/>
    </row>
    <row r="848" ht="15.75" customHeight="1">
      <c r="E848" s="173"/>
      <c r="F848" s="174"/>
    </row>
    <row r="849" ht="15.75" customHeight="1">
      <c r="E849" s="173"/>
      <c r="F849" s="174"/>
    </row>
    <row r="850" ht="15.75" customHeight="1">
      <c r="E850" s="173"/>
      <c r="F850" s="174"/>
    </row>
    <row r="851" ht="15.75" customHeight="1">
      <c r="E851" s="173"/>
      <c r="F851" s="174"/>
    </row>
    <row r="852" ht="15.75" customHeight="1">
      <c r="E852" s="173"/>
      <c r="F852" s="174"/>
    </row>
    <row r="853" ht="15.75" customHeight="1">
      <c r="E853" s="173"/>
      <c r="F853" s="174"/>
    </row>
    <row r="854" ht="15.75" customHeight="1">
      <c r="E854" s="173"/>
      <c r="F854" s="174"/>
    </row>
    <row r="855" ht="15.75" customHeight="1">
      <c r="E855" s="173"/>
      <c r="F855" s="174"/>
    </row>
    <row r="856" ht="15.75" customHeight="1">
      <c r="E856" s="173"/>
      <c r="F856" s="174"/>
    </row>
    <row r="857" ht="15.75" customHeight="1">
      <c r="E857" s="173"/>
      <c r="F857" s="174"/>
    </row>
    <row r="858" ht="15.75" customHeight="1">
      <c r="E858" s="173"/>
      <c r="F858" s="174"/>
    </row>
    <row r="859" ht="15.75" customHeight="1">
      <c r="E859" s="173"/>
      <c r="F859" s="174"/>
    </row>
    <row r="860" ht="15.75" customHeight="1">
      <c r="E860" s="173"/>
      <c r="F860" s="174"/>
    </row>
    <row r="861" ht="15.75" customHeight="1">
      <c r="E861" s="173"/>
      <c r="F861" s="174"/>
    </row>
    <row r="862" ht="15.75" customHeight="1">
      <c r="E862" s="173"/>
      <c r="F862" s="174"/>
    </row>
    <row r="863" ht="15.75" customHeight="1">
      <c r="E863" s="173"/>
      <c r="F863" s="174"/>
    </row>
    <row r="864" ht="15.75" customHeight="1">
      <c r="E864" s="173"/>
      <c r="F864" s="174"/>
    </row>
    <row r="865" ht="15.75" customHeight="1">
      <c r="E865" s="173"/>
      <c r="F865" s="174"/>
    </row>
    <row r="866" ht="15.75" customHeight="1">
      <c r="E866" s="173"/>
      <c r="F866" s="174"/>
    </row>
    <row r="867" ht="15.75" customHeight="1">
      <c r="E867" s="173"/>
      <c r="F867" s="174"/>
    </row>
    <row r="868" ht="15.75" customHeight="1">
      <c r="E868" s="173"/>
      <c r="F868" s="174"/>
    </row>
    <row r="869" ht="15.75" customHeight="1">
      <c r="E869" s="173"/>
      <c r="F869" s="174"/>
    </row>
    <row r="870" ht="15.75" customHeight="1">
      <c r="E870" s="173"/>
      <c r="F870" s="174"/>
    </row>
    <row r="871" ht="15.75" customHeight="1">
      <c r="E871" s="173"/>
      <c r="F871" s="174"/>
    </row>
    <row r="872" ht="15.75" customHeight="1">
      <c r="E872" s="173"/>
      <c r="F872" s="174"/>
    </row>
    <row r="873" ht="15.75" customHeight="1">
      <c r="E873" s="173"/>
      <c r="F873" s="174"/>
    </row>
    <row r="874" ht="15.75" customHeight="1">
      <c r="E874" s="173"/>
      <c r="F874" s="174"/>
    </row>
    <row r="875" ht="15.75" customHeight="1">
      <c r="E875" s="173"/>
      <c r="F875" s="174"/>
    </row>
    <row r="876" ht="15.75" customHeight="1">
      <c r="E876" s="173"/>
      <c r="F876" s="174"/>
    </row>
    <row r="877" ht="15.75" customHeight="1">
      <c r="E877" s="173"/>
      <c r="F877" s="174"/>
    </row>
    <row r="878" ht="15.75" customHeight="1">
      <c r="E878" s="173"/>
      <c r="F878" s="174"/>
    </row>
    <row r="879" ht="15.75" customHeight="1">
      <c r="E879" s="173"/>
      <c r="F879" s="174"/>
    </row>
    <row r="880" ht="15.75" customHeight="1">
      <c r="E880" s="173"/>
      <c r="F880" s="174"/>
    </row>
    <row r="881" ht="15.75" customHeight="1">
      <c r="E881" s="173"/>
      <c r="F881" s="174"/>
    </row>
    <row r="882" ht="15.75" customHeight="1">
      <c r="E882" s="173"/>
      <c r="F882" s="174"/>
    </row>
    <row r="883" ht="15.75" customHeight="1">
      <c r="E883" s="173"/>
      <c r="F883" s="174"/>
    </row>
    <row r="884" ht="15.75" customHeight="1">
      <c r="E884" s="173"/>
      <c r="F884" s="174"/>
    </row>
    <row r="885" ht="15.75" customHeight="1">
      <c r="E885" s="173"/>
      <c r="F885" s="174"/>
    </row>
    <row r="886" ht="15.75" customHeight="1">
      <c r="E886" s="173"/>
      <c r="F886" s="174"/>
    </row>
    <row r="887" ht="15.75" customHeight="1">
      <c r="E887" s="173"/>
      <c r="F887" s="174"/>
    </row>
    <row r="888" ht="15.75" customHeight="1">
      <c r="E888" s="173"/>
      <c r="F888" s="174"/>
    </row>
    <row r="889" ht="15.75" customHeight="1">
      <c r="E889" s="173"/>
      <c r="F889" s="174"/>
    </row>
    <row r="890" ht="15.75" customHeight="1">
      <c r="E890" s="173"/>
      <c r="F890" s="174"/>
    </row>
    <row r="891" ht="15.75" customHeight="1">
      <c r="E891" s="173"/>
      <c r="F891" s="174"/>
    </row>
    <row r="892" ht="15.75" customHeight="1">
      <c r="E892" s="173"/>
      <c r="F892" s="174"/>
    </row>
    <row r="893" ht="15.75" customHeight="1">
      <c r="E893" s="173"/>
      <c r="F893" s="174"/>
    </row>
    <row r="894" ht="15.75" customHeight="1">
      <c r="E894" s="173"/>
      <c r="F894" s="174"/>
    </row>
    <row r="895" ht="15.75" customHeight="1">
      <c r="E895" s="173"/>
      <c r="F895" s="174"/>
    </row>
    <row r="896" ht="15.75" customHeight="1">
      <c r="E896" s="173"/>
      <c r="F896" s="174"/>
    </row>
    <row r="897" ht="15.75" customHeight="1">
      <c r="E897" s="173"/>
      <c r="F897" s="174"/>
    </row>
    <row r="898" ht="15.75" customHeight="1">
      <c r="E898" s="173"/>
      <c r="F898" s="174"/>
    </row>
    <row r="899" ht="15.75" customHeight="1">
      <c r="E899" s="173"/>
      <c r="F899" s="174"/>
    </row>
    <row r="900" ht="15.75" customHeight="1">
      <c r="E900" s="173"/>
      <c r="F900" s="174"/>
    </row>
    <row r="901" ht="15.75" customHeight="1">
      <c r="E901" s="173"/>
      <c r="F901" s="174"/>
    </row>
    <row r="902" ht="15.75" customHeight="1">
      <c r="E902" s="173"/>
      <c r="F902" s="174"/>
    </row>
    <row r="903" ht="15.75" customHeight="1">
      <c r="E903" s="173"/>
      <c r="F903" s="174"/>
    </row>
    <row r="904" ht="15.75" customHeight="1">
      <c r="E904" s="173"/>
      <c r="F904" s="174"/>
    </row>
    <row r="905" ht="15.75" customHeight="1">
      <c r="E905" s="173"/>
      <c r="F905" s="174"/>
    </row>
    <row r="906" ht="15.75" customHeight="1">
      <c r="E906" s="173"/>
      <c r="F906" s="174"/>
    </row>
    <row r="907" ht="15.75" customHeight="1">
      <c r="E907" s="173"/>
      <c r="F907" s="174"/>
    </row>
    <row r="908" ht="15.75" customHeight="1">
      <c r="E908" s="173"/>
      <c r="F908" s="174"/>
    </row>
    <row r="909" ht="15.75" customHeight="1">
      <c r="E909" s="173"/>
      <c r="F909" s="174"/>
    </row>
    <row r="910" ht="15.75" customHeight="1">
      <c r="E910" s="173"/>
      <c r="F910" s="174"/>
    </row>
    <row r="911" ht="15.75" customHeight="1">
      <c r="E911" s="173"/>
      <c r="F911" s="174"/>
    </row>
    <row r="912" ht="15.75" customHeight="1">
      <c r="E912" s="173"/>
      <c r="F912" s="174"/>
    </row>
    <row r="913" ht="15.75" customHeight="1">
      <c r="E913" s="173"/>
      <c r="F913" s="174"/>
    </row>
    <row r="914" ht="15.75" customHeight="1">
      <c r="E914" s="173"/>
      <c r="F914" s="174"/>
    </row>
    <row r="915" ht="15.75" customHeight="1">
      <c r="E915" s="173"/>
      <c r="F915" s="174"/>
    </row>
    <row r="916" ht="15.75" customHeight="1">
      <c r="E916" s="173"/>
      <c r="F916" s="174"/>
    </row>
    <row r="917" ht="15.75" customHeight="1">
      <c r="E917" s="173"/>
      <c r="F917" s="174"/>
    </row>
    <row r="918" ht="15.75" customHeight="1">
      <c r="E918" s="173"/>
      <c r="F918" s="174"/>
    </row>
    <row r="919" ht="15.75" customHeight="1">
      <c r="E919" s="173"/>
      <c r="F919" s="174"/>
    </row>
    <row r="920" ht="15.75" customHeight="1">
      <c r="E920" s="173"/>
      <c r="F920" s="174"/>
    </row>
    <row r="921" ht="15.75" customHeight="1">
      <c r="E921" s="173"/>
      <c r="F921" s="174"/>
    </row>
    <row r="922" ht="15.75" customHeight="1">
      <c r="E922" s="173"/>
      <c r="F922" s="174"/>
    </row>
    <row r="923" ht="15.75" customHeight="1">
      <c r="E923" s="173"/>
      <c r="F923" s="174"/>
    </row>
    <row r="924" ht="15.75" customHeight="1">
      <c r="E924" s="173"/>
      <c r="F924" s="174"/>
    </row>
    <row r="925" ht="15.75" customHeight="1">
      <c r="E925" s="173"/>
      <c r="F925" s="174"/>
    </row>
    <row r="926" ht="15.75" customHeight="1">
      <c r="E926" s="173"/>
      <c r="F926" s="174"/>
    </row>
    <row r="927" ht="15.75" customHeight="1">
      <c r="E927" s="173"/>
      <c r="F927" s="174"/>
    </row>
    <row r="928" ht="15.75" customHeight="1">
      <c r="E928" s="173"/>
      <c r="F928" s="174"/>
    </row>
    <row r="929" ht="15.75" customHeight="1">
      <c r="E929" s="173"/>
      <c r="F929" s="174"/>
    </row>
    <row r="930" ht="15.75" customHeight="1">
      <c r="E930" s="173"/>
      <c r="F930" s="174"/>
    </row>
    <row r="931" ht="15.75" customHeight="1">
      <c r="E931" s="173"/>
      <c r="F931" s="174"/>
    </row>
    <row r="932" ht="15.75" customHeight="1">
      <c r="E932" s="173"/>
      <c r="F932" s="174"/>
    </row>
    <row r="933" ht="15.75" customHeight="1">
      <c r="E933" s="173"/>
      <c r="F933" s="174"/>
    </row>
    <row r="934" ht="15.75" customHeight="1">
      <c r="E934" s="173"/>
      <c r="F934" s="174"/>
    </row>
    <row r="935" ht="15.75" customHeight="1">
      <c r="E935" s="173"/>
      <c r="F935" s="174"/>
    </row>
    <row r="936" ht="15.75" customHeight="1">
      <c r="E936" s="173"/>
      <c r="F936" s="174"/>
    </row>
    <row r="937" ht="15.75" customHeight="1">
      <c r="E937" s="173"/>
      <c r="F937" s="174"/>
    </row>
    <row r="938" ht="15.75" customHeight="1">
      <c r="E938" s="173"/>
      <c r="F938" s="174"/>
    </row>
    <row r="939" ht="15.75" customHeight="1">
      <c r="E939" s="173"/>
      <c r="F939" s="174"/>
    </row>
    <row r="940" ht="15.75" customHeight="1">
      <c r="E940" s="173"/>
      <c r="F940" s="174"/>
    </row>
    <row r="941" ht="15.75" customHeight="1">
      <c r="E941" s="173"/>
      <c r="F941" s="174"/>
    </row>
    <row r="942" ht="15.75" customHeight="1">
      <c r="E942" s="173"/>
      <c r="F942" s="174"/>
    </row>
    <row r="943" ht="15.75" customHeight="1">
      <c r="E943" s="173"/>
      <c r="F943" s="174"/>
    </row>
    <row r="944" ht="15.75" customHeight="1">
      <c r="E944" s="173"/>
      <c r="F944" s="174"/>
    </row>
    <row r="945" ht="15.75" customHeight="1">
      <c r="E945" s="173"/>
      <c r="F945" s="174"/>
    </row>
    <row r="946" ht="15.75" customHeight="1">
      <c r="E946" s="173"/>
      <c r="F946" s="174"/>
    </row>
    <row r="947" ht="15.75" customHeight="1">
      <c r="E947" s="173"/>
      <c r="F947" s="174"/>
    </row>
    <row r="948" ht="15.75" customHeight="1">
      <c r="E948" s="173"/>
      <c r="F948" s="174"/>
    </row>
    <row r="949" ht="15.75" customHeight="1">
      <c r="E949" s="173"/>
      <c r="F949" s="174"/>
    </row>
    <row r="950" ht="15.75" customHeight="1">
      <c r="E950" s="173"/>
      <c r="F950" s="174"/>
    </row>
    <row r="951" ht="15.75" customHeight="1">
      <c r="E951" s="173"/>
      <c r="F951" s="174"/>
    </row>
    <row r="952" ht="15.75" customHeight="1">
      <c r="E952" s="173"/>
      <c r="F952" s="174"/>
    </row>
    <row r="953" ht="15.75" customHeight="1">
      <c r="E953" s="173"/>
      <c r="F953" s="174"/>
    </row>
    <row r="954" ht="15.75" customHeight="1">
      <c r="E954" s="173"/>
      <c r="F954" s="174"/>
    </row>
    <row r="955" ht="15.75" customHeight="1">
      <c r="E955" s="173"/>
      <c r="F955" s="174"/>
    </row>
    <row r="956" ht="15.75" customHeight="1">
      <c r="E956" s="173"/>
      <c r="F956" s="174"/>
    </row>
    <row r="957" ht="15.75" customHeight="1">
      <c r="E957" s="173"/>
      <c r="F957" s="174"/>
    </row>
    <row r="958" ht="15.75" customHeight="1">
      <c r="E958" s="173"/>
      <c r="F958" s="174"/>
    </row>
    <row r="959" ht="15.75" customHeight="1">
      <c r="E959" s="173"/>
      <c r="F959" s="174"/>
    </row>
    <row r="960" ht="15.75" customHeight="1">
      <c r="E960" s="173"/>
      <c r="F960" s="174"/>
    </row>
    <row r="961" ht="15.75" customHeight="1">
      <c r="E961" s="173"/>
      <c r="F961" s="174"/>
    </row>
    <row r="962" ht="15.75" customHeight="1">
      <c r="E962" s="173"/>
      <c r="F962" s="174"/>
    </row>
    <row r="963" ht="15.75" customHeight="1">
      <c r="E963" s="173"/>
      <c r="F963" s="174"/>
    </row>
    <row r="964" ht="15.75" customHeight="1">
      <c r="E964" s="173"/>
      <c r="F964" s="174"/>
    </row>
    <row r="965" ht="15.75" customHeight="1">
      <c r="E965" s="173"/>
      <c r="F965" s="174"/>
    </row>
    <row r="966" ht="15.75" customHeight="1">
      <c r="E966" s="173"/>
      <c r="F966" s="174"/>
    </row>
    <row r="967" ht="15.75" customHeight="1">
      <c r="E967" s="173"/>
      <c r="F967" s="174"/>
    </row>
    <row r="968" ht="15.75" customHeight="1">
      <c r="E968" s="173"/>
      <c r="F968" s="174"/>
    </row>
    <row r="969" ht="15.75" customHeight="1">
      <c r="E969" s="173"/>
      <c r="F969" s="174"/>
    </row>
    <row r="970" ht="15.75" customHeight="1">
      <c r="E970" s="173"/>
      <c r="F970" s="174"/>
    </row>
    <row r="971" ht="15.75" customHeight="1">
      <c r="E971" s="173"/>
      <c r="F971" s="174"/>
    </row>
    <row r="972" ht="15.75" customHeight="1">
      <c r="E972" s="173"/>
      <c r="F972" s="174"/>
    </row>
    <row r="973" ht="15.75" customHeight="1">
      <c r="E973" s="173"/>
      <c r="F973" s="174"/>
    </row>
    <row r="974" ht="15.75" customHeight="1">
      <c r="E974" s="173"/>
      <c r="F974" s="174"/>
    </row>
    <row r="975" ht="15.75" customHeight="1">
      <c r="E975" s="173"/>
      <c r="F975" s="174"/>
    </row>
    <row r="976" ht="15.75" customHeight="1">
      <c r="E976" s="173"/>
      <c r="F976" s="174"/>
    </row>
    <row r="977" ht="15.75" customHeight="1">
      <c r="E977" s="173"/>
      <c r="F977" s="174"/>
    </row>
    <row r="978" ht="15.75" customHeight="1">
      <c r="E978" s="173"/>
      <c r="F978" s="174"/>
    </row>
    <row r="979" ht="15.75" customHeight="1">
      <c r="E979" s="173"/>
      <c r="F979" s="174"/>
    </row>
    <row r="980" ht="15.75" customHeight="1">
      <c r="E980" s="173"/>
      <c r="F980" s="174"/>
    </row>
    <row r="981" ht="15.75" customHeight="1">
      <c r="E981" s="173"/>
      <c r="F981" s="174"/>
    </row>
    <row r="982" ht="15.75" customHeight="1">
      <c r="E982" s="173"/>
      <c r="F982" s="174"/>
    </row>
    <row r="983" ht="15.75" customHeight="1">
      <c r="E983" s="173"/>
      <c r="F983" s="174"/>
    </row>
    <row r="984" ht="15.75" customHeight="1">
      <c r="E984" s="173"/>
      <c r="F984" s="174"/>
    </row>
    <row r="985" ht="15.75" customHeight="1">
      <c r="E985" s="173"/>
      <c r="F985" s="174"/>
    </row>
    <row r="986" ht="15.75" customHeight="1">
      <c r="E986" s="173"/>
      <c r="F986" s="174"/>
    </row>
    <row r="987" ht="15.75" customHeight="1">
      <c r="E987" s="173"/>
      <c r="F987" s="174"/>
    </row>
    <row r="988" ht="15.75" customHeight="1">
      <c r="E988" s="173"/>
      <c r="F988" s="174"/>
    </row>
    <row r="989" ht="15.75" customHeight="1">
      <c r="E989" s="173"/>
      <c r="F989" s="174"/>
    </row>
    <row r="990" ht="15.75" customHeight="1">
      <c r="E990" s="173"/>
      <c r="F990" s="174"/>
    </row>
    <row r="991" ht="15.75" customHeight="1">
      <c r="E991" s="173"/>
      <c r="F991" s="174"/>
    </row>
    <row r="992" ht="15.75" customHeight="1">
      <c r="E992" s="173"/>
      <c r="F992" s="174"/>
    </row>
    <row r="993" ht="15.75" customHeight="1">
      <c r="E993" s="173"/>
      <c r="F993" s="174"/>
    </row>
    <row r="994" ht="15.75" customHeight="1">
      <c r="E994" s="173"/>
      <c r="F994" s="174"/>
    </row>
    <row r="995" ht="15.75" customHeight="1">
      <c r="E995" s="173"/>
      <c r="F995" s="174"/>
    </row>
    <row r="996" ht="15.75" customHeight="1">
      <c r="E996" s="173"/>
      <c r="F996" s="174"/>
    </row>
    <row r="997" ht="15.75" customHeight="1">
      <c r="E997" s="173"/>
      <c r="F997" s="174"/>
    </row>
    <row r="998" ht="15.75" customHeight="1">
      <c r="E998" s="173"/>
      <c r="F998" s="174"/>
    </row>
    <row r="999" ht="15.75" customHeight="1">
      <c r="E999" s="173"/>
      <c r="F999" s="174"/>
    </row>
    <row r="1000" ht="15.75" customHeight="1">
      <c r="E1000" s="173"/>
      <c r="F1000" s="174"/>
    </row>
    <row r="1001" ht="15.75" customHeight="1">
      <c r="E1001" s="173"/>
      <c r="F1001" s="174"/>
    </row>
    <row r="1002" ht="15.75" customHeight="1">
      <c r="E1002" s="173"/>
      <c r="F1002" s="174"/>
    </row>
    <row r="1003" ht="15.75" customHeight="1">
      <c r="E1003" s="173"/>
      <c r="F1003" s="174"/>
    </row>
    <row r="1004" ht="15.75" customHeight="1">
      <c r="E1004" s="173"/>
      <c r="F1004" s="174"/>
    </row>
    <row r="1005" ht="15.75" customHeight="1">
      <c r="E1005" s="173"/>
      <c r="F1005" s="174"/>
    </row>
    <row r="1006" ht="15.75" customHeight="1">
      <c r="E1006" s="173"/>
      <c r="F1006" s="174"/>
    </row>
    <row r="1007" ht="15.75" customHeight="1">
      <c r="E1007" s="173"/>
      <c r="F1007" s="174"/>
    </row>
    <row r="1008" ht="15.75" customHeight="1">
      <c r="E1008" s="173"/>
      <c r="F1008" s="174"/>
    </row>
    <row r="1009" ht="15.75" customHeight="1">
      <c r="E1009" s="173"/>
      <c r="F1009" s="174"/>
    </row>
    <row r="1010" ht="15.75" customHeight="1">
      <c r="E1010" s="173"/>
      <c r="F1010" s="174"/>
    </row>
    <row r="1011" ht="15.75" customHeight="1">
      <c r="E1011" s="173"/>
      <c r="F1011" s="174"/>
    </row>
    <row r="1012" ht="15.75" customHeight="1">
      <c r="E1012" s="173"/>
      <c r="F1012" s="174"/>
    </row>
    <row r="1013" ht="15.75" customHeight="1">
      <c r="E1013" s="173"/>
      <c r="F1013" s="174"/>
    </row>
    <row r="1014" ht="15.75" customHeight="1">
      <c r="E1014" s="173"/>
      <c r="F1014" s="174"/>
    </row>
    <row r="1015" ht="15.75" customHeight="1">
      <c r="E1015" s="173"/>
      <c r="F1015" s="174"/>
    </row>
    <row r="1016" ht="15.75" customHeight="1">
      <c r="E1016" s="173"/>
      <c r="F1016" s="174"/>
    </row>
    <row r="1017" ht="15.75" customHeight="1">
      <c r="E1017" s="173"/>
      <c r="F1017" s="174"/>
    </row>
    <row r="1018" ht="15.75" customHeight="1">
      <c r="E1018" s="173"/>
      <c r="F1018" s="174"/>
    </row>
    <row r="1019" ht="15.75" customHeight="1">
      <c r="E1019" s="173"/>
      <c r="F1019" s="174"/>
    </row>
    <row r="1020" ht="15.75" customHeight="1">
      <c r="E1020" s="173"/>
      <c r="F1020" s="174"/>
    </row>
    <row r="1021" ht="15.75" customHeight="1">
      <c r="E1021" s="173"/>
      <c r="F1021" s="174"/>
    </row>
    <row r="1022" ht="15.75" customHeight="1">
      <c r="E1022" s="173"/>
      <c r="F1022" s="174"/>
    </row>
    <row r="1023" ht="15.75" customHeight="1">
      <c r="E1023" s="173"/>
      <c r="F1023" s="174"/>
    </row>
    <row r="1024" ht="15.75" customHeight="1">
      <c r="E1024" s="173"/>
      <c r="F1024" s="174"/>
    </row>
    <row r="1025" ht="15.75" customHeight="1">
      <c r="E1025" s="173"/>
      <c r="F1025" s="174"/>
    </row>
    <row r="1026" ht="15.75" customHeight="1">
      <c r="E1026" s="173"/>
      <c r="F1026" s="174"/>
    </row>
    <row r="1027" ht="15.75" customHeight="1">
      <c r="E1027" s="173"/>
      <c r="F1027" s="174"/>
    </row>
    <row r="1028" ht="15.75" customHeight="1">
      <c r="E1028" s="173"/>
      <c r="F1028" s="174"/>
    </row>
    <row r="1029" ht="15.75" customHeight="1">
      <c r="E1029" s="173"/>
      <c r="F1029" s="174"/>
    </row>
    <row r="1030" ht="15.75" customHeight="1">
      <c r="E1030" s="173"/>
      <c r="F1030" s="174"/>
    </row>
    <row r="1031" ht="15.75" customHeight="1">
      <c r="E1031" s="173"/>
      <c r="F1031" s="174"/>
    </row>
    <row r="1032" ht="15.75" customHeight="1">
      <c r="E1032" s="173"/>
      <c r="F1032" s="174"/>
    </row>
    <row r="1033" ht="15.75" customHeight="1">
      <c r="E1033" s="173"/>
      <c r="F1033" s="174"/>
    </row>
    <row r="1034" ht="15.75" customHeight="1">
      <c r="E1034" s="173"/>
      <c r="F1034" s="174"/>
    </row>
    <row r="1035" ht="15.75" customHeight="1">
      <c r="E1035" s="173"/>
      <c r="F1035" s="174"/>
    </row>
    <row r="1036" ht="15.75" customHeight="1">
      <c r="E1036" s="173"/>
      <c r="F1036" s="174"/>
    </row>
    <row r="1037" ht="15.75" customHeight="1">
      <c r="E1037" s="173"/>
      <c r="F1037" s="174"/>
    </row>
    <row r="1038" ht="15.75" customHeight="1">
      <c r="E1038" s="173"/>
      <c r="F1038" s="174"/>
    </row>
    <row r="1039" ht="15.75" customHeight="1">
      <c r="E1039" s="173"/>
      <c r="F1039" s="174"/>
    </row>
    <row r="1040" ht="15.75" customHeight="1">
      <c r="E1040" s="173"/>
      <c r="F1040" s="174"/>
    </row>
    <row r="1041" ht="15.75" customHeight="1">
      <c r="E1041" s="173"/>
      <c r="F1041" s="174"/>
    </row>
    <row r="1042" ht="15.75" customHeight="1">
      <c r="E1042" s="173"/>
      <c r="F1042" s="174"/>
    </row>
    <row r="1043" ht="15.75" customHeight="1">
      <c r="E1043" s="173"/>
      <c r="F1043" s="174"/>
    </row>
    <row r="1044" ht="15.75" customHeight="1">
      <c r="E1044" s="173"/>
      <c r="F1044" s="174"/>
    </row>
    <row r="1045" ht="15.75" customHeight="1">
      <c r="E1045" s="173"/>
      <c r="F1045" s="174"/>
    </row>
    <row r="1046" ht="15.75" customHeight="1">
      <c r="E1046" s="173"/>
      <c r="F1046" s="174"/>
    </row>
    <row r="1047" ht="15.75" customHeight="1">
      <c r="E1047" s="173"/>
      <c r="F1047" s="174"/>
    </row>
    <row r="1048" ht="15.75" customHeight="1">
      <c r="E1048" s="173"/>
      <c r="F1048" s="174"/>
    </row>
    <row r="1049" ht="15.75" customHeight="1">
      <c r="E1049" s="173"/>
      <c r="F1049" s="174"/>
    </row>
    <row r="1050" ht="15.75" customHeight="1">
      <c r="E1050" s="173"/>
      <c r="F1050" s="174"/>
    </row>
    <row r="1051" ht="15.75" customHeight="1">
      <c r="E1051" s="173"/>
      <c r="F1051" s="174"/>
    </row>
    <row r="1052" ht="15.75" customHeight="1">
      <c r="E1052" s="173"/>
      <c r="F1052" s="174"/>
    </row>
    <row r="1053" ht="15.75" customHeight="1">
      <c r="E1053" s="173"/>
      <c r="F1053" s="174"/>
    </row>
    <row r="1054" ht="15.75" customHeight="1">
      <c r="E1054" s="173"/>
      <c r="F1054" s="174"/>
    </row>
    <row r="1055" ht="15.75" customHeight="1">
      <c r="E1055" s="173"/>
      <c r="F1055" s="174"/>
    </row>
    <row r="1056" ht="15.75" customHeight="1">
      <c r="E1056" s="173"/>
      <c r="F1056" s="174"/>
    </row>
    <row r="1057" ht="15.75" customHeight="1">
      <c r="E1057" s="173"/>
      <c r="F1057" s="174"/>
    </row>
    <row r="1058" ht="15.75" customHeight="1">
      <c r="E1058" s="173"/>
      <c r="F1058" s="174"/>
    </row>
    <row r="1059" ht="15.75" customHeight="1">
      <c r="E1059" s="173"/>
      <c r="F1059" s="174"/>
    </row>
    <row r="1060" ht="15.75" customHeight="1">
      <c r="E1060" s="173"/>
      <c r="F1060" s="174"/>
    </row>
    <row r="1061" ht="15.75" customHeight="1">
      <c r="E1061" s="173"/>
      <c r="F1061" s="174"/>
    </row>
    <row r="1062" ht="15.75" customHeight="1">
      <c r="E1062" s="173"/>
      <c r="F1062" s="174"/>
    </row>
    <row r="1063" ht="15.75" customHeight="1">
      <c r="E1063" s="173"/>
      <c r="F1063" s="174"/>
    </row>
    <row r="1064" ht="15.75" customHeight="1">
      <c r="E1064" s="173"/>
      <c r="F1064" s="174"/>
    </row>
    <row r="1065" ht="15.75" customHeight="1">
      <c r="E1065" s="173"/>
      <c r="F1065" s="174"/>
    </row>
    <row r="1066" ht="15.75" customHeight="1">
      <c r="E1066" s="173"/>
      <c r="F1066" s="174"/>
    </row>
    <row r="1067" ht="15.75" customHeight="1">
      <c r="E1067" s="173"/>
      <c r="F1067" s="174"/>
    </row>
    <row r="1068" ht="15.75" customHeight="1">
      <c r="E1068" s="173"/>
      <c r="F1068" s="174"/>
    </row>
    <row r="1069" ht="15.75" customHeight="1">
      <c r="E1069" s="173"/>
      <c r="F1069" s="174"/>
    </row>
    <row r="1070" ht="15.75" customHeight="1">
      <c r="E1070" s="173"/>
      <c r="F1070" s="174"/>
    </row>
    <row r="1071" ht="15.75" customHeight="1">
      <c r="E1071" s="173"/>
      <c r="F1071" s="174"/>
    </row>
    <row r="1072" ht="15.75" customHeight="1">
      <c r="E1072" s="173"/>
      <c r="F1072" s="174"/>
    </row>
    <row r="1073" ht="15.75" customHeight="1">
      <c r="E1073" s="173"/>
      <c r="F1073" s="174"/>
    </row>
    <row r="1074" ht="15.75" customHeight="1">
      <c r="E1074" s="173"/>
      <c r="F1074" s="174"/>
    </row>
    <row r="1075" ht="15.75" customHeight="1">
      <c r="E1075" s="173"/>
      <c r="F1075" s="174"/>
    </row>
    <row r="1076" ht="15.75" customHeight="1">
      <c r="E1076" s="173"/>
      <c r="F1076" s="174"/>
    </row>
    <row r="1077" ht="15.75" customHeight="1">
      <c r="E1077" s="173"/>
      <c r="F1077" s="174"/>
    </row>
    <row r="1078" ht="15.75" customHeight="1">
      <c r="E1078" s="173"/>
      <c r="F1078" s="174"/>
    </row>
    <row r="1079" ht="15.75" customHeight="1">
      <c r="E1079" s="173"/>
      <c r="F1079" s="174"/>
    </row>
    <row r="1080" ht="15.75" customHeight="1">
      <c r="E1080" s="173"/>
      <c r="F1080" s="174"/>
    </row>
    <row r="1081" ht="15.75" customHeight="1">
      <c r="E1081" s="173"/>
      <c r="F1081" s="174"/>
    </row>
    <row r="1082" ht="15.75" customHeight="1">
      <c r="E1082" s="173"/>
      <c r="F1082" s="174"/>
    </row>
    <row r="1083" ht="15.75" customHeight="1">
      <c r="E1083" s="173"/>
      <c r="F1083" s="174"/>
    </row>
    <row r="1084" ht="15.75" customHeight="1">
      <c r="E1084" s="173"/>
      <c r="F1084" s="174"/>
    </row>
    <row r="1085" ht="15.75" customHeight="1">
      <c r="E1085" s="173"/>
      <c r="F1085" s="174"/>
    </row>
    <row r="1086" ht="15.75" customHeight="1">
      <c r="E1086" s="173"/>
      <c r="F1086" s="174"/>
    </row>
    <row r="1087" ht="15.75" customHeight="1">
      <c r="E1087" s="173"/>
      <c r="F1087" s="174"/>
    </row>
    <row r="1088" ht="15.75" customHeight="1">
      <c r="E1088" s="173"/>
      <c r="F1088" s="174"/>
    </row>
    <row r="1089" ht="15.75" customHeight="1">
      <c r="E1089" s="173"/>
      <c r="F1089" s="174"/>
    </row>
    <row r="1090" ht="15.75" customHeight="1">
      <c r="E1090" s="173"/>
      <c r="F1090" s="174"/>
    </row>
    <row r="1091" ht="15.75" customHeight="1">
      <c r="E1091" s="173"/>
      <c r="F1091" s="174"/>
    </row>
    <row r="1092" ht="15.75" customHeight="1">
      <c r="E1092" s="173"/>
      <c r="F1092" s="174"/>
    </row>
    <row r="1093" ht="15.75" customHeight="1">
      <c r="E1093" s="173"/>
      <c r="F1093" s="174"/>
    </row>
    <row r="1094" ht="15.75" customHeight="1">
      <c r="E1094" s="173"/>
      <c r="F1094" s="174"/>
    </row>
    <row r="1095" ht="15.75" customHeight="1">
      <c r="E1095" s="173"/>
      <c r="F1095" s="174"/>
    </row>
    <row r="1096" ht="15.75" customHeight="1">
      <c r="E1096" s="173"/>
      <c r="F1096" s="174"/>
    </row>
    <row r="1097" ht="15.75" customHeight="1">
      <c r="E1097" s="173"/>
      <c r="F1097" s="174"/>
    </row>
    <row r="1098" ht="15.75" customHeight="1">
      <c r="E1098" s="173"/>
      <c r="F1098" s="174"/>
    </row>
    <row r="1099" ht="15.75" customHeight="1">
      <c r="E1099" s="173"/>
      <c r="F1099" s="174"/>
    </row>
    <row r="1100" ht="15.75" customHeight="1">
      <c r="E1100" s="173"/>
      <c r="F1100" s="174"/>
    </row>
    <row r="1101" ht="15.75" customHeight="1">
      <c r="E1101" s="173"/>
      <c r="F1101" s="174"/>
    </row>
    <row r="1102" ht="15.75" customHeight="1">
      <c r="E1102" s="173"/>
      <c r="F1102" s="174"/>
    </row>
    <row r="1103" ht="15.75" customHeight="1">
      <c r="E1103" s="173"/>
      <c r="F1103" s="174"/>
    </row>
    <row r="1104" ht="15.75" customHeight="1">
      <c r="E1104" s="173"/>
      <c r="F1104" s="174"/>
    </row>
    <row r="1105" ht="15.75" customHeight="1">
      <c r="E1105" s="173"/>
      <c r="F1105" s="174"/>
    </row>
    <row r="1106" ht="15.75" customHeight="1">
      <c r="E1106" s="173"/>
      <c r="F1106" s="174"/>
    </row>
    <row r="1107" ht="15.75" customHeight="1">
      <c r="E1107" s="173"/>
      <c r="F1107" s="174"/>
    </row>
    <row r="1108" ht="15.75" customHeight="1">
      <c r="E1108" s="173"/>
      <c r="F1108" s="174"/>
    </row>
    <row r="1109" ht="15.75" customHeight="1">
      <c r="E1109" s="173"/>
      <c r="F1109" s="174"/>
    </row>
    <row r="1110" ht="15.75" customHeight="1">
      <c r="E1110" s="173"/>
      <c r="F1110" s="174"/>
    </row>
    <row r="1111" ht="15.75" customHeight="1">
      <c r="E1111" s="173"/>
      <c r="F1111" s="174"/>
    </row>
    <row r="1112" ht="15.75" customHeight="1">
      <c r="E1112" s="173"/>
      <c r="F1112" s="174"/>
    </row>
    <row r="1113" ht="15.75" customHeight="1">
      <c r="E1113" s="173"/>
      <c r="F1113" s="174"/>
    </row>
    <row r="1114" ht="15.75" customHeight="1">
      <c r="E1114" s="173"/>
      <c r="F1114" s="174"/>
    </row>
    <row r="1115" ht="15.75" customHeight="1">
      <c r="E1115" s="173"/>
      <c r="F1115" s="174"/>
    </row>
    <row r="1116" ht="15.75" customHeight="1">
      <c r="E1116" s="173"/>
      <c r="F1116" s="174"/>
    </row>
    <row r="1117" ht="15.75" customHeight="1">
      <c r="E1117" s="173"/>
      <c r="F1117" s="174"/>
    </row>
    <row r="1118" ht="15.75" customHeight="1">
      <c r="E1118" s="173"/>
      <c r="F1118" s="174"/>
    </row>
    <row r="1119" ht="15.75" customHeight="1">
      <c r="E1119" s="173"/>
      <c r="F1119" s="174"/>
    </row>
    <row r="1120" ht="15.75" customHeight="1">
      <c r="E1120" s="173"/>
      <c r="F1120" s="174"/>
    </row>
    <row r="1121" ht="15.75" customHeight="1">
      <c r="E1121" s="173"/>
      <c r="F1121" s="174"/>
    </row>
    <row r="1122" ht="15.75" customHeight="1">
      <c r="E1122" s="173"/>
      <c r="F1122" s="174"/>
    </row>
    <row r="1123" ht="15.75" customHeight="1">
      <c r="E1123" s="173"/>
      <c r="F1123" s="174"/>
    </row>
    <row r="1124" ht="15.75" customHeight="1">
      <c r="E1124" s="173"/>
      <c r="F1124" s="174"/>
    </row>
    <row r="1125" ht="15.75" customHeight="1">
      <c r="E1125" s="173"/>
      <c r="F1125" s="174"/>
    </row>
    <row r="1126" ht="15.75" customHeight="1">
      <c r="E1126" s="173"/>
      <c r="F1126" s="174"/>
    </row>
    <row r="1127" ht="15.75" customHeight="1">
      <c r="E1127" s="173"/>
      <c r="F1127" s="174"/>
    </row>
    <row r="1128" ht="15.75" customHeight="1">
      <c r="E1128" s="173"/>
      <c r="F1128" s="174"/>
    </row>
    <row r="1129" ht="15.75" customHeight="1">
      <c r="E1129" s="173"/>
      <c r="F1129" s="174"/>
    </row>
    <row r="1130" ht="15.75" customHeight="1">
      <c r="E1130" s="173"/>
      <c r="F1130" s="174"/>
    </row>
    <row r="1131" ht="15.75" customHeight="1">
      <c r="E1131" s="173"/>
      <c r="F1131" s="174"/>
    </row>
    <row r="1132" ht="15.75" customHeight="1">
      <c r="E1132" s="173"/>
      <c r="F1132" s="174"/>
    </row>
    <row r="1133" ht="15.75" customHeight="1">
      <c r="E1133" s="173"/>
      <c r="F1133" s="174"/>
    </row>
    <row r="1134" ht="15.75" customHeight="1">
      <c r="E1134" s="173"/>
      <c r="F1134" s="174"/>
    </row>
    <row r="1135" ht="15.75" customHeight="1">
      <c r="E1135" s="173"/>
      <c r="F1135" s="174"/>
    </row>
    <row r="1136" ht="15.75" customHeight="1">
      <c r="E1136" s="173"/>
      <c r="F1136" s="174"/>
    </row>
    <row r="1137" ht="15.75" customHeight="1">
      <c r="E1137" s="173"/>
      <c r="F1137" s="174"/>
    </row>
    <row r="1138" ht="15.75" customHeight="1">
      <c r="E1138" s="173"/>
      <c r="F1138" s="174"/>
    </row>
    <row r="1139" ht="15.75" customHeight="1">
      <c r="E1139" s="173"/>
      <c r="F1139" s="174"/>
    </row>
    <row r="1140" ht="15.75" customHeight="1">
      <c r="E1140" s="173"/>
      <c r="F1140" s="174"/>
    </row>
    <row r="1141" ht="15.75" customHeight="1">
      <c r="E1141" s="173"/>
      <c r="F1141" s="174"/>
    </row>
    <row r="1142" ht="15.75" customHeight="1">
      <c r="E1142" s="173"/>
      <c r="F1142" s="174"/>
    </row>
    <row r="1143" ht="15.75" customHeight="1">
      <c r="E1143" s="173"/>
      <c r="F1143" s="174"/>
    </row>
    <row r="1144" ht="15.75" customHeight="1">
      <c r="E1144" s="173"/>
      <c r="F1144" s="174"/>
    </row>
    <row r="1145" ht="15.75" customHeight="1">
      <c r="E1145" s="173"/>
      <c r="F1145" s="174"/>
    </row>
    <row r="1146" ht="15.75" customHeight="1">
      <c r="E1146" s="173"/>
      <c r="F1146" s="174"/>
    </row>
    <row r="1147" ht="15.75" customHeight="1">
      <c r="E1147" s="173"/>
      <c r="F1147" s="174"/>
    </row>
    <row r="1148" ht="15.75" customHeight="1">
      <c r="E1148" s="173"/>
      <c r="F1148" s="174"/>
    </row>
    <row r="1149" ht="15.75" customHeight="1">
      <c r="E1149" s="173"/>
      <c r="F1149" s="174"/>
    </row>
    <row r="1150" ht="15.75" customHeight="1">
      <c r="E1150" s="173"/>
      <c r="F1150" s="174"/>
    </row>
    <row r="1151" ht="15.75" customHeight="1">
      <c r="E1151" s="173"/>
      <c r="F1151" s="174"/>
    </row>
    <row r="1152" ht="15.75" customHeight="1">
      <c r="E1152" s="173"/>
      <c r="F1152" s="174"/>
    </row>
    <row r="1153" ht="15.75" customHeight="1">
      <c r="E1153" s="173"/>
      <c r="F1153" s="174"/>
    </row>
    <row r="1154" ht="15.75" customHeight="1">
      <c r="E1154" s="173"/>
      <c r="F1154" s="174"/>
    </row>
    <row r="1155" ht="15.75" customHeight="1">
      <c r="E1155" s="173"/>
      <c r="F1155" s="174"/>
    </row>
    <row r="1156" ht="15.75" customHeight="1">
      <c r="E1156" s="173"/>
      <c r="F1156" s="174"/>
    </row>
    <row r="1157" ht="15.75" customHeight="1">
      <c r="E1157" s="173"/>
      <c r="F1157" s="174"/>
    </row>
    <row r="1158" ht="15.75" customHeight="1">
      <c r="E1158" s="173"/>
      <c r="F1158" s="174"/>
    </row>
    <row r="1159" ht="15.75" customHeight="1">
      <c r="E1159" s="173"/>
      <c r="F1159" s="174"/>
    </row>
    <row r="1160" ht="15.75" customHeight="1">
      <c r="E1160" s="173"/>
      <c r="F1160" s="174"/>
    </row>
    <row r="1161" ht="15.75" customHeight="1">
      <c r="E1161" s="173"/>
      <c r="F1161" s="174"/>
    </row>
  </sheetData>
  <mergeCells count="2">
    <mergeCell ref="B1:I1"/>
    <mergeCell ref="M2:Q2"/>
  </mergeCells>
  <hyperlinks>
    <hyperlink r:id="rId2" ref="U4"/>
    <hyperlink r:id="rId3" ref="U5"/>
    <hyperlink r:id="rId4" ref="E6"/>
    <hyperlink r:id="rId5" ref="U6"/>
    <hyperlink r:id="rId6" ref="E7"/>
    <hyperlink r:id="rId7" ref="F7"/>
    <hyperlink r:id="rId8" ref="U7"/>
    <hyperlink r:id="rId9" ref="U8"/>
    <hyperlink r:id="rId10" ref="U9"/>
    <hyperlink r:id="rId11" ref="E12"/>
    <hyperlink r:id="rId12" ref="E13"/>
    <hyperlink r:id="rId13" ref="E14"/>
    <hyperlink r:id="rId14" ref="F14"/>
    <hyperlink r:id="rId15" ref="E15"/>
    <hyperlink r:id="rId16" ref="F15"/>
    <hyperlink r:id="rId17" ref="E16"/>
    <hyperlink r:id="rId18" ref="F16"/>
    <hyperlink r:id="rId19" ref="E18"/>
    <hyperlink r:id="rId20" ref="F19"/>
    <hyperlink r:id="rId21" ref="E20"/>
    <hyperlink r:id="rId22" ref="U20"/>
    <hyperlink r:id="rId23" ref="E21"/>
    <hyperlink r:id="rId24" ref="U21"/>
    <hyperlink r:id="rId25" ref="E23"/>
    <hyperlink r:id="rId26" ref="F23"/>
    <hyperlink r:id="rId27" ref="U23"/>
    <hyperlink r:id="rId28" ref="E24"/>
    <hyperlink r:id="rId29" ref="F24"/>
    <hyperlink r:id="rId30" ref="U24"/>
    <hyperlink r:id="rId31" ref="D25"/>
    <hyperlink r:id="rId32" ref="E25"/>
    <hyperlink r:id="rId33" ref="F25"/>
    <hyperlink r:id="rId34" ref="F26"/>
    <hyperlink r:id="rId35" ref="E29"/>
    <hyperlink r:id="rId36" ref="F29"/>
    <hyperlink r:id="rId37" ref="E31"/>
    <hyperlink r:id="rId38" ref="E32"/>
    <hyperlink r:id="rId39" ref="E33"/>
    <hyperlink r:id="rId40" ref="E34"/>
    <hyperlink r:id="rId41" ref="E35"/>
    <hyperlink r:id="rId42" ref="E36"/>
    <hyperlink r:id="rId43" ref="E37"/>
    <hyperlink r:id="rId44" ref="E38"/>
    <hyperlink r:id="rId45" ref="E39"/>
    <hyperlink r:id="rId46" ref="E40"/>
    <hyperlink r:id="rId47" ref="E41"/>
    <hyperlink r:id="rId48" ref="E42"/>
    <hyperlink r:id="rId49" ref="F42"/>
    <hyperlink r:id="rId50" ref="E43"/>
    <hyperlink r:id="rId51" ref="F43"/>
    <hyperlink r:id="rId52" ref="E44"/>
    <hyperlink r:id="rId53" ref="E45"/>
    <hyperlink r:id="rId54" ref="E46"/>
    <hyperlink r:id="rId55" ref="E47"/>
    <hyperlink r:id="rId56" ref="E48"/>
    <hyperlink r:id="rId57" ref="E49"/>
    <hyperlink r:id="rId58" ref="E50"/>
    <hyperlink r:id="rId59" ref="E51"/>
    <hyperlink r:id="rId60" ref="E52"/>
    <hyperlink r:id="rId61" ref="E55"/>
    <hyperlink r:id="rId62" ref="F55"/>
    <hyperlink r:id="rId63" ref="E56"/>
    <hyperlink r:id="rId64" ref="E57"/>
    <hyperlink r:id="rId65" ref="E58"/>
    <hyperlink r:id="rId66" ref="E60"/>
    <hyperlink r:id="rId67" ref="E61"/>
    <hyperlink r:id="rId68" ref="E62"/>
    <hyperlink r:id="rId69" ref="E63"/>
    <hyperlink r:id="rId70" ref="F63"/>
    <hyperlink r:id="rId71" ref="E64"/>
    <hyperlink r:id="rId72" ref="F64"/>
    <hyperlink r:id="rId73" ref="E65"/>
    <hyperlink r:id="rId74" ref="E66"/>
    <hyperlink r:id="rId75" ref="E67"/>
    <hyperlink r:id="rId76" ref="E69"/>
    <hyperlink r:id="rId77" ref="E70"/>
    <hyperlink r:id="rId78" ref="F70"/>
    <hyperlink r:id="rId79" ref="E71"/>
    <hyperlink r:id="rId80" ref="E72"/>
    <hyperlink r:id="rId81" ref="F72"/>
    <hyperlink r:id="rId82" ref="E73"/>
    <hyperlink r:id="rId83" ref="E74"/>
    <hyperlink r:id="rId84" ref="F74"/>
    <hyperlink r:id="rId85" ref="E75"/>
    <hyperlink r:id="rId86" ref="E76"/>
    <hyperlink r:id="rId87" ref="F76"/>
    <hyperlink r:id="rId88" ref="E77"/>
    <hyperlink r:id="rId89" ref="F77"/>
    <hyperlink r:id="rId90" ref="E78"/>
    <hyperlink r:id="rId91" ref="F78"/>
    <hyperlink r:id="rId92" ref="E79"/>
    <hyperlink r:id="rId93" ref="F79"/>
    <hyperlink r:id="rId94" ref="E80"/>
    <hyperlink r:id="rId95" ref="F80"/>
    <hyperlink r:id="rId96" ref="E81"/>
    <hyperlink r:id="rId97" ref="E82"/>
    <hyperlink r:id="rId98" ref="E83"/>
    <hyperlink r:id="rId99" ref="E84"/>
    <hyperlink r:id="rId100" ref="E85"/>
    <hyperlink r:id="rId101" ref="E86"/>
    <hyperlink r:id="rId102" ref="F86"/>
    <hyperlink r:id="rId103" ref="E88"/>
    <hyperlink r:id="rId104" ref="F88"/>
    <hyperlink r:id="rId105" ref="E91"/>
    <hyperlink r:id="rId106" ref="F91"/>
    <hyperlink r:id="rId107" ref="E95"/>
    <hyperlink r:id="rId108" ref="F95"/>
    <hyperlink r:id="rId109" ref="E96"/>
    <hyperlink r:id="rId110" ref="F96"/>
    <hyperlink r:id="rId111" ref="E99"/>
    <hyperlink r:id="rId112" ref="E100"/>
    <hyperlink r:id="rId113" ref="E102"/>
    <hyperlink r:id="rId114" ref="E103"/>
    <hyperlink r:id="rId115" ref="F103"/>
    <hyperlink r:id="rId116" ref="E104"/>
    <hyperlink r:id="rId117" ref="F104"/>
    <hyperlink r:id="rId118" ref="E105"/>
    <hyperlink r:id="rId119" ref="F105"/>
    <hyperlink r:id="rId120" ref="E109"/>
    <hyperlink r:id="rId121" ref="E110"/>
    <hyperlink r:id="rId122" ref="F110"/>
    <hyperlink r:id="rId123" ref="E111"/>
    <hyperlink r:id="rId124" ref="F111"/>
    <hyperlink r:id="rId125" ref="E119"/>
    <hyperlink r:id="rId126" ref="E120"/>
    <hyperlink r:id="rId127" ref="E121"/>
    <hyperlink r:id="rId128" ref="E122"/>
    <hyperlink r:id="rId129" ref="E123"/>
    <hyperlink r:id="rId130" ref="E124"/>
    <hyperlink r:id="rId131" ref="E125"/>
    <hyperlink r:id="rId132" ref="E126"/>
    <hyperlink r:id="rId133" ref="E127"/>
    <hyperlink r:id="rId134" ref="F127"/>
    <hyperlink r:id="rId135" ref="E128"/>
    <hyperlink r:id="rId136" ref="F128"/>
  </hyperlinks>
  <drawing r:id="rId137"/>
  <legacyDrawing r:id="rId13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88"/>
    <col customWidth="1" min="3" max="6" width="12.63"/>
  </cols>
  <sheetData>
    <row r="1" ht="15.75" customHeight="1"/>
    <row r="2" ht="15.75" customHeight="1">
      <c r="A2" s="175" t="s">
        <v>472</v>
      </c>
      <c r="B2" s="176" t="s">
        <v>473</v>
      </c>
      <c r="C2" s="175" t="s">
        <v>474</v>
      </c>
      <c r="D2" s="175" t="s">
        <v>475</v>
      </c>
    </row>
    <row r="3" ht="15.75" customHeight="1">
      <c r="A3" s="177"/>
      <c r="B3" s="178" t="s">
        <v>476</v>
      </c>
      <c r="C3" s="177"/>
      <c r="D3" s="177"/>
    </row>
    <row r="4" ht="15.75" customHeight="1">
      <c r="A4" s="179" t="s">
        <v>477</v>
      </c>
      <c r="B4" s="180" t="s">
        <v>478</v>
      </c>
      <c r="C4" s="181">
        <f>PURCHASES!L160</f>
        <v>347473627.8</v>
      </c>
      <c r="D4" s="182"/>
    </row>
    <row r="5" ht="15.75" customHeight="1">
      <c r="A5" s="179" t="s">
        <v>479</v>
      </c>
      <c r="B5" s="180" t="s">
        <v>480</v>
      </c>
      <c r="C5" s="183"/>
      <c r="D5" s="184" t="str">
        <f>PURCHASES!K163</f>
        <v/>
      </c>
    </row>
    <row r="6" ht="15.75" customHeight="1">
      <c r="A6" s="185">
        <v>11411.0</v>
      </c>
      <c r="B6" s="186" t="s">
        <v>481</v>
      </c>
      <c r="C6" s="187" t="str">
        <f>PURCHASES!J163</f>
        <v/>
      </c>
      <c r="D6" s="182"/>
    </row>
    <row r="7" ht="15.75" customHeight="1">
      <c r="A7" s="185">
        <v>21111.0</v>
      </c>
      <c r="B7" s="186" t="s">
        <v>482</v>
      </c>
      <c r="C7" s="183"/>
      <c r="D7" s="188">
        <f>SUM(C4:C7)-SUM(D4:D6)</f>
        <v>347473627.8</v>
      </c>
    </row>
    <row r="8" ht="15.75" customHeight="1">
      <c r="A8" s="177"/>
      <c r="B8" s="189"/>
      <c r="C8" s="183"/>
      <c r="D8" s="182"/>
    </row>
    <row r="9" ht="15.75" customHeight="1">
      <c r="A9" s="177"/>
      <c r="B9" s="177"/>
      <c r="C9" s="183"/>
      <c r="D9" s="182"/>
    </row>
    <row r="10" ht="15.75" customHeight="1">
      <c r="A10" s="177"/>
      <c r="B10" s="177"/>
      <c r="C10" s="183"/>
      <c r="D10" s="182"/>
    </row>
    <row r="11" ht="15.75" customHeight="1">
      <c r="A11" s="177"/>
      <c r="B11" s="177"/>
      <c r="C11" s="183"/>
      <c r="D11" s="182"/>
    </row>
    <row r="12" ht="15.75" customHeight="1">
      <c r="A12" s="177"/>
      <c r="B12" s="177"/>
      <c r="C12" s="183"/>
      <c r="D12" s="182"/>
    </row>
    <row r="13" ht="15.75" customHeight="1">
      <c r="A13" s="177"/>
      <c r="B13" s="177"/>
      <c r="C13" s="183"/>
      <c r="D13" s="182"/>
    </row>
    <row r="14" ht="15.75" customHeight="1">
      <c r="A14" s="177"/>
      <c r="B14" s="177"/>
      <c r="C14" s="183"/>
      <c r="D14" s="182"/>
    </row>
    <row r="15" ht="15.75" customHeight="1">
      <c r="A15" s="177"/>
      <c r="B15" s="177"/>
      <c r="C15" s="183"/>
      <c r="D15" s="182"/>
    </row>
    <row r="16" ht="15.75" customHeight="1">
      <c r="A16" s="177"/>
      <c r="B16" s="177"/>
      <c r="C16" s="183"/>
      <c r="D16" s="182"/>
      <c r="H16" s="47" t="s">
        <v>483</v>
      </c>
    </row>
    <row r="17" ht="15.75" customHeight="1">
      <c r="A17" s="177"/>
      <c r="B17" s="177"/>
      <c r="C17" s="183"/>
      <c r="D17" s="182"/>
    </row>
    <row r="18" ht="15.75" customHeight="1">
      <c r="A18" s="177"/>
      <c r="B18" s="177"/>
      <c r="C18" s="183"/>
      <c r="D18" s="182"/>
      <c r="I18" s="47" t="s">
        <v>478</v>
      </c>
      <c r="K18" s="47">
        <v>10.0</v>
      </c>
    </row>
    <row r="19" ht="15.75" customHeight="1">
      <c r="A19" s="177"/>
      <c r="B19" s="177"/>
      <c r="C19" s="183"/>
      <c r="D19" s="182"/>
      <c r="J19" s="47" t="s">
        <v>484</v>
      </c>
      <c r="L19" s="47">
        <v>10.0</v>
      </c>
    </row>
    <row r="20" ht="15.75" customHeight="1">
      <c r="A20" s="177"/>
      <c r="B20" s="177"/>
      <c r="C20" s="183"/>
      <c r="D20" s="182"/>
    </row>
    <row r="21" ht="15.75" customHeight="1">
      <c r="A21" s="177"/>
      <c r="B21" s="177"/>
      <c r="C21" s="183"/>
      <c r="D21" s="182"/>
    </row>
    <row r="22" ht="15.75" customHeight="1">
      <c r="A22" s="190"/>
      <c r="B22" s="190"/>
      <c r="C22" s="191"/>
      <c r="D22" s="191"/>
    </row>
    <row r="23" ht="15.75" customHeight="1">
      <c r="A23" s="192"/>
      <c r="B23" s="193"/>
      <c r="C23" s="194">
        <f t="shared" ref="C23:D23" si="1">SUM(C4:C22)</f>
        <v>347473627.8</v>
      </c>
      <c r="D23" s="194">
        <f t="shared" si="1"/>
        <v>347473627.8</v>
      </c>
      <c r="I23" s="47" t="s">
        <v>485</v>
      </c>
      <c r="K23" s="47">
        <v>10.0</v>
      </c>
    </row>
    <row r="24" ht="15.75" customHeight="1">
      <c r="J24" s="47" t="s">
        <v>466</v>
      </c>
      <c r="L24" s="47">
        <v>10.0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