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16"/>
  <workbookPr defaultThemeVersion="166925"/>
  <mc:AlternateContent xmlns:mc="http://schemas.openxmlformats.org/markup-compatibility/2006">
    <mc:Choice Requires="x15">
      <x15ac:absPath xmlns:x15ac="http://schemas.microsoft.com/office/spreadsheetml/2010/11/ac" url="C:\Users\antou\Documents\Perso\ESFAM\"/>
    </mc:Choice>
  </mc:AlternateContent>
  <xr:revisionPtr revIDLastSave="0" documentId="8_{134A73BB-14AD-4891-A841-267B87B46F13}" xr6:coauthVersionLast="45" xr6:coauthVersionMax="45" xr10:uidLastSave="{00000000-0000-0000-0000-000000000000}"/>
  <bookViews>
    <workbookView xWindow="-120" yWindow="-120" windowWidth="20730" windowHeight="11160" firstSheet="7" activeTab="7" xr2:uid="{526BE8D4-E4C5-42C7-A756-2CC6A29A5140}"/>
  </bookViews>
  <sheets>
    <sheet name="Operations" sheetId="18" r:id="rId1"/>
    <sheet name="Moyenne-arrond-min&amp;max" sheetId="3" r:id="rId2"/>
    <sheet name="Moyenne min&amp;max" sheetId="19" r:id="rId3"/>
    <sheet name="Si simple" sheetId="5" r:id="rId4"/>
    <sheet name="Si escompte" sheetId="7" r:id="rId5"/>
    <sheet name="Si avec texte" sheetId="4" r:id="rId6"/>
    <sheet name="Si tx TVA" sheetId="1" r:id="rId7"/>
    <sheet name="Si vs CA" sheetId="6" r:id="rId8"/>
    <sheet name="Total" sheetId="13" r:id="rId9"/>
    <sheet name="Dentiste" sheetId="8" r:id="rId10"/>
    <sheet name="Pediatrie" sheetId="10" r:id="rId11"/>
    <sheet name="Cardiologie" sheetId="11" r:id="rId12"/>
    <sheet name="Orthopedie" sheetId="12" r:id="rId13"/>
    <sheet name="Neurologie" sheetId="9" r:id="rId14"/>
    <sheet name="Graphique" sheetId="17" r:id="rId15"/>
  </sheets>
  <definedNames>
    <definedName name="_xlnm._FilterDatabase" localSheetId="5" hidden="1">'Si avec texte'!$A$1:$F$19</definedName>
    <definedName name="_xlnm._FilterDatabase" localSheetId="7" hidden="1">'Si vs CA'!$A$2:$K$2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7" l="1"/>
  <c r="C2" i="7" a="1"/>
  <c r="C2" i="7"/>
  <c r="M3" i="17"/>
  <c r="M4" i="17"/>
  <c r="M5" i="17"/>
  <c r="M6" i="17"/>
  <c r="M7" i="17"/>
  <c r="M2" i="17"/>
  <c r="E2" i="7"/>
  <c r="C3" i="7" a="1"/>
  <c r="C3" i="7"/>
  <c r="E3" i="7" s="1"/>
  <c r="C5" i="7" a="1"/>
  <c r="C5" i="7"/>
  <c r="E5" i="7" s="1"/>
  <c r="C6" i="7" a="1"/>
  <c r="C6" i="7"/>
  <c r="E6" i="7" s="1"/>
  <c r="C7" i="7" a="1"/>
  <c r="C7" i="7"/>
  <c r="E7" i="7" s="1"/>
  <c r="C8" i="7" a="1"/>
  <c r="C8" i="7"/>
  <c r="E8" i="7" s="1"/>
  <c r="C9" i="7" a="1"/>
  <c r="C9" i="7"/>
  <c r="E9" i="7" s="1"/>
  <c r="C4" i="7" a="1"/>
  <c r="C4" i="7"/>
  <c r="E4" i="7" s="1"/>
  <c r="K57" i="17"/>
  <c r="L57" i="17"/>
  <c r="K58" i="17"/>
  <c r="L58" i="17"/>
  <c r="K59" i="17"/>
  <c r="L59" i="17"/>
  <c r="K60" i="17"/>
  <c r="L60" i="17"/>
  <c r="K61" i="17"/>
  <c r="L61" i="17"/>
  <c r="J58" i="17"/>
  <c r="J59" i="17"/>
  <c r="J60" i="17"/>
  <c r="J61" i="17"/>
  <c r="J57" i="17"/>
  <c r="B5" i="13"/>
  <c r="B6" i="13"/>
  <c r="B7" i="13"/>
  <c r="B4" i="13"/>
  <c r="B3" i="13"/>
  <c r="K4" i="6"/>
  <c r="K5" i="6"/>
  <c r="K6" i="6"/>
  <c r="K7" i="6"/>
  <c r="K8" i="6"/>
  <c r="K9" i="6"/>
  <c r="K10" i="6"/>
  <c r="K11" i="6"/>
  <c r="K12" i="6"/>
  <c r="K13" i="6"/>
  <c r="K14" i="6"/>
  <c r="K15" i="6"/>
  <c r="K16" i="6"/>
  <c r="K17" i="6"/>
  <c r="K18" i="6"/>
  <c r="K19" i="6"/>
  <c r="K20" i="6"/>
  <c r="K21" i="6"/>
  <c r="K22" i="6"/>
  <c r="K23" i="6"/>
  <c r="K24" i="6"/>
  <c r="K3" i="6"/>
  <c r="J4" i="6"/>
  <c r="J5" i="6"/>
  <c r="J6" i="6"/>
  <c r="J3" i="6"/>
  <c r="F3" i="6"/>
  <c r="F4" i="6"/>
  <c r="F5" i="6"/>
  <c r="F6" i="6"/>
  <c r="H4" i="6"/>
  <c r="H5" i="6"/>
  <c r="H6" i="6"/>
  <c r="H3" i="6"/>
  <c r="D3" i="7"/>
  <c r="D4" i="7"/>
  <c r="D5" i="7"/>
  <c r="D6" i="7"/>
  <c r="D7" i="7"/>
  <c r="D8" i="7"/>
  <c r="D9" i="7"/>
  <c r="D2" i="7"/>
  <c r="F7" i="6"/>
  <c r="F8" i="6"/>
  <c r="F9" i="6"/>
  <c r="F10" i="6"/>
  <c r="F11" i="6"/>
  <c r="F12" i="6"/>
  <c r="F13" i="6"/>
  <c r="F14" i="6"/>
  <c r="F15" i="6"/>
  <c r="F16" i="6"/>
  <c r="F17" i="6"/>
  <c r="F18" i="6"/>
  <c r="F19" i="6"/>
  <c r="F20" i="6"/>
  <c r="F21" i="6"/>
  <c r="F22" i="6"/>
  <c r="F23" i="6"/>
  <c r="F24" i="6"/>
  <c r="F2" i="4"/>
  <c r="E32" i="1"/>
  <c r="D32" i="1"/>
  <c r="K11" i="5"/>
  <c r="K6" i="5"/>
  <c r="K7" i="5"/>
  <c r="K8" i="5"/>
  <c r="K9" i="5"/>
  <c r="C5" i="5"/>
  <c r="K5" i="5"/>
  <c r="J11" i="5"/>
  <c r="C6" i="5"/>
  <c r="C7" i="5"/>
  <c r="C8" i="5"/>
  <c r="C9" i="5"/>
  <c r="E3" i="1"/>
  <c r="E4" i="1"/>
  <c r="E5" i="1"/>
  <c r="E6" i="1"/>
  <c r="E7" i="1"/>
  <c r="E8" i="1"/>
  <c r="E9" i="1"/>
  <c r="E10" i="1"/>
  <c r="E11" i="1"/>
  <c r="E12" i="1"/>
  <c r="E13" i="1"/>
  <c r="E14" i="1"/>
  <c r="E15" i="1"/>
  <c r="E16" i="1"/>
  <c r="E17" i="1"/>
  <c r="E18" i="1"/>
  <c r="E19" i="1"/>
  <c r="E20" i="1"/>
  <c r="E21" i="1"/>
  <c r="E22" i="1"/>
  <c r="E23" i="1"/>
  <c r="E24" i="1"/>
  <c r="E25" i="1"/>
  <c r="E26" i="1"/>
  <c r="E27" i="1"/>
  <c r="E28" i="1"/>
  <c r="E29" i="1"/>
  <c r="E30" i="1"/>
  <c r="E2" i="1"/>
  <c r="D3" i="1" a="1"/>
  <c r="D3" i="1"/>
  <c r="D4" i="1" a="1"/>
  <c r="D4" i="1"/>
  <c r="D5" i="1" a="1"/>
  <c r="D5" i="1"/>
  <c r="D6" i="1" a="1"/>
  <c r="D6" i="1"/>
  <c r="D7" i="1" a="1"/>
  <c r="D7" i="1"/>
  <c r="D8" i="1" a="1"/>
  <c r="D8" i="1"/>
  <c r="D9" i="1" a="1"/>
  <c r="D9" i="1"/>
  <c r="D10" i="1" a="1"/>
  <c r="D10" i="1"/>
  <c r="D11" i="1" a="1"/>
  <c r="D11" i="1"/>
  <c r="D12" i="1" a="1"/>
  <c r="D12" i="1"/>
  <c r="D13" i="1" a="1"/>
  <c r="D13" i="1"/>
  <c r="D14" i="1" a="1"/>
  <c r="D14" i="1"/>
  <c r="D15" i="1" a="1"/>
  <c r="D15" i="1"/>
  <c r="D16" i="1" a="1"/>
  <c r="D16" i="1"/>
  <c r="D17" i="1" a="1"/>
  <c r="D17" i="1"/>
  <c r="D18" i="1" a="1"/>
  <c r="D18" i="1"/>
  <c r="D19" i="1" a="1"/>
  <c r="D19" i="1"/>
  <c r="D20" i="1" a="1"/>
  <c r="D20" i="1"/>
  <c r="D21" i="1" a="1"/>
  <c r="D21" i="1"/>
  <c r="D22" i="1" a="1"/>
  <c r="D22" i="1"/>
  <c r="D23" i="1" a="1"/>
  <c r="D23" i="1"/>
  <c r="D24" i="1" a="1"/>
  <c r="D24" i="1"/>
  <c r="D25" i="1" a="1"/>
  <c r="D25" i="1"/>
  <c r="D26" i="1" a="1"/>
  <c r="D26" i="1"/>
  <c r="D27" i="1" a="1"/>
  <c r="D27" i="1"/>
  <c r="D28" i="1" a="1"/>
  <c r="D28" i="1"/>
  <c r="D29" i="1" a="1"/>
  <c r="D29" i="1"/>
  <c r="D30" i="1" a="1"/>
  <c r="D30" i="1"/>
  <c r="D2" i="1" a="1"/>
  <c r="D2" i="1"/>
  <c r="G3" i="4"/>
  <c r="G4" i="4"/>
  <c r="G5" i="4"/>
  <c r="G6" i="4"/>
  <c r="G7" i="4"/>
  <c r="G8" i="4"/>
  <c r="G9" i="4"/>
  <c r="G10" i="4"/>
  <c r="G11" i="4"/>
  <c r="G12" i="4"/>
  <c r="G13" i="4"/>
  <c r="G14" i="4"/>
  <c r="G15" i="4"/>
  <c r="G16" i="4"/>
  <c r="G17" i="4"/>
  <c r="G18" i="4"/>
  <c r="G19" i="4"/>
  <c r="G20" i="4"/>
  <c r="G21" i="4"/>
  <c r="G22" i="4"/>
  <c r="G23" i="4"/>
  <c r="G2" i="4"/>
  <c r="F3" i="4"/>
  <c r="F4" i="4"/>
  <c r="F5" i="4"/>
  <c r="F6" i="4"/>
  <c r="F7" i="4"/>
  <c r="F8" i="4"/>
  <c r="F9" i="4"/>
  <c r="F10" i="4"/>
  <c r="F11" i="4"/>
  <c r="F12" i="4"/>
  <c r="F13" i="4"/>
  <c r="F14" i="4"/>
  <c r="F15" i="4"/>
  <c r="F16" i="4"/>
  <c r="F17" i="4"/>
  <c r="F18" i="4"/>
  <c r="F19" i="4"/>
  <c r="F20" i="4"/>
  <c r="F21" i="4"/>
  <c r="F22" i="4"/>
  <c r="F23" i="4"/>
  <c r="L2" i="3"/>
  <c r="K2" i="3"/>
  <c r="C11" i="5"/>
  <c r="K3" i="3"/>
  <c r="L3" i="3"/>
  <c r="K4" i="3"/>
  <c r="L4" i="3"/>
  <c r="K5" i="3"/>
  <c r="L5" i="3"/>
  <c r="K6" i="3"/>
  <c r="L6" i="3"/>
  <c r="K7" i="3"/>
  <c r="L7" i="3"/>
  <c r="K8" i="3"/>
  <c r="L8" i="3"/>
  <c r="K9" i="3"/>
  <c r="L9" i="3"/>
  <c r="I19" i="19"/>
  <c r="I9" i="3"/>
  <c r="J9" i="3"/>
  <c r="M9" i="3"/>
  <c r="N9" i="3"/>
  <c r="G13" i="18"/>
  <c r="I18" i="19"/>
  <c r="I17" i="19"/>
  <c r="I16" i="19"/>
  <c r="I15" i="19"/>
  <c r="I7" i="19"/>
  <c r="I8" i="19"/>
  <c r="I9" i="19"/>
  <c r="I10" i="19"/>
  <c r="I11" i="19"/>
  <c r="I12" i="19"/>
  <c r="I13" i="19"/>
  <c r="I6" i="19"/>
  <c r="H7" i="19"/>
  <c r="H8" i="19"/>
  <c r="H9" i="19"/>
  <c r="H10" i="19"/>
  <c r="H11" i="19"/>
  <c r="H12" i="19"/>
  <c r="H13" i="19"/>
  <c r="H6" i="19"/>
  <c r="M3" i="3"/>
  <c r="N3" i="3"/>
  <c r="M4" i="3"/>
  <c r="N4" i="3"/>
  <c r="M5" i="3"/>
  <c r="N5" i="3"/>
  <c r="M6" i="3"/>
  <c r="N6" i="3"/>
  <c r="M7" i="3"/>
  <c r="N7" i="3"/>
  <c r="M8" i="3"/>
  <c r="N8" i="3"/>
  <c r="N2" i="3"/>
  <c r="M2" i="3"/>
  <c r="J3" i="3"/>
  <c r="J4" i="3"/>
  <c r="J5" i="3"/>
  <c r="J6" i="3"/>
  <c r="J7" i="3"/>
  <c r="J8" i="3"/>
  <c r="J2" i="3"/>
  <c r="I3" i="3"/>
  <c r="I4" i="3"/>
  <c r="I5" i="3"/>
  <c r="I6" i="3"/>
  <c r="I7" i="3"/>
  <c r="I8" i="3"/>
  <c r="I2" i="3"/>
  <c r="D6" i="5" l="1"/>
  <c r="D7" i="5"/>
  <c r="D8" i="5"/>
  <c r="D9" i="5"/>
  <c r="D5" i="5"/>
  <c r="D11" i="5" s="1"/>
  <c r="C5" i="18"/>
  <c r="C6" i="18"/>
  <c r="C7" i="18"/>
  <c r="C8" i="18"/>
  <c r="C9" i="18"/>
  <c r="C10" i="18"/>
  <c r="C11" i="18"/>
  <c r="C4" i="18"/>
  <c r="E84" i="17"/>
  <c r="D84" i="17"/>
  <c r="C84" i="17"/>
  <c r="B84" i="17"/>
  <c r="F83" i="17"/>
  <c r="F82" i="17"/>
  <c r="F81" i="17"/>
  <c r="F80" i="17"/>
  <c r="F79" i="17"/>
  <c r="E71" i="17"/>
  <c r="D71" i="17"/>
  <c r="C71" i="17"/>
  <c r="B71" i="17"/>
  <c r="E59" i="17"/>
  <c r="D59" i="17"/>
  <c r="C59" i="17"/>
  <c r="B59" i="17"/>
  <c r="F47" i="17"/>
  <c r="E47" i="17"/>
  <c r="D47" i="17"/>
  <c r="C47" i="17"/>
  <c r="B47" i="17"/>
  <c r="E35" i="17"/>
  <c r="D35" i="17"/>
  <c r="C35" i="17"/>
  <c r="B35" i="17"/>
  <c r="E25" i="17"/>
  <c r="D25" i="17"/>
  <c r="C25" i="17"/>
  <c r="B25" i="17"/>
  <c r="E7" i="17"/>
  <c r="D7" i="17"/>
  <c r="C7" i="17"/>
  <c r="B7" i="17"/>
  <c r="F7" i="17" s="1"/>
  <c r="F6" i="17"/>
  <c r="F5" i="17"/>
  <c r="F4" i="17"/>
  <c r="F3" i="17"/>
  <c r="F2" i="17"/>
  <c r="C1" i="13"/>
  <c r="B1" i="13" s="1"/>
  <c r="B8" i="9"/>
  <c r="B8" i="12"/>
  <c r="B8" i="11"/>
  <c r="B8" i="10"/>
  <c r="B8" i="8"/>
  <c r="B8" i="13"/>
  <c r="G9" i="3"/>
  <c r="H9" i="3"/>
  <c r="F9" i="3"/>
  <c r="E9" i="3"/>
  <c r="D9" i="3"/>
  <c r="C9" i="3"/>
  <c r="B9" i="3"/>
  <c r="B11" i="5"/>
  <c r="H7" i="3"/>
  <c r="H6" i="3"/>
  <c r="H5" i="3"/>
  <c r="H4" i="3"/>
  <c r="H3" i="3"/>
  <c r="H2" i="3"/>
  <c r="J62" i="17" l="1"/>
  <c r="K62" i="17"/>
  <c r="L62" i="17"/>
  <c r="G83" i="17"/>
  <c r="G82" i="17"/>
  <c r="G80" i="17"/>
  <c r="F4" i="18"/>
  <c r="D4" i="18"/>
  <c r="F11" i="18"/>
  <c r="D11" i="18"/>
  <c r="F10" i="18"/>
  <c r="D10" i="18"/>
  <c r="F9" i="18"/>
  <c r="D9" i="18"/>
  <c r="F8" i="18"/>
  <c r="D8" i="18"/>
  <c r="F7" i="18"/>
  <c r="D7" i="18"/>
  <c r="F6" i="18"/>
  <c r="D6" i="18"/>
  <c r="F5" i="18"/>
  <c r="G5" i="18" s="1"/>
  <c r="D5" i="18"/>
  <c r="G79" i="17"/>
  <c r="G81" i="17"/>
  <c r="G6" i="18" l="1"/>
  <c r="G7" i="18"/>
  <c r="G8" i="18"/>
  <c r="G9" i="18"/>
  <c r="G10" i="18"/>
  <c r="G11" i="18"/>
  <c r="F13" i="18"/>
  <c r="G4" i="18"/>
  <c r="B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Francoise Toussaint</author>
  </authors>
  <commentList>
    <comment ref="I1" authorId="0" shapeId="0" xr:uid="{D92986E7-6F00-4115-AE5E-3D1F2FEBB4D8}">
      <text>
        <r>
          <rPr>
            <b/>
            <sz val="9"/>
            <color indexed="81"/>
            <rFont val="Tahoma"/>
            <family val="2"/>
          </rPr>
          <t>Francoise Toussaint:</t>
        </r>
        <r>
          <rPr>
            <sz val="9"/>
            <color indexed="81"/>
            <rFont val="Tahoma"/>
            <family val="2"/>
          </rPr>
          <t xml:space="preserve">
la médiane d'un ensemble de valeurs (échantillon, population, distribution de probabilités) est une valeur x qui permet de couper l'ensemble des valeurs en deux parties égales : mettant d'un côté une moitié des valeurs, qui sont toutes inférieures ou égales à x et de l'autre côté l'autre moitié des valeurs, qui sont toutes supérieures ou égales à x (s'il y a un nombre impair de valeurs, la valeur centrale sera mise des deux côtés). Intuitivement, on peut dire que la médiane est le point milieu de l'ensemble1, qu'elle divise en deux moitiés. C'est un indicateur de tendance centrale de la série. On peut déterminer une médiane pour un ensemble de valeurs non numériques1 pour autant qu'on puisse choisir un critère d'ordonnancement de ces valeurs.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<sst xmlns="http://schemas.openxmlformats.org/spreadsheetml/2006/main" count="443" uniqueCount="215">
  <si>
    <t>Articles</t>
  </si>
  <si>
    <t>Prix d'achat HT</t>
  </si>
  <si>
    <t>Prix de vente HT</t>
  </si>
  <si>
    <t>Marge</t>
  </si>
  <si>
    <t>Qté</t>
  </si>
  <si>
    <t>Bénéfice</t>
  </si>
  <si>
    <t>part du bénéfice en %</t>
  </si>
  <si>
    <t>Médailles</t>
  </si>
  <si>
    <t>Coupes</t>
  </si>
  <si>
    <t>Portes clefs</t>
  </si>
  <si>
    <t>Magnets</t>
  </si>
  <si>
    <t>Stylos</t>
  </si>
  <si>
    <t>Pins</t>
  </si>
  <si>
    <t>Drapeau</t>
  </si>
  <si>
    <t>Chapeau</t>
  </si>
  <si>
    <t>Bénéfice total</t>
  </si>
  <si>
    <t>JANUARY</t>
  </si>
  <si>
    <t>FEBRUARY</t>
  </si>
  <si>
    <t>MARCH</t>
  </si>
  <si>
    <t>APRIL</t>
  </si>
  <si>
    <t>MAY</t>
  </si>
  <si>
    <t>JUNE</t>
  </si>
  <si>
    <t>TOTAL</t>
  </si>
  <si>
    <t>MEDIANE</t>
  </si>
  <si>
    <t>MOYENNE</t>
  </si>
  <si>
    <t>ARRONDI SUP</t>
  </si>
  <si>
    <t>ARRONDI INF</t>
  </si>
  <si>
    <t>MAX</t>
  </si>
  <si>
    <t>MIN</t>
  </si>
  <si>
    <t>Roanne</t>
  </si>
  <si>
    <t>Rene</t>
  </si>
  <si>
    <t>Isabelle</t>
  </si>
  <si>
    <t>Patrick</t>
  </si>
  <si>
    <t>Jean rene</t>
  </si>
  <si>
    <t>Robert</t>
  </si>
  <si>
    <t>Roger</t>
  </si>
  <si>
    <t>Club</t>
  </si>
  <si>
    <t>FITNESS ONE</t>
  </si>
  <si>
    <t>Prix heure</t>
  </si>
  <si>
    <t>salle</t>
  </si>
  <si>
    <t>1=1h</t>
  </si>
  <si>
    <t>sauna ou hammam</t>
  </si>
  <si>
    <t>0.5=1/2h</t>
  </si>
  <si>
    <t>coach</t>
  </si>
  <si>
    <t>Carte</t>
  </si>
  <si>
    <t>Nom</t>
  </si>
  <si>
    <t>Jour</t>
  </si>
  <si>
    <t>Nbre d'h 
salle</t>
  </si>
  <si>
    <t>Nbre d'h 
hammam</t>
  </si>
  <si>
    <t>Nbre d'h 
sauna</t>
  </si>
  <si>
    <t>Nbre d'h 
coach</t>
  </si>
  <si>
    <t>Total sauna + hammam</t>
  </si>
  <si>
    <t>Facturation</t>
  </si>
  <si>
    <t>J001</t>
  </si>
  <si>
    <t>Jean</t>
  </si>
  <si>
    <t>lundi</t>
  </si>
  <si>
    <t>B001</t>
  </si>
  <si>
    <t xml:space="preserve">Bernard </t>
  </si>
  <si>
    <t>P003</t>
  </si>
  <si>
    <t xml:space="preserve">Pierre </t>
  </si>
  <si>
    <t>mercredi</t>
  </si>
  <si>
    <t>R001</t>
  </si>
  <si>
    <t xml:space="preserve">Rachid </t>
  </si>
  <si>
    <t>mardi</t>
  </si>
  <si>
    <t>D002</t>
  </si>
  <si>
    <t xml:space="preserve">David </t>
  </si>
  <si>
    <t>D003</t>
  </si>
  <si>
    <t>Daniel</t>
  </si>
  <si>
    <t>jeudi</t>
  </si>
  <si>
    <t>C003</t>
  </si>
  <si>
    <t>Claire</t>
  </si>
  <si>
    <t>vendredi</t>
  </si>
  <si>
    <t>I001</t>
  </si>
  <si>
    <t>Total de la semaine</t>
  </si>
  <si>
    <t>Maximum de facturation</t>
  </si>
  <si>
    <t>Minimum de facturation</t>
  </si>
  <si>
    <t>Moyenne de facturation</t>
  </si>
  <si>
    <t>Moyenne arrondie</t>
  </si>
  <si>
    <t>Supposons que vous disposez de la base de données suivante sur Excel :</t>
  </si>
  <si>
    <t>limite pour doubler la comission</t>
  </si>
  <si>
    <t xml:space="preserve">Employé </t>
  </si>
  <si>
    <t xml:space="preserve">Ventes </t>
  </si>
  <si>
    <t>Commission</t>
  </si>
  <si>
    <t>% commission</t>
  </si>
  <si>
    <t>Pour  motiver  vos  vendeurs,  vous  avez  décidé  de  doubler  la  commission  que  touche</t>
  </si>
  <si>
    <t>chaque vendeur pour toutes les ventes qui dépassent les 500 pièces. La vente est payée 7 Euros.</t>
  </si>
  <si>
    <t>Une fois doublée elle sera donc payée 14 Euros.</t>
  </si>
  <si>
    <t>Créez ce tableau de façon à ce que la commission soit calculée automatiquement en</t>
  </si>
  <si>
    <t>fonction des ventes.</t>
  </si>
  <si>
    <t>Clients</t>
  </si>
  <si>
    <t>Montant Commande</t>
  </si>
  <si>
    <t>Escompte</t>
  </si>
  <si>
    <t>Montant Escompte</t>
  </si>
  <si>
    <t>vérif</t>
  </si>
  <si>
    <t>Altier</t>
  </si>
  <si>
    <t>Point 20</t>
  </si>
  <si>
    <t>Robinson</t>
  </si>
  <si>
    <t>Au rayon clair</t>
  </si>
  <si>
    <t>Plus et encore</t>
  </si>
  <si>
    <t>Chez Ives</t>
  </si>
  <si>
    <t>Croisier</t>
  </si>
  <si>
    <t>Weldone</t>
  </si>
  <si>
    <t>seuil :</t>
  </si>
  <si>
    <t>seuil2:</t>
  </si>
  <si>
    <t>Matricule</t>
  </si>
  <si>
    <t>Poste</t>
  </si>
  <si>
    <t>Qualification</t>
  </si>
  <si>
    <t>Salaire</t>
  </si>
  <si>
    <t>Montant de la prime</t>
  </si>
  <si>
    <t xml:space="preserve">Salaire de décembre </t>
  </si>
  <si>
    <t>Charles</t>
  </si>
  <si>
    <t>Directeur Production</t>
  </si>
  <si>
    <t>Cadre</t>
  </si>
  <si>
    <t>Secretaire Commercial</t>
  </si>
  <si>
    <t>Employe</t>
  </si>
  <si>
    <t>Responaible Informatique</t>
  </si>
  <si>
    <t>Agent de maitrise</t>
  </si>
  <si>
    <t>Frederic</t>
  </si>
  <si>
    <t>Responsable Paye</t>
  </si>
  <si>
    <t>Louis</t>
  </si>
  <si>
    <t>Responsable Comptable</t>
  </si>
  <si>
    <t>Francoise</t>
  </si>
  <si>
    <t>Secretaire comptable</t>
  </si>
  <si>
    <t>Cesar</t>
  </si>
  <si>
    <t>Secretaire RH</t>
  </si>
  <si>
    <t>Gaspard</t>
  </si>
  <si>
    <t>Chef Comptable</t>
  </si>
  <si>
    <t>qualification requise</t>
  </si>
  <si>
    <t>Remi</t>
  </si>
  <si>
    <t>Chef du Personnel</t>
  </si>
  <si>
    <t>montant de la prime si qualifié</t>
  </si>
  <si>
    <t>Valerie</t>
  </si>
  <si>
    <t>Receptionniste</t>
  </si>
  <si>
    <t>montant de la prime si non qualifié</t>
  </si>
  <si>
    <t>Fred</t>
  </si>
  <si>
    <t>Courrier</t>
  </si>
  <si>
    <t>Marc</t>
  </si>
  <si>
    <t>Responsable machines</t>
  </si>
  <si>
    <t>Barbara</t>
  </si>
  <si>
    <t>Directrice Financiere</t>
  </si>
  <si>
    <t>Emilie</t>
  </si>
  <si>
    <t>Directrice Marketing</t>
  </si>
  <si>
    <t>Jenny</t>
  </si>
  <si>
    <t>Secretaire Informatique</t>
  </si>
  <si>
    <t>Lucien</t>
  </si>
  <si>
    <t>Assistant Production</t>
  </si>
  <si>
    <t>Directeur Commercial</t>
  </si>
  <si>
    <t>Assistante Commerciale</t>
  </si>
  <si>
    <t>Agent Commercial</t>
  </si>
  <si>
    <t>Ref.</t>
  </si>
  <si>
    <t>Prix HT / kg</t>
  </si>
  <si>
    <t>Taux de TVA</t>
  </si>
  <si>
    <t>Montant de TVA</t>
  </si>
  <si>
    <t>Prix TTC</t>
  </si>
  <si>
    <t>AT001</t>
  </si>
  <si>
    <t>XY205</t>
  </si>
  <si>
    <t>KQ452</t>
  </si>
  <si>
    <t>AD412</t>
  </si>
  <si>
    <t>UK587</t>
  </si>
  <si>
    <t>ME320</t>
  </si>
  <si>
    <t>UV002</t>
  </si>
  <si>
    <t>EI421</t>
  </si>
  <si>
    <t>PI890</t>
  </si>
  <si>
    <t>GY678</t>
  </si>
  <si>
    <t>FR546</t>
  </si>
  <si>
    <t>DE378</t>
  </si>
  <si>
    <t>VG295</t>
  </si>
  <si>
    <t>DE233</t>
  </si>
  <si>
    <t>VF233</t>
  </si>
  <si>
    <t>BG567</t>
  </si>
  <si>
    <t>HN988</t>
  </si>
  <si>
    <t>NH988</t>
  </si>
  <si>
    <t>DR322</t>
  </si>
  <si>
    <t>GT455</t>
  </si>
  <si>
    <t>BJ980</t>
  </si>
  <si>
    <t>DR277</t>
  </si>
  <si>
    <t>QA298</t>
  </si>
  <si>
    <t>XA316</t>
  </si>
  <si>
    <t>ZX98</t>
  </si>
  <si>
    <t>FT388</t>
  </si>
  <si>
    <t>LK775</t>
  </si>
  <si>
    <t>BN532</t>
  </si>
  <si>
    <t>Moyenne</t>
  </si>
  <si>
    <t>CALCUL SALAIRE DECEMBRE</t>
  </si>
  <si>
    <t>Prime fin d'annee</t>
  </si>
  <si>
    <t>Absences</t>
  </si>
  <si>
    <t>Bonus</t>
  </si>
  <si>
    <t>CA HT</t>
  </si>
  <si>
    <t>Prime/CA HT</t>
  </si>
  <si>
    <t>Salaire Total Decembre</t>
  </si>
  <si>
    <t>seuil absence</t>
  </si>
  <si>
    <t>prime si 5 absences ou plus</t>
  </si>
  <si>
    <t>prime si moins de 5 absences</t>
  </si>
  <si>
    <t>pourcentage du CA en prime :</t>
  </si>
  <si>
    <t>semaine</t>
  </si>
  <si>
    <t>Nbre d'interventions</t>
  </si>
  <si>
    <t>Lundi</t>
  </si>
  <si>
    <t>Mardi</t>
  </si>
  <si>
    <t>Mercredi</t>
  </si>
  <si>
    <t xml:space="preserve">Jeudi </t>
  </si>
  <si>
    <t>Vendredi</t>
  </si>
  <si>
    <t>Total</t>
  </si>
  <si>
    <t>Dentiste</t>
  </si>
  <si>
    <t>Nord Est</t>
  </si>
  <si>
    <t>Nord Ouest</t>
  </si>
  <si>
    <t>Sud Est</t>
  </si>
  <si>
    <t>Sud Ouest</t>
  </si>
  <si>
    <t>Centre</t>
  </si>
  <si>
    <t>total</t>
  </si>
  <si>
    <t>ensemble des ventes sur la periode</t>
  </si>
  <si>
    <t>graphique</t>
  </si>
  <si>
    <t>evolution des ventes dans le nord est</t>
  </si>
  <si>
    <t>repartition des ventes en 2015</t>
  </si>
  <si>
    <t>repartition des ventes en 2018</t>
  </si>
  <si>
    <t>evolution des ventes de toutes le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</si>
</sst>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1]"/>
    <numFmt numFmtId="165" formatCode="yyyy\-mm\-dd;@"/>
    <numFmt numFmtId="166" formatCode="[$$-C09]#,##0.00"/>
    <numFmt numFmtId="167" formatCode="0.0%"/>
  </numFmts>
  <fonts count="12">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i/>
      <sz val="11"/>
      <color theme="0"/>
      <name val="Calibri"/>
      <family val="2"/>
      <scheme val="minor"/>
    </font>
    <font>
      <sz val="9"/>
      <color indexed="81"/>
      <name val="Tahoma"/>
      <family val="2"/>
    </font>
    <font>
      <b/>
      <sz val="9"/>
      <color indexed="81"/>
      <name val="Tahoma"/>
      <family val="2"/>
    </font>
    <font>
      <i/>
      <sz val="11"/>
      <color theme="1"/>
      <name val="Calibri"/>
      <family val="2"/>
      <scheme val="minor"/>
    </font>
    <font>
      <sz val="14"/>
      <color theme="0"/>
      <name val="Calibri"/>
      <family val="2"/>
      <scheme val="minor"/>
    </font>
    <font>
      <b/>
      <sz val="12"/>
      <color theme="0"/>
      <name val="Calibri"/>
      <family val="2"/>
      <scheme val="minor"/>
    </font>
    <font>
      <b/>
      <i/>
      <sz val="11"/>
      <color rgb="FFFFFFFF"/>
      <name val="Calibri"/>
      <family val="2"/>
      <scheme val="minor"/>
    </font>
  </fonts>
  <fills count="13">
    <fill>
      <patternFill patternType="none"/>
    </fill>
    <fill>
      <patternFill patternType="gray125"/>
    </fill>
    <fill>
      <patternFill patternType="solid">
        <fgColor theme="7" tint="-0.249977111117893"/>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rgb="FFC6E0B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85">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right" vertical="top" wrapText="1"/>
    </xf>
    <xf numFmtId="0" fontId="3" fillId="2" borderId="0" xfId="0" applyFont="1" applyFill="1" applyAlignment="1">
      <alignment vertical="top"/>
    </xf>
    <xf numFmtId="2" fontId="0" fillId="0" borderId="0" xfId="0" applyNumberFormat="1" applyAlignment="1">
      <alignment vertical="top"/>
    </xf>
    <xf numFmtId="0" fontId="0" fillId="0" borderId="0" xfId="0" applyAlignment="1">
      <alignment vertical="top"/>
    </xf>
    <xf numFmtId="10" fontId="0" fillId="0" borderId="0" xfId="1" applyNumberFormat="1" applyFont="1" applyAlignment="1">
      <alignment vertical="top"/>
    </xf>
    <xf numFmtId="0" fontId="0" fillId="0" borderId="0" xfId="0" applyAlignment="1">
      <alignment horizontal="right"/>
    </xf>
    <xf numFmtId="4" fontId="0" fillId="0" borderId="0" xfId="0" applyNumberFormat="1"/>
    <xf numFmtId="0" fontId="4" fillId="0" borderId="1" xfId="0" applyFont="1" applyBorder="1" applyAlignment="1">
      <alignment horizontal="right"/>
    </xf>
    <xf numFmtId="0" fontId="3" fillId="3" borderId="1" xfId="0" applyFont="1" applyFill="1" applyBorder="1" applyAlignment="1">
      <alignment horizontal="right"/>
    </xf>
    <xf numFmtId="0" fontId="3" fillId="6" borderId="1" xfId="0" applyFont="1" applyFill="1" applyBorder="1"/>
    <xf numFmtId="3" fontId="3" fillId="6" borderId="1" xfId="0" applyNumberFormat="1" applyFont="1" applyFill="1" applyBorder="1"/>
    <xf numFmtId="3" fontId="0" fillId="4" borderId="1" xfId="0" applyNumberFormat="1" applyFill="1" applyBorder="1"/>
    <xf numFmtId="3" fontId="4" fillId="4" borderId="1" xfId="0" applyNumberFormat="1" applyFont="1" applyFill="1" applyBorder="1"/>
    <xf numFmtId="3" fontId="0" fillId="0" borderId="0" xfId="0" applyNumberFormat="1"/>
    <xf numFmtId="3" fontId="0" fillId="5" borderId="1" xfId="0" applyNumberFormat="1" applyFill="1" applyBorder="1"/>
    <xf numFmtId="3" fontId="4" fillId="5" borderId="1" xfId="0" applyNumberFormat="1" applyFont="1" applyFill="1" applyBorder="1"/>
    <xf numFmtId="0" fontId="3" fillId="7" borderId="2" xfId="0" applyFont="1" applyFill="1" applyBorder="1"/>
    <xf numFmtId="0" fontId="3" fillId="2" borderId="2" xfId="0" applyFont="1" applyFill="1" applyBorder="1" applyAlignment="1">
      <alignment horizontal="right"/>
    </xf>
    <xf numFmtId="0" fontId="3" fillId="6" borderId="2" xfId="0" applyFont="1" applyFill="1" applyBorder="1" applyAlignment="1">
      <alignment horizontal="right"/>
    </xf>
    <xf numFmtId="0" fontId="3" fillId="7" borderId="0" xfId="0" applyFont="1" applyFill="1"/>
    <xf numFmtId="0" fontId="3" fillId="2" borderId="0" xfId="0" applyFont="1" applyFill="1"/>
    <xf numFmtId="0" fontId="3" fillId="6" borderId="0" xfId="0" applyFont="1" applyFill="1"/>
    <xf numFmtId="0" fontId="3" fillId="2" borderId="2" xfId="0" applyFont="1" applyFill="1" applyBorder="1"/>
    <xf numFmtId="3" fontId="3" fillId="2" borderId="0" xfId="0" applyNumberFormat="1" applyFont="1" applyFill="1"/>
    <xf numFmtId="0" fontId="2" fillId="2" borderId="0" xfId="0" applyFont="1" applyFill="1"/>
    <xf numFmtId="0" fontId="5" fillId="2" borderId="0" xfId="0" applyFont="1" applyFill="1"/>
    <xf numFmtId="0" fontId="2" fillId="8" borderId="0" xfId="0" applyFont="1" applyFill="1" applyAlignment="1">
      <alignment horizontal="right"/>
    </xf>
    <xf numFmtId="0" fontId="3" fillId="8" borderId="0" xfId="0" applyFont="1" applyFill="1"/>
    <xf numFmtId="3" fontId="2" fillId="8" borderId="0" xfId="0" applyNumberFormat="1" applyFont="1" applyFill="1"/>
    <xf numFmtId="0" fontId="2" fillId="6" borderId="0" xfId="0" applyFont="1" applyFill="1" applyAlignment="1">
      <alignment horizontal="right"/>
    </xf>
    <xf numFmtId="0" fontId="2" fillId="6" borderId="0" xfId="0" applyFont="1" applyFill="1"/>
    <xf numFmtId="10" fontId="0" fillId="0" borderId="0" xfId="1" applyNumberFormat="1" applyFont="1"/>
    <xf numFmtId="0" fontId="3" fillId="9" borderId="0" xfId="0" applyFont="1" applyFill="1"/>
    <xf numFmtId="10" fontId="3" fillId="9" borderId="0" xfId="1" applyNumberFormat="1" applyFont="1" applyFill="1"/>
    <xf numFmtId="3" fontId="0" fillId="4" borderId="3" xfId="0" applyNumberFormat="1" applyFill="1" applyBorder="1"/>
    <xf numFmtId="3" fontId="4" fillId="4" borderId="3" xfId="0" applyNumberFormat="1" applyFont="1" applyFill="1" applyBorder="1"/>
    <xf numFmtId="0" fontId="3" fillId="6" borderId="0" xfId="0" applyFont="1" applyFill="1" applyAlignment="1">
      <alignment horizontal="center"/>
    </xf>
    <xf numFmtId="0" fontId="0" fillId="6" borderId="0" xfId="0" applyFill="1"/>
    <xf numFmtId="3" fontId="3" fillId="6" borderId="0" xfId="0" applyNumberFormat="1" applyFont="1" applyFill="1" applyAlignment="1">
      <alignment horizontal="right"/>
    </xf>
    <xf numFmtId="0" fontId="3" fillId="9" borderId="0" xfId="0" applyFont="1" applyFill="1" applyAlignment="1">
      <alignment horizontal="right"/>
    </xf>
    <xf numFmtId="0" fontId="3" fillId="6" borderId="0" xfId="0" applyFont="1" applyFill="1" applyAlignment="1">
      <alignment horizontal="center" vertical="top"/>
    </xf>
    <xf numFmtId="0" fontId="3" fillId="6" borderId="0" xfId="0" applyFont="1" applyFill="1" applyAlignment="1">
      <alignment vertical="top"/>
    </xf>
    <xf numFmtId="3" fontId="3" fillId="6" borderId="0" xfId="0" applyNumberFormat="1" applyFont="1" applyFill="1" applyAlignment="1">
      <alignment horizontal="right" vertical="top"/>
    </xf>
    <xf numFmtId="0" fontId="3" fillId="6" borderId="0" xfId="0" applyFont="1" applyFill="1" applyAlignment="1">
      <alignment horizontal="right" vertical="top" wrapText="1"/>
    </xf>
    <xf numFmtId="0" fontId="3" fillId="6" borderId="0" xfId="0" applyFont="1" applyFill="1" applyAlignment="1">
      <alignment horizontal="right" vertical="top"/>
    </xf>
    <xf numFmtId="0" fontId="8" fillId="0" borderId="0" xfId="0" applyFont="1"/>
    <xf numFmtId="0" fontId="5" fillId="4" borderId="0" xfId="0" applyFont="1" applyFill="1" applyAlignment="1">
      <alignment horizontal="right" vertical="top"/>
    </xf>
    <xf numFmtId="0" fontId="8" fillId="4" borderId="0" xfId="0" applyFont="1" applyFill="1"/>
    <xf numFmtId="3" fontId="8" fillId="4" borderId="0" xfId="0" applyNumberFormat="1" applyFont="1" applyFill="1"/>
    <xf numFmtId="3" fontId="0" fillId="6" borderId="0" xfId="0" applyNumberFormat="1" applyFill="1"/>
    <xf numFmtId="0" fontId="8" fillId="6" borderId="0" xfId="0" applyFont="1" applyFill="1"/>
    <xf numFmtId="9" fontId="3" fillId="6" borderId="0" xfId="1" applyFont="1" applyFill="1"/>
    <xf numFmtId="0" fontId="9" fillId="6" borderId="0" xfId="0" applyFont="1" applyFill="1" applyAlignment="1"/>
    <xf numFmtId="164" fontId="0" fillId="0" borderId="0" xfId="0" applyNumberFormat="1"/>
    <xf numFmtId="164" fontId="0" fillId="0" borderId="0" xfId="0" applyNumberFormat="1" applyAlignment="1">
      <alignment horizontal="right"/>
    </xf>
    <xf numFmtId="9" fontId="0" fillId="0" borderId="0" xfId="0" applyNumberFormat="1"/>
    <xf numFmtId="0" fontId="2" fillId="10" borderId="0" xfId="0" applyFont="1" applyFill="1" applyAlignment="1">
      <alignment horizontal="left" vertical="center" wrapText="1"/>
    </xf>
    <xf numFmtId="0" fontId="2" fillId="10" borderId="0" xfId="0" applyFont="1" applyFill="1" applyAlignment="1">
      <alignment horizontal="right" vertical="center" wrapText="1"/>
    </xf>
    <xf numFmtId="0" fontId="3" fillId="10" borderId="0" xfId="0" applyFont="1" applyFill="1"/>
    <xf numFmtId="0" fontId="3" fillId="9" borderId="0" xfId="0" applyFont="1" applyFill="1" applyAlignment="1">
      <alignment vertical="top"/>
    </xf>
    <xf numFmtId="0" fontId="3" fillId="9" borderId="0" xfId="0" applyFont="1" applyFill="1" applyAlignment="1">
      <alignment horizontal="right" vertical="top" wrapText="1"/>
    </xf>
    <xf numFmtId="165" fontId="0" fillId="0" borderId="0" xfId="0" applyNumberFormat="1"/>
    <xf numFmtId="0" fontId="10" fillId="10" borderId="0" xfId="0" applyFont="1" applyFill="1"/>
    <xf numFmtId="0" fontId="10" fillId="10" borderId="0" xfId="0" applyFont="1" applyFill="1" applyAlignment="1">
      <alignment horizontal="left"/>
    </xf>
    <xf numFmtId="10" fontId="0" fillId="0" borderId="0" xfId="0" applyNumberFormat="1"/>
    <xf numFmtId="166" fontId="0" fillId="0" borderId="0" xfId="0" applyNumberFormat="1"/>
    <xf numFmtId="166" fontId="3" fillId="9" borderId="0" xfId="0" applyNumberFormat="1" applyFont="1" applyFill="1"/>
    <xf numFmtId="0" fontId="0" fillId="0" borderId="0" xfId="0" applyAlignment="1">
      <alignment horizontal="center" vertical="top" wrapText="1"/>
    </xf>
    <xf numFmtId="0" fontId="3" fillId="11" borderId="0" xfId="0" applyFont="1" applyFill="1" applyAlignment="1">
      <alignment horizontal="left" vertical="top" wrapText="1"/>
    </xf>
    <xf numFmtId="0" fontId="3" fillId="11" borderId="0" xfId="0" applyFont="1" applyFill="1" applyAlignment="1">
      <alignment horizontal="right" vertical="top" wrapText="1"/>
    </xf>
    <xf numFmtId="0" fontId="3" fillId="11" borderId="0" xfId="0" applyFont="1" applyFill="1"/>
    <xf numFmtId="4" fontId="3" fillId="11" borderId="0" xfId="0" applyNumberFormat="1" applyFont="1" applyFill="1"/>
    <xf numFmtId="10" fontId="2" fillId="9" borderId="0" xfId="1" applyNumberFormat="1" applyFont="1" applyFill="1"/>
    <xf numFmtId="0" fontId="0" fillId="12" borderId="0" xfId="0" applyFill="1"/>
    <xf numFmtId="0" fontId="11" fillId="12" borderId="0" xfId="0" applyFont="1" applyFill="1"/>
    <xf numFmtId="4" fontId="0" fillId="4" borderId="3" xfId="0" applyNumberFormat="1" applyFill="1" applyBorder="1"/>
    <xf numFmtId="4" fontId="0" fillId="5" borderId="1" xfId="0" applyNumberFormat="1" applyFill="1" applyBorder="1"/>
    <xf numFmtId="4" fontId="0" fillId="4" borderId="1" xfId="0" applyNumberFormat="1" applyFill="1" applyBorder="1"/>
    <xf numFmtId="4" fontId="3" fillId="6" borderId="1" xfId="0" applyNumberFormat="1" applyFont="1" applyFill="1" applyBorder="1"/>
    <xf numFmtId="0" fontId="3" fillId="12" borderId="0" xfId="0" applyFont="1" applyFill="1" applyAlignment="1">
      <alignment horizontal="center"/>
    </xf>
    <xf numFmtId="0" fontId="0" fillId="0" borderId="0" xfId="0" applyAlignment="1">
      <alignment wrapText="1"/>
    </xf>
    <xf numFmtId="167" fontId="0" fillId="0" borderId="0" xfId="0" applyNumberFormat="1"/>
    <xf numFmtId="9" fontId="2" fillId="10" borderId="0" xfId="0" applyNumberFormat="1" applyFont="1" applyFill="1" applyAlignment="1">
      <alignment horizontal="right" vertical="center"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des ventes en 2018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CD0-4B72-9214-1EDE31628E1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CD0-4B72-9214-1EDE31628E1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D0-4B72-9214-1EDE31628E1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CD0-4B72-9214-1EDE31628E1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CD0-4B72-9214-1EDE31628E1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CD0-4B72-9214-1EDE31628E1C}"/>
              </c:ext>
            </c:extLst>
          </c:dPt>
          <c:cat>
            <c:strRef>
              <c:f>Graphique!$A$42:$A$47</c:f>
              <c:strCache>
                <c:ptCount val="6"/>
                <c:pt idx="0">
                  <c:v>Nord Est</c:v>
                </c:pt>
                <c:pt idx="1">
                  <c:v>Nord Ouest</c:v>
                </c:pt>
                <c:pt idx="2">
                  <c:v>Sud Est</c:v>
                </c:pt>
                <c:pt idx="3">
                  <c:v>Sud Ouest</c:v>
                </c:pt>
                <c:pt idx="4">
                  <c:v>Centre</c:v>
                </c:pt>
                <c:pt idx="5">
                  <c:v>total</c:v>
                </c:pt>
              </c:strCache>
            </c:strRef>
          </c:cat>
          <c:val>
            <c:numRef>
              <c:f>Graphique!$B$42:$B$47</c:f>
              <c:numCache>
                <c:formatCode>#,##0</c:formatCode>
                <c:ptCount val="6"/>
                <c:pt idx="0">
                  <c:v>35600</c:v>
                </c:pt>
                <c:pt idx="1">
                  <c:v>27800</c:v>
                </c:pt>
                <c:pt idx="2">
                  <c:v>38900</c:v>
                </c:pt>
                <c:pt idx="3">
                  <c:v>28900</c:v>
                </c:pt>
                <c:pt idx="4">
                  <c:v>12400</c:v>
                </c:pt>
                <c:pt idx="5">
                  <c:v>143600</c:v>
                </c:pt>
              </c:numCache>
            </c:numRef>
          </c:val>
          <c:extLst>
            <c:ext xmlns:c16="http://schemas.microsoft.com/office/drawing/2014/chart" uri="{C3380CC4-5D6E-409C-BE32-E72D297353CC}">
              <c16:uniqueId val="{00000001-AC1B-453C-BE58-D148A2E8DFD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 des ventes en 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78-4148-AFC4-60EECE4579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78-4148-AFC4-60EECE45794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78-4148-AFC4-60EECE4579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78-4148-AFC4-60EECE4579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78-4148-AFC4-60EECE45794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778-4148-AFC4-60EECE457949}"/>
              </c:ext>
            </c:extLst>
          </c:dPt>
          <c:cat>
            <c:strRef>
              <c:f>Graphique!$A$30:$A$35</c:f>
              <c:strCache>
                <c:ptCount val="6"/>
                <c:pt idx="0">
                  <c:v>Nord Est</c:v>
                </c:pt>
                <c:pt idx="1">
                  <c:v>Nord Ouest</c:v>
                </c:pt>
                <c:pt idx="2">
                  <c:v>Sud Est</c:v>
                </c:pt>
                <c:pt idx="3">
                  <c:v>Sud Ouest</c:v>
                </c:pt>
                <c:pt idx="4">
                  <c:v>Centre</c:v>
                </c:pt>
                <c:pt idx="5">
                  <c:v>total</c:v>
                </c:pt>
              </c:strCache>
            </c:strRef>
          </c:cat>
          <c:val>
            <c:numRef>
              <c:f>Graphique!$B$30:$B$35</c:f>
              <c:numCache>
                <c:formatCode>#,##0</c:formatCode>
                <c:ptCount val="6"/>
                <c:pt idx="0">
                  <c:v>32000</c:v>
                </c:pt>
                <c:pt idx="1">
                  <c:v>24600</c:v>
                </c:pt>
                <c:pt idx="2">
                  <c:v>34500</c:v>
                </c:pt>
                <c:pt idx="3">
                  <c:v>24500</c:v>
                </c:pt>
                <c:pt idx="4">
                  <c:v>12400</c:v>
                </c:pt>
                <c:pt idx="5">
                  <c:v>128000</c:v>
                </c:pt>
              </c:numCache>
            </c:numRef>
          </c:val>
          <c:extLst>
            <c:ext xmlns:c16="http://schemas.microsoft.com/office/drawing/2014/chart" uri="{C3380CC4-5D6E-409C-BE32-E72D297353CC}">
              <c16:uniqueId val="{00000001-D2E4-44A6-A81F-E443D634EE5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Evolution des ventes dans le Nord Est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Graphique!$A$20</c:f>
              <c:strCache>
                <c:ptCount val="1"/>
                <c:pt idx="0">
                  <c:v>Nord Est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Graphique!$B$19:$E$19</c:f>
              <c:numCache>
                <c:formatCode>General</c:formatCode>
                <c:ptCount val="4"/>
                <c:pt idx="0">
                  <c:v>2015</c:v>
                </c:pt>
                <c:pt idx="1">
                  <c:v>2016</c:v>
                </c:pt>
                <c:pt idx="2">
                  <c:v>2017</c:v>
                </c:pt>
                <c:pt idx="3">
                  <c:v>2018</c:v>
                </c:pt>
              </c:numCache>
            </c:numRef>
          </c:cat>
          <c:val>
            <c:numRef>
              <c:f>Graphique!$B$20:$E$20</c:f>
              <c:numCache>
                <c:formatCode>#,##0</c:formatCode>
                <c:ptCount val="4"/>
                <c:pt idx="0">
                  <c:v>32000</c:v>
                </c:pt>
                <c:pt idx="1">
                  <c:v>34500</c:v>
                </c:pt>
                <c:pt idx="2">
                  <c:v>34200</c:v>
                </c:pt>
                <c:pt idx="3">
                  <c:v>35600</c:v>
                </c:pt>
              </c:numCache>
            </c:numRef>
          </c:val>
          <c:smooth val="0"/>
          <c:extLst>
            <c:ext xmlns:c16="http://schemas.microsoft.com/office/drawing/2014/chart" uri="{C3380CC4-5D6E-409C-BE32-E72D297353CC}">
              <c16:uniqueId val="{00000001-4226-4D34-B3D2-54A7F9F284D4}"/>
            </c:ext>
          </c:extLst>
        </c:ser>
        <c:dLbls>
          <c:showLegendKey val="0"/>
          <c:showVal val="0"/>
          <c:showCatName val="0"/>
          <c:showSerName val="0"/>
          <c:showPercent val="0"/>
          <c:showBubbleSize val="0"/>
        </c:dLbls>
        <c:marker val="1"/>
        <c:smooth val="0"/>
        <c:axId val="1522553207"/>
        <c:axId val="1522542807"/>
      </c:lineChart>
      <c:catAx>
        <c:axId val="1522553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542807"/>
        <c:crosses val="autoZero"/>
        <c:auto val="1"/>
        <c:lblAlgn val="ctr"/>
        <c:lblOffset val="100"/>
        <c:noMultiLvlLbl val="0"/>
      </c:catAx>
      <c:valAx>
        <c:axId val="1522542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2553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Evolutions ventes toutes régions n/n-1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Graphique!$J$56</c:f>
              <c:strCache>
                <c:ptCount val="1"/>
                <c:pt idx="0">
                  <c:v>2016</c:v>
                </c:pt>
              </c:strCache>
            </c:strRef>
          </c:tx>
          <c:spPr>
            <a:solidFill>
              <a:schemeClr val="accent1"/>
            </a:solidFill>
            <a:ln>
              <a:noFill/>
            </a:ln>
            <a:effectLst/>
          </c:spPr>
          <c:invertIfNegative val="0"/>
          <c:cat>
            <c:strRef>
              <c:f>Graphique!$I$57:$I$62</c:f>
              <c:strCache>
                <c:ptCount val="6"/>
                <c:pt idx="0">
                  <c:v>Nord Est</c:v>
                </c:pt>
                <c:pt idx="1">
                  <c:v>Nord Ouest</c:v>
                </c:pt>
                <c:pt idx="2">
                  <c:v>Sud Est</c:v>
                </c:pt>
                <c:pt idx="3">
                  <c:v>Sud Ouest</c:v>
                </c:pt>
                <c:pt idx="4">
                  <c:v>Centre</c:v>
                </c:pt>
                <c:pt idx="5">
                  <c:v>total</c:v>
                </c:pt>
              </c:strCache>
            </c:strRef>
          </c:cat>
          <c:val>
            <c:numRef>
              <c:f>Graphique!$J$57:$J$62</c:f>
              <c:numCache>
                <c:formatCode>0.0%</c:formatCode>
                <c:ptCount val="6"/>
                <c:pt idx="0">
                  <c:v>7.8125E-2</c:v>
                </c:pt>
                <c:pt idx="1">
                  <c:v>8.943089430894309E-2</c:v>
                </c:pt>
                <c:pt idx="2">
                  <c:v>-2.4637681159420291E-2</c:v>
                </c:pt>
                <c:pt idx="3">
                  <c:v>8.3265306122448979E-2</c:v>
                </c:pt>
                <c:pt idx="4">
                  <c:v>0.16935483870967741</c:v>
                </c:pt>
                <c:pt idx="5">
                  <c:v>6.2421875000000002E-2</c:v>
                </c:pt>
              </c:numCache>
            </c:numRef>
          </c:val>
          <c:extLst>
            <c:ext xmlns:c16="http://schemas.microsoft.com/office/drawing/2014/chart" uri="{C3380CC4-5D6E-409C-BE32-E72D297353CC}">
              <c16:uniqueId val="{00000001-DC23-4082-A549-B930421704EE}"/>
            </c:ext>
          </c:extLst>
        </c:ser>
        <c:ser>
          <c:idx val="1"/>
          <c:order val="1"/>
          <c:tx>
            <c:strRef>
              <c:f>Graphique!$K$56</c:f>
              <c:strCache>
                <c:ptCount val="1"/>
                <c:pt idx="0">
                  <c:v>2017</c:v>
                </c:pt>
              </c:strCache>
            </c:strRef>
          </c:tx>
          <c:spPr>
            <a:solidFill>
              <a:schemeClr val="accent2"/>
            </a:solidFill>
            <a:ln>
              <a:noFill/>
            </a:ln>
            <a:effectLst/>
          </c:spPr>
          <c:invertIfNegative val="0"/>
          <c:cat>
            <c:strRef>
              <c:f>Graphique!$I$57:$I$62</c:f>
              <c:strCache>
                <c:ptCount val="6"/>
                <c:pt idx="0">
                  <c:v>Nord Est</c:v>
                </c:pt>
                <c:pt idx="1">
                  <c:v>Nord Ouest</c:v>
                </c:pt>
                <c:pt idx="2">
                  <c:v>Sud Est</c:v>
                </c:pt>
                <c:pt idx="3">
                  <c:v>Sud Ouest</c:v>
                </c:pt>
                <c:pt idx="4">
                  <c:v>Centre</c:v>
                </c:pt>
                <c:pt idx="5">
                  <c:v>total</c:v>
                </c:pt>
              </c:strCache>
            </c:strRef>
          </c:cat>
          <c:val>
            <c:numRef>
              <c:f>Graphique!$K$57:$K$62</c:f>
              <c:numCache>
                <c:formatCode>0.0%</c:formatCode>
                <c:ptCount val="6"/>
                <c:pt idx="0">
                  <c:v>-8.6956521739130436E-3</c:v>
                </c:pt>
                <c:pt idx="1">
                  <c:v>-8.5820895522388058E-2</c:v>
                </c:pt>
                <c:pt idx="2">
                  <c:v>0.1263001485884101</c:v>
                </c:pt>
                <c:pt idx="3">
                  <c:v>8.1386586284853055E-2</c:v>
                </c:pt>
                <c:pt idx="4">
                  <c:v>0.15172413793103448</c:v>
                </c:pt>
                <c:pt idx="5">
                  <c:v>4.4194426060739762E-2</c:v>
                </c:pt>
              </c:numCache>
            </c:numRef>
          </c:val>
          <c:extLst>
            <c:ext xmlns:c16="http://schemas.microsoft.com/office/drawing/2014/chart" uri="{C3380CC4-5D6E-409C-BE32-E72D297353CC}">
              <c16:uniqueId val="{00000003-DC23-4082-A549-B930421704EE}"/>
            </c:ext>
          </c:extLst>
        </c:ser>
        <c:ser>
          <c:idx val="2"/>
          <c:order val="2"/>
          <c:tx>
            <c:strRef>
              <c:f>Graphique!$L$56</c:f>
              <c:strCache>
                <c:ptCount val="1"/>
                <c:pt idx="0">
                  <c:v>2018</c:v>
                </c:pt>
              </c:strCache>
            </c:strRef>
          </c:tx>
          <c:spPr>
            <a:solidFill>
              <a:schemeClr val="accent3"/>
            </a:solidFill>
            <a:ln>
              <a:noFill/>
            </a:ln>
            <a:effectLst/>
          </c:spPr>
          <c:invertIfNegative val="0"/>
          <c:cat>
            <c:strRef>
              <c:f>Graphique!$I$57:$I$62</c:f>
              <c:strCache>
                <c:ptCount val="6"/>
                <c:pt idx="0">
                  <c:v>Nord Est</c:v>
                </c:pt>
                <c:pt idx="1">
                  <c:v>Nord Ouest</c:v>
                </c:pt>
                <c:pt idx="2">
                  <c:v>Sud Est</c:v>
                </c:pt>
                <c:pt idx="3">
                  <c:v>Sud Ouest</c:v>
                </c:pt>
                <c:pt idx="4">
                  <c:v>Centre</c:v>
                </c:pt>
                <c:pt idx="5">
                  <c:v>total</c:v>
                </c:pt>
              </c:strCache>
            </c:strRef>
          </c:cat>
          <c:val>
            <c:numRef>
              <c:f>Graphique!$L$57:$L$62</c:f>
              <c:numCache>
                <c:formatCode>0.0%</c:formatCode>
                <c:ptCount val="6"/>
                <c:pt idx="0">
                  <c:v>4.0935672514619881E-2</c:v>
                </c:pt>
                <c:pt idx="1">
                  <c:v>0.13469387755102041</c:v>
                </c:pt>
                <c:pt idx="2">
                  <c:v>2.6385224274406333E-2</c:v>
                </c:pt>
                <c:pt idx="3">
                  <c:v>6.9686411149825784E-3</c:v>
                </c:pt>
                <c:pt idx="4">
                  <c:v>-0.25748502994011974</c:v>
                </c:pt>
                <c:pt idx="5">
                  <c:v>1.1267605633802818E-2</c:v>
                </c:pt>
              </c:numCache>
            </c:numRef>
          </c:val>
          <c:extLst>
            <c:ext xmlns:c16="http://schemas.microsoft.com/office/drawing/2014/chart" uri="{C3380CC4-5D6E-409C-BE32-E72D297353CC}">
              <c16:uniqueId val="{00000005-DC23-4082-A549-B930421704EE}"/>
            </c:ext>
          </c:extLst>
        </c:ser>
        <c:dLbls>
          <c:showLegendKey val="0"/>
          <c:showVal val="0"/>
          <c:showCatName val="0"/>
          <c:showSerName val="0"/>
          <c:showPercent val="0"/>
          <c:showBubbleSize val="0"/>
        </c:dLbls>
        <c:gapWidth val="219"/>
        <c:overlap val="-27"/>
        <c:axId val="839715992"/>
        <c:axId val="839718904"/>
      </c:barChart>
      <c:catAx>
        <c:axId val="839715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18904"/>
        <c:crosses val="autoZero"/>
        <c:auto val="1"/>
        <c:lblAlgn val="ctr"/>
        <c:lblOffset val="100"/>
        <c:noMultiLvlLbl val="0"/>
      </c:catAx>
      <c:valAx>
        <c:axId val="8397189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715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Ensemble des ventes sur la période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Graphique!$L$2:$L$7</c:f>
              <c:strCache>
                <c:ptCount val="6"/>
                <c:pt idx="0">
                  <c:v>Nord Est</c:v>
                </c:pt>
                <c:pt idx="1">
                  <c:v>Nord Ouest</c:v>
                </c:pt>
                <c:pt idx="2">
                  <c:v>Sud Est</c:v>
                </c:pt>
                <c:pt idx="3">
                  <c:v>Sud Ouest</c:v>
                </c:pt>
                <c:pt idx="4">
                  <c:v>Centre</c:v>
                </c:pt>
                <c:pt idx="5">
                  <c:v>total</c:v>
                </c:pt>
              </c:strCache>
            </c:strRef>
          </c:cat>
          <c:val>
            <c:numRef>
              <c:f>Graphique!$M$2:$M$7</c:f>
              <c:numCache>
                <c:formatCode>#,##0</c:formatCode>
                <c:ptCount val="6"/>
                <c:pt idx="0">
                  <c:v>136300</c:v>
                </c:pt>
                <c:pt idx="1">
                  <c:v>103700</c:v>
                </c:pt>
                <c:pt idx="2">
                  <c:v>144950</c:v>
                </c:pt>
                <c:pt idx="3">
                  <c:v>108640</c:v>
                </c:pt>
                <c:pt idx="4">
                  <c:v>56000</c:v>
                </c:pt>
                <c:pt idx="5">
                  <c:v>549590</c:v>
                </c:pt>
              </c:numCache>
            </c:numRef>
          </c:val>
          <c:extLst>
            <c:ext xmlns:c16="http://schemas.microsoft.com/office/drawing/2014/chart" uri="{C3380CC4-5D6E-409C-BE32-E72D297353CC}">
              <c16:uniqueId val="{00000001-241F-4250-BA0E-E8E559925F61}"/>
            </c:ext>
          </c:extLst>
        </c:ser>
        <c:dLbls>
          <c:showLegendKey val="0"/>
          <c:showVal val="0"/>
          <c:showCatName val="0"/>
          <c:showSerName val="0"/>
          <c:showPercent val="0"/>
          <c:showBubbleSize val="0"/>
        </c:dLbls>
        <c:gapWidth val="219"/>
        <c:overlap val="-27"/>
        <c:axId val="818169367"/>
        <c:axId val="818166871"/>
      </c:barChart>
      <c:catAx>
        <c:axId val="818169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166871"/>
        <c:crosses val="autoZero"/>
        <c:auto val="1"/>
        <c:lblAlgn val="ctr"/>
        <c:lblOffset val="100"/>
        <c:noMultiLvlLbl val="0"/>
      </c:catAx>
      <c:valAx>
        <c:axId val="8181668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169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104775</xdr:colOff>
      <xdr:row>1</xdr:row>
      <xdr:rowOff>66675</xdr:rowOff>
    </xdr:from>
    <xdr:to>
      <xdr:col>18</xdr:col>
      <xdr:colOff>608851</xdr:colOff>
      <xdr:row>6</xdr:row>
      <xdr:rowOff>57032</xdr:rowOff>
    </xdr:to>
    <xdr:pic>
      <xdr:nvPicPr>
        <xdr:cNvPr id="3" name="Picture 2">
          <a:extLst>
            <a:ext uri="{FF2B5EF4-FFF2-40B4-BE49-F238E27FC236}">
              <a16:creationId xmlns:a16="http://schemas.microsoft.com/office/drawing/2014/main" id="{E3C4F6C7-A2BF-4655-9955-BF5F002404DE}"/>
            </a:ext>
          </a:extLst>
        </xdr:cNvPr>
        <xdr:cNvPicPr>
          <a:picLocks noChangeAspect="1"/>
        </xdr:cNvPicPr>
      </xdr:nvPicPr>
      <xdr:blipFill>
        <a:blip xmlns:r="http://schemas.openxmlformats.org/officeDocument/2006/relationships" r:embed="rId1"/>
        <a:stretch>
          <a:fillRect/>
        </a:stretch>
      </xdr:blipFill>
      <xdr:spPr>
        <a:xfrm>
          <a:off x="8277225" y="257175"/>
          <a:ext cx="5990476" cy="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409575</xdr:colOff>
      <xdr:row>14</xdr:row>
      <xdr:rowOff>9525</xdr:rowOff>
    </xdr:from>
    <xdr:to>
      <xdr:col>21</xdr:col>
      <xdr:colOff>142113</xdr:colOff>
      <xdr:row>43</xdr:row>
      <xdr:rowOff>27882</xdr:rowOff>
    </xdr:to>
    <xdr:pic>
      <xdr:nvPicPr>
        <xdr:cNvPr id="2" name="Picture 1">
          <a:extLst>
            <a:ext uri="{FF2B5EF4-FFF2-40B4-BE49-F238E27FC236}">
              <a16:creationId xmlns:a16="http://schemas.microsoft.com/office/drawing/2014/main" id="{5B44D24D-52E5-4BB1-9AB6-13177D28F48B}"/>
            </a:ext>
          </a:extLst>
        </xdr:cNvPr>
        <xdr:cNvPicPr>
          <a:picLocks noChangeAspect="1"/>
        </xdr:cNvPicPr>
      </xdr:nvPicPr>
      <xdr:blipFill>
        <a:blip xmlns:r="http://schemas.openxmlformats.org/officeDocument/2006/relationships" r:embed="rId1"/>
        <a:stretch>
          <a:fillRect/>
        </a:stretch>
      </xdr:blipFill>
      <xdr:spPr>
        <a:xfrm>
          <a:off x="10544175" y="2914650"/>
          <a:ext cx="6095238" cy="55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485775</xdr:colOff>
      <xdr:row>41</xdr:row>
      <xdr:rowOff>0</xdr:rowOff>
    </xdr:from>
    <xdr:to>
      <xdr:col>16</xdr:col>
      <xdr:colOff>419100</xdr:colOff>
      <xdr:row>50</xdr:row>
      <xdr:rowOff>47625</xdr:rowOff>
    </xdr:to>
    <xdr:graphicFrame macro="">
      <xdr:nvGraphicFramePr>
        <xdr:cNvPr id="2" name="Graphique 1">
          <a:extLst>
            <a:ext uri="{FF2B5EF4-FFF2-40B4-BE49-F238E27FC236}">
              <a16:creationId xmlns:a16="http://schemas.microsoft.com/office/drawing/2014/main" id="{28C4FA01-D51F-42DF-AA08-45223B970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285750</xdr:colOff>
      <xdr:row>29</xdr:row>
      <xdr:rowOff>57150</xdr:rowOff>
    </xdr:from>
    <xdr:to>
      <xdr:col>16</xdr:col>
      <xdr:colOff>152400</xdr:colOff>
      <xdr:row>38</xdr:row>
      <xdr:rowOff>180975</xdr:rowOff>
    </xdr:to>
    <xdr:graphicFrame macro="">
      <xdr:nvGraphicFramePr>
        <xdr:cNvPr id="3" name="Graphique 2">
          <a:extLst>
            <a:ext uri="{FF2B5EF4-FFF2-40B4-BE49-F238E27FC236}">
              <a16:creationId xmlns:a16="http://schemas.microsoft.com/office/drawing/2014/main" id="{18A7F8BB-C23E-4A53-A7C8-F60BF84D9787}"/>
            </a:ext>
            <a:ext uri="{147F2762-F138-4A5C-976F-8EAC2B608ADB}">
              <a16:predDERef xmlns:a16="http://schemas.microsoft.com/office/drawing/2014/main" pred="{28C4FA01-D51F-42DF-AA08-45223B970C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38100</xdr:colOff>
      <xdr:row>13</xdr:row>
      <xdr:rowOff>152400</xdr:rowOff>
    </xdr:from>
    <xdr:to>
      <xdr:col>17</xdr:col>
      <xdr:colOff>428625</xdr:colOff>
      <xdr:row>28</xdr:row>
      <xdr:rowOff>171450</xdr:rowOff>
    </xdr:to>
    <xdr:graphicFrame macro="">
      <xdr:nvGraphicFramePr>
        <xdr:cNvPr id="4" name="Graphique 3">
          <a:extLst>
            <a:ext uri="{FF2B5EF4-FFF2-40B4-BE49-F238E27FC236}">
              <a16:creationId xmlns:a16="http://schemas.microsoft.com/office/drawing/2014/main" id="{2FDEF075-90D6-41F0-BCE9-1B323E10A19F}"/>
            </a:ext>
            <a:ext uri="{147F2762-F138-4A5C-976F-8EAC2B608ADB}">
              <a16:predDERef xmlns:a16="http://schemas.microsoft.com/office/drawing/2014/main" pred="{18A7F8BB-C23E-4A53-A7C8-F60BF84D9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95250</xdr:colOff>
      <xdr:row>53</xdr:row>
      <xdr:rowOff>104775</xdr:rowOff>
    </xdr:from>
    <xdr:to>
      <xdr:col>19</xdr:col>
      <xdr:colOff>600075</xdr:colOff>
      <xdr:row>65</xdr:row>
      <xdr:rowOff>47625</xdr:rowOff>
    </xdr:to>
    <xdr:graphicFrame macro="">
      <xdr:nvGraphicFramePr>
        <xdr:cNvPr id="7" name="Graphique 6">
          <a:extLst>
            <a:ext uri="{FF2B5EF4-FFF2-40B4-BE49-F238E27FC236}">
              <a16:creationId xmlns:a16="http://schemas.microsoft.com/office/drawing/2014/main" id="{CFECE35F-2736-43DB-9427-A70D57589449}"/>
            </a:ext>
            <a:ext uri="{147F2762-F138-4A5C-976F-8EAC2B608ADB}">
              <a16:predDERef xmlns:a16="http://schemas.microsoft.com/office/drawing/2014/main" pred="{2FDEF075-90D6-41F0-BCE9-1B323E10A1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152400</xdr:colOff>
      <xdr:row>0</xdr:row>
      <xdr:rowOff>0</xdr:rowOff>
    </xdr:from>
    <xdr:to>
      <xdr:col>20</xdr:col>
      <xdr:colOff>133350</xdr:colOff>
      <xdr:row>12</xdr:row>
      <xdr:rowOff>66675</xdr:rowOff>
    </xdr:to>
    <xdr:graphicFrame macro="">
      <xdr:nvGraphicFramePr>
        <xdr:cNvPr id="9" name="Graphique 8">
          <a:extLst>
            <a:ext uri="{FF2B5EF4-FFF2-40B4-BE49-F238E27FC236}">
              <a16:creationId xmlns:a16="http://schemas.microsoft.com/office/drawing/2014/main" id="{5290CEB9-E098-418F-9623-9D2AC66A8542}"/>
            </a:ext>
            <a:ext uri="{147F2762-F138-4A5C-976F-8EAC2B608ADB}">
              <a16:predDERef xmlns:a16="http://schemas.microsoft.com/office/drawing/2014/main" pred="{CFECE35F-2736-43DB-9427-A70D575894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322B-9BFA-4522-86A8-C2D18BC7730F}">
  <dimension ref="A1:G14"/>
  <sheetViews>
    <sheetView workbookViewId="0">
      <selection activeCell="G14" sqref="G14"/>
    </sheetView>
  </sheetViews>
  <sheetFormatPr defaultRowHeight="15"/>
  <cols>
    <col min="1" max="1" width="12" customWidth="1"/>
    <col min="2" max="2" width="11.5703125" customWidth="1"/>
    <col min="3" max="3" width="12.85546875" customWidth="1"/>
    <col min="5" max="5" width="9.28515625" bestFit="1" customWidth="1"/>
    <col min="6" max="6" width="11.5703125" bestFit="1" customWidth="1"/>
    <col min="7" max="7" width="15.7109375" customWidth="1"/>
  </cols>
  <sheetData>
    <row r="1" spans="1:7">
      <c r="C1">
        <v>2.2000000000000002</v>
      </c>
    </row>
    <row r="3" spans="1:7" s="69" customFormat="1" ht="35.25" customHeight="1">
      <c r="A3" s="70" t="s">
        <v>0</v>
      </c>
      <c r="B3" s="71" t="s">
        <v>1</v>
      </c>
      <c r="C3" s="71" t="s">
        <v>2</v>
      </c>
      <c r="D3" s="71" t="s">
        <v>3</v>
      </c>
      <c r="E3" s="71" t="s">
        <v>4</v>
      </c>
      <c r="F3" s="71" t="s">
        <v>5</v>
      </c>
      <c r="G3" s="71" t="s">
        <v>6</v>
      </c>
    </row>
    <row r="4" spans="1:7">
      <c r="A4" t="s">
        <v>7</v>
      </c>
      <c r="B4">
        <v>7.62</v>
      </c>
      <c r="C4" s="15">
        <f>+B4*$C$1</f>
        <v>16.764000000000003</v>
      </c>
      <c r="D4" s="15">
        <f>+C4-B4</f>
        <v>9.1440000000000019</v>
      </c>
      <c r="E4" s="8">
        <v>2000</v>
      </c>
      <c r="F4" s="8">
        <f>E4*(C4-B4)</f>
        <v>18288.000000000004</v>
      </c>
      <c r="G4" s="33">
        <f>F4/(SUM($F$4:$F$11))</f>
        <v>0.16213783631100248</v>
      </c>
    </row>
    <row r="5" spans="1:7">
      <c r="A5" t="s">
        <v>8</v>
      </c>
      <c r="B5">
        <v>10.210000000000001</v>
      </c>
      <c r="C5" s="15">
        <f t="shared" ref="C5:C11" si="0">+B5*$C$1</f>
        <v>22.462000000000003</v>
      </c>
      <c r="D5" s="15">
        <f t="shared" ref="D5:D11" si="1">+C5-B5</f>
        <v>12.252000000000002</v>
      </c>
      <c r="E5" s="8">
        <v>2300</v>
      </c>
      <c r="F5" s="8">
        <f t="shared" ref="F5:F11" si="2">E5*(C5-B5)</f>
        <v>28179.600000000006</v>
      </c>
      <c r="G5" s="33">
        <f t="shared" ref="G5:G11" si="3">F5/(SUM($F$4:$F$11))</f>
        <v>0.24983483005848239</v>
      </c>
    </row>
    <row r="6" spans="1:7">
      <c r="A6" t="s">
        <v>9</v>
      </c>
      <c r="B6">
        <v>1.54</v>
      </c>
      <c r="C6" s="15">
        <f t="shared" si="0"/>
        <v>3.3880000000000003</v>
      </c>
      <c r="D6" s="15">
        <f t="shared" si="1"/>
        <v>1.8480000000000003</v>
      </c>
      <c r="E6" s="8">
        <v>8700</v>
      </c>
      <c r="F6" s="8">
        <f t="shared" si="2"/>
        <v>16077.600000000002</v>
      </c>
      <c r="G6" s="33">
        <f t="shared" si="3"/>
        <v>0.14254086160727109</v>
      </c>
    </row>
    <row r="7" spans="1:7">
      <c r="A7" t="s">
        <v>10</v>
      </c>
      <c r="B7">
        <v>1.37</v>
      </c>
      <c r="C7" s="15">
        <f t="shared" si="0"/>
        <v>3.0140000000000007</v>
      </c>
      <c r="D7" s="15">
        <f t="shared" si="1"/>
        <v>1.6440000000000006</v>
      </c>
      <c r="E7" s="8">
        <v>2200</v>
      </c>
      <c r="F7" s="8">
        <f t="shared" si="2"/>
        <v>3616.8000000000011</v>
      </c>
      <c r="G7" s="33">
        <f t="shared" si="3"/>
        <v>3.2065842430535535E-2</v>
      </c>
    </row>
    <row r="8" spans="1:7">
      <c r="A8" t="s">
        <v>11</v>
      </c>
      <c r="B8">
        <v>2.29</v>
      </c>
      <c r="C8" s="15">
        <f t="shared" si="0"/>
        <v>5.0380000000000003</v>
      </c>
      <c r="D8" s="15">
        <f t="shared" si="1"/>
        <v>2.7480000000000002</v>
      </c>
      <c r="E8" s="8">
        <v>7690</v>
      </c>
      <c r="F8" s="8">
        <f t="shared" si="2"/>
        <v>21132.120000000003</v>
      </c>
      <c r="G8" s="33">
        <f t="shared" si="3"/>
        <v>0.18735324876774179</v>
      </c>
    </row>
    <row r="9" spans="1:7">
      <c r="A9" t="s">
        <v>12</v>
      </c>
      <c r="B9">
        <v>1.07</v>
      </c>
      <c r="C9" s="15">
        <f t="shared" si="0"/>
        <v>2.3540000000000005</v>
      </c>
      <c r="D9" s="15">
        <f t="shared" si="1"/>
        <v>1.2840000000000005</v>
      </c>
      <c r="E9" s="8">
        <v>9900</v>
      </c>
      <c r="F9" s="8">
        <f t="shared" si="2"/>
        <v>12711.600000000004</v>
      </c>
      <c r="G9" s="33">
        <f t="shared" si="3"/>
        <v>0.11269856299491139</v>
      </c>
    </row>
    <row r="10" spans="1:7">
      <c r="A10" t="s">
        <v>13</v>
      </c>
      <c r="B10">
        <v>3.44</v>
      </c>
      <c r="C10" s="15">
        <f t="shared" si="0"/>
        <v>7.5680000000000005</v>
      </c>
      <c r="D10" s="15">
        <f t="shared" si="1"/>
        <v>4.1280000000000001</v>
      </c>
      <c r="E10" s="8">
        <v>1500</v>
      </c>
      <c r="F10" s="8">
        <f t="shared" si="2"/>
        <v>6192</v>
      </c>
      <c r="G10" s="33">
        <f t="shared" si="3"/>
        <v>5.4897062687977213E-2</v>
      </c>
    </row>
    <row r="11" spans="1:7">
      <c r="A11" t="s">
        <v>14</v>
      </c>
      <c r="B11">
        <v>6.87</v>
      </c>
      <c r="C11" s="15">
        <f t="shared" si="0"/>
        <v>15.114000000000001</v>
      </c>
      <c r="D11" s="15">
        <f t="shared" si="1"/>
        <v>8.2439999999999998</v>
      </c>
      <c r="E11" s="8">
        <v>800</v>
      </c>
      <c r="F11" s="8">
        <f t="shared" si="2"/>
        <v>6595.2</v>
      </c>
      <c r="G11" s="33">
        <f t="shared" si="3"/>
        <v>5.8471755142078051E-2</v>
      </c>
    </row>
    <row r="12" spans="1:7">
      <c r="E12" s="8"/>
      <c r="F12" s="8"/>
    </row>
    <row r="13" spans="1:7">
      <c r="D13" s="72" t="s">
        <v>15</v>
      </c>
      <c r="E13" s="73"/>
      <c r="F13" s="72">
        <f>SUM(F4:F11)</f>
        <v>112792.92000000003</v>
      </c>
      <c r="G13" s="66">
        <f>SUM(G4:G11)</f>
        <v>1</v>
      </c>
    </row>
    <row r="14" spans="1:7">
      <c r="E14" s="8"/>
      <c r="F1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4FD4A-428A-4B61-9A3F-CA4B47ECB263}">
  <dimension ref="A1:N21"/>
  <sheetViews>
    <sheetView workbookViewId="0">
      <pane xSplit="1" ySplit="1" topLeftCell="B2" activePane="bottomRight" state="frozen"/>
      <selection pane="bottomRight" activeCell="G20" sqref="G20"/>
      <selection pane="bottomLeft"/>
      <selection pane="topRight"/>
    </sheetView>
  </sheetViews>
  <sheetFormatPr defaultRowHeight="15"/>
  <cols>
    <col min="2" max="9" width="11.140625" customWidth="1"/>
    <col min="10" max="10" width="12.28515625" customWidth="1"/>
    <col min="11" max="12" width="14.28515625" customWidth="1"/>
    <col min="13" max="14" width="11.140625" customWidth="1"/>
  </cols>
  <sheetData>
    <row r="1" spans="1:14">
      <c r="A1" s="9"/>
      <c r="B1" s="10" t="s">
        <v>16</v>
      </c>
      <c r="C1" s="10" t="s">
        <v>17</v>
      </c>
      <c r="D1" s="10" t="s">
        <v>18</v>
      </c>
      <c r="E1" s="10" t="s">
        <v>19</v>
      </c>
      <c r="F1" s="10" t="s">
        <v>20</v>
      </c>
      <c r="G1" s="10" t="s">
        <v>21</v>
      </c>
      <c r="H1" s="10" t="s">
        <v>22</v>
      </c>
      <c r="I1" s="10" t="s">
        <v>23</v>
      </c>
      <c r="J1" s="10" t="s">
        <v>24</v>
      </c>
      <c r="K1" s="10" t="s">
        <v>25</v>
      </c>
      <c r="L1" s="10" t="s">
        <v>26</v>
      </c>
      <c r="M1" s="10" t="s">
        <v>27</v>
      </c>
      <c r="N1" s="10" t="s">
        <v>28</v>
      </c>
    </row>
    <row r="2" spans="1:14">
      <c r="A2" s="36" t="s">
        <v>29</v>
      </c>
      <c r="B2" s="36">
        <v>23400</v>
      </c>
      <c r="C2" s="36">
        <v>34569</v>
      </c>
      <c r="D2" s="36">
        <v>34560</v>
      </c>
      <c r="E2" s="36">
        <v>54600</v>
      </c>
      <c r="F2" s="36">
        <v>24560</v>
      </c>
      <c r="G2" s="36">
        <v>23450</v>
      </c>
      <c r="H2" s="37">
        <f>SUM(B2:G2)</f>
        <v>195139</v>
      </c>
      <c r="I2" s="36">
        <f>MEDIAN(B2:G2)</f>
        <v>29560</v>
      </c>
      <c r="J2" s="77">
        <f>AVERAGE(B2:G2)</f>
        <v>32523.166666666668</v>
      </c>
      <c r="K2" s="77">
        <f>ROUNDUP(J2,2)</f>
        <v>32523.17</v>
      </c>
      <c r="L2" s="77">
        <f>ROUNDDOWN(J2,2)</f>
        <v>32523.16</v>
      </c>
      <c r="M2" s="36">
        <f>MAX(B2:G2)</f>
        <v>54600</v>
      </c>
      <c r="N2" s="36">
        <f>MIN(B2:G2)</f>
        <v>23400</v>
      </c>
    </row>
    <row r="3" spans="1:14">
      <c r="A3" s="16" t="s">
        <v>30</v>
      </c>
      <c r="B3" s="16">
        <v>34530</v>
      </c>
      <c r="C3" s="16">
        <v>32400</v>
      </c>
      <c r="D3" s="16">
        <v>56790</v>
      </c>
      <c r="E3" s="16">
        <v>43590</v>
      </c>
      <c r="F3" s="16">
        <v>34560</v>
      </c>
      <c r="G3" s="16">
        <v>67890</v>
      </c>
      <c r="H3" s="17">
        <f t="shared" ref="H3:H8" si="0">SUM(B3:G3)</f>
        <v>269760</v>
      </c>
      <c r="I3" s="16">
        <f t="shared" ref="I3:I8" si="1">MEDIAN(B3:G3)</f>
        <v>39075</v>
      </c>
      <c r="J3" s="78">
        <f t="shared" ref="J3:J8" si="2">AVERAGE(B3:G3)</f>
        <v>44960</v>
      </c>
      <c r="K3" s="78">
        <f t="shared" ref="K3:K9" si="3">ROUNDUP(J3,0)</f>
        <v>44960</v>
      </c>
      <c r="L3" s="78">
        <f t="shared" ref="L3:L9" si="4">ROUNDDOWN(J3,0)</f>
        <v>44960</v>
      </c>
      <c r="M3" s="16">
        <f t="shared" ref="M3:M8" si="5">MAX(B3:G3)</f>
        <v>67890</v>
      </c>
      <c r="N3" s="16">
        <f t="shared" ref="N3:N8" si="6">MIN(B3:G3)</f>
        <v>32400</v>
      </c>
    </row>
    <row r="4" spans="1:14">
      <c r="A4" s="13" t="s">
        <v>31</v>
      </c>
      <c r="B4" s="13">
        <v>23320</v>
      </c>
      <c r="C4" s="13">
        <v>76800</v>
      </c>
      <c r="D4" s="13">
        <v>54690</v>
      </c>
      <c r="E4" s="13">
        <v>48760</v>
      </c>
      <c r="F4" s="13">
        <v>29800</v>
      </c>
      <c r="G4" s="13">
        <v>87900</v>
      </c>
      <c r="H4" s="14">
        <f t="shared" si="0"/>
        <v>321270</v>
      </c>
      <c r="I4" s="13">
        <f t="shared" si="1"/>
        <v>51725</v>
      </c>
      <c r="J4" s="79">
        <f t="shared" si="2"/>
        <v>53545</v>
      </c>
      <c r="K4" s="79">
        <f t="shared" si="3"/>
        <v>53545</v>
      </c>
      <c r="L4" s="79">
        <f t="shared" si="4"/>
        <v>53545</v>
      </c>
      <c r="M4" s="13">
        <f t="shared" si="5"/>
        <v>87900</v>
      </c>
      <c r="N4" s="13">
        <f t="shared" si="6"/>
        <v>23320</v>
      </c>
    </row>
    <row r="5" spans="1:14">
      <c r="A5" s="16" t="s">
        <v>32</v>
      </c>
      <c r="B5" s="16">
        <v>21340</v>
      </c>
      <c r="C5" s="16">
        <v>67420</v>
      </c>
      <c r="D5" s="16">
        <v>98000</v>
      </c>
      <c r="E5" s="16">
        <v>82130</v>
      </c>
      <c r="F5" s="16">
        <v>86790</v>
      </c>
      <c r="G5" s="16">
        <v>98450</v>
      </c>
      <c r="H5" s="17">
        <f t="shared" si="0"/>
        <v>454130</v>
      </c>
      <c r="I5" s="16">
        <f t="shared" si="1"/>
        <v>84460</v>
      </c>
      <c r="J5" s="78">
        <f t="shared" si="2"/>
        <v>75688.333333333328</v>
      </c>
      <c r="K5" s="78">
        <f t="shared" si="3"/>
        <v>75689</v>
      </c>
      <c r="L5" s="78">
        <f t="shared" si="4"/>
        <v>75688</v>
      </c>
      <c r="M5" s="16">
        <f t="shared" si="5"/>
        <v>98450</v>
      </c>
      <c r="N5" s="16">
        <f t="shared" si="6"/>
        <v>21340</v>
      </c>
    </row>
    <row r="6" spans="1:14">
      <c r="A6" s="13" t="s">
        <v>33</v>
      </c>
      <c r="B6" s="13">
        <v>23550</v>
      </c>
      <c r="C6" s="13">
        <v>77800</v>
      </c>
      <c r="D6" s="13">
        <v>88300</v>
      </c>
      <c r="E6" s="13">
        <v>29800</v>
      </c>
      <c r="F6" s="13">
        <v>82780</v>
      </c>
      <c r="G6" s="13">
        <v>12340</v>
      </c>
      <c r="H6" s="14">
        <f t="shared" si="0"/>
        <v>314570</v>
      </c>
      <c r="I6" s="13">
        <f t="shared" si="1"/>
        <v>53800</v>
      </c>
      <c r="J6" s="79">
        <f t="shared" si="2"/>
        <v>52428.333333333336</v>
      </c>
      <c r="K6" s="79">
        <f t="shared" si="3"/>
        <v>52429</v>
      </c>
      <c r="L6" s="79">
        <f t="shared" si="4"/>
        <v>52428</v>
      </c>
      <c r="M6" s="13">
        <f t="shared" si="5"/>
        <v>88300</v>
      </c>
      <c r="N6" s="13">
        <f t="shared" si="6"/>
        <v>12340</v>
      </c>
    </row>
    <row r="7" spans="1:14">
      <c r="A7" s="16" t="s">
        <v>34</v>
      </c>
      <c r="B7" s="16">
        <v>55600</v>
      </c>
      <c r="C7" s="16">
        <v>55450</v>
      </c>
      <c r="D7" s="16">
        <v>65430</v>
      </c>
      <c r="E7" s="16">
        <v>65000</v>
      </c>
      <c r="F7" s="16">
        <v>97230</v>
      </c>
      <c r="G7" s="16">
        <v>26570</v>
      </c>
      <c r="H7" s="17">
        <f t="shared" si="0"/>
        <v>365280</v>
      </c>
      <c r="I7" s="16">
        <f t="shared" si="1"/>
        <v>60300</v>
      </c>
      <c r="J7" s="78">
        <f t="shared" si="2"/>
        <v>60880</v>
      </c>
      <c r="K7" s="78">
        <f t="shared" si="3"/>
        <v>60880</v>
      </c>
      <c r="L7" s="78">
        <f t="shared" si="4"/>
        <v>60880</v>
      </c>
      <c r="M7" s="16">
        <f t="shared" si="5"/>
        <v>97230</v>
      </c>
      <c r="N7" s="16">
        <f t="shared" si="6"/>
        <v>26570</v>
      </c>
    </row>
    <row r="8" spans="1:14">
      <c r="A8" s="13" t="s">
        <v>35</v>
      </c>
      <c r="B8" s="13">
        <v>56790</v>
      </c>
      <c r="C8" s="13">
        <v>65340</v>
      </c>
      <c r="D8" s="13">
        <v>72300</v>
      </c>
      <c r="E8" s="13">
        <v>77800</v>
      </c>
      <c r="F8" s="13">
        <v>89900</v>
      </c>
      <c r="G8" s="13">
        <v>112900</v>
      </c>
      <c r="H8" s="14">
        <v>105670</v>
      </c>
      <c r="I8" s="13">
        <f t="shared" si="1"/>
        <v>75050</v>
      </c>
      <c r="J8" s="79">
        <f t="shared" si="2"/>
        <v>79171.666666666672</v>
      </c>
      <c r="K8" s="79">
        <f t="shared" si="3"/>
        <v>79172</v>
      </c>
      <c r="L8" s="79">
        <f t="shared" si="4"/>
        <v>79171</v>
      </c>
      <c r="M8" s="13">
        <f t="shared" si="5"/>
        <v>112900</v>
      </c>
      <c r="N8" s="13">
        <f t="shared" si="6"/>
        <v>56790</v>
      </c>
    </row>
    <row r="9" spans="1:14">
      <c r="A9" s="11" t="s">
        <v>22</v>
      </c>
      <c r="B9" s="12">
        <f>SUM(B2:B8)</f>
        <v>238530</v>
      </c>
      <c r="C9" s="12">
        <f>SUM(C2:C8)</f>
        <v>409779</v>
      </c>
      <c r="D9" s="12">
        <f>SUM(D2:D8)</f>
        <v>470070</v>
      </c>
      <c r="E9" s="12">
        <f>SUM(E2:E8)</f>
        <v>401680</v>
      </c>
      <c r="F9" s="12">
        <f>SUM(F2:F8)</f>
        <v>445620</v>
      </c>
      <c r="G9" s="12">
        <f>SUM(G2:G8)</f>
        <v>429500</v>
      </c>
      <c r="H9" s="12">
        <f>SUM(H2:H8)</f>
        <v>2025819</v>
      </c>
      <c r="I9" s="12">
        <f>MEDIAN(B9:G9)</f>
        <v>419639.5</v>
      </c>
      <c r="J9" s="80">
        <f>AVERAGE(B9:G9)</f>
        <v>399196.5</v>
      </c>
      <c r="K9" s="80">
        <f t="shared" si="3"/>
        <v>399197</v>
      </c>
      <c r="L9" s="80">
        <f t="shared" si="4"/>
        <v>399196</v>
      </c>
      <c r="M9" s="12">
        <f>MAX(B9:G9)</f>
        <v>470070</v>
      </c>
      <c r="N9" s="12">
        <f>MIN(B9:G9)</f>
        <v>238530</v>
      </c>
    </row>
    <row r="10" spans="1:14">
      <c r="B10" s="15"/>
      <c r="C10" s="15"/>
      <c r="D10" s="15"/>
      <c r="E10" s="15"/>
      <c r="F10" s="15"/>
      <c r="G10" s="15"/>
      <c r="H10" s="15"/>
      <c r="I10" s="15"/>
      <c r="J10" s="8"/>
      <c r="K10" s="8"/>
      <c r="L10" s="8"/>
      <c r="M10" s="8"/>
      <c r="N10" s="8"/>
    </row>
    <row r="11" spans="1:14">
      <c r="B11" s="15"/>
      <c r="C11" s="15"/>
      <c r="D11" s="15"/>
      <c r="E11" s="15"/>
      <c r="F11" s="15"/>
      <c r="G11" s="15"/>
      <c r="H11" s="15"/>
      <c r="I11" s="15"/>
      <c r="J11" s="8"/>
      <c r="K11" s="8"/>
      <c r="L11" s="8"/>
      <c r="M11" s="8"/>
      <c r="N11" s="8"/>
    </row>
    <row r="12" spans="1:14">
      <c r="B12" s="15"/>
      <c r="C12" s="15"/>
      <c r="D12" s="15"/>
      <c r="E12" s="15"/>
      <c r="F12" s="15"/>
      <c r="G12" s="15"/>
      <c r="H12" s="15"/>
      <c r="I12" s="15"/>
      <c r="J12" s="8"/>
      <c r="K12" s="8"/>
      <c r="L12" s="8"/>
      <c r="M12" s="8"/>
      <c r="N12" s="8"/>
    </row>
    <row r="13" spans="1:14">
      <c r="B13" s="15"/>
      <c r="C13" s="15"/>
      <c r="D13" s="15"/>
      <c r="E13" s="15"/>
      <c r="F13" s="15"/>
      <c r="G13" s="15"/>
      <c r="H13" s="15"/>
      <c r="I13" s="15"/>
      <c r="J13" s="8"/>
      <c r="K13" s="8"/>
      <c r="L13" s="8"/>
      <c r="M13" s="8"/>
      <c r="N13" s="8"/>
    </row>
    <row r="14" spans="1:14">
      <c r="B14" s="15"/>
      <c r="C14" s="15"/>
      <c r="D14" s="15"/>
      <c r="E14" s="15"/>
      <c r="F14" s="15"/>
      <c r="G14" s="15"/>
      <c r="H14" s="15"/>
      <c r="I14" s="15"/>
      <c r="J14" s="8"/>
      <c r="K14" s="8"/>
      <c r="L14" s="8"/>
      <c r="M14" s="8"/>
      <c r="N14" s="8"/>
    </row>
    <row r="15" spans="1:14">
      <c r="B15" s="15"/>
      <c r="C15" s="15"/>
      <c r="D15" s="15"/>
      <c r="E15" s="15"/>
      <c r="F15" s="15"/>
      <c r="G15" s="15"/>
      <c r="H15" s="15"/>
      <c r="I15" s="15"/>
      <c r="J15" s="8"/>
      <c r="K15" s="8"/>
      <c r="L15" s="8"/>
      <c r="M15" s="8"/>
      <c r="N15" s="8"/>
    </row>
    <row r="16" spans="1:14">
      <c r="B16" s="15"/>
      <c r="C16" s="15"/>
      <c r="D16" s="15"/>
      <c r="E16" s="15"/>
      <c r="F16" s="15"/>
      <c r="G16" s="15"/>
      <c r="H16" s="15"/>
      <c r="I16" s="15"/>
      <c r="J16" s="8"/>
      <c r="K16" s="8"/>
      <c r="L16" s="8"/>
      <c r="M16" s="8"/>
      <c r="N16" s="8"/>
    </row>
    <row r="17" spans="2:14">
      <c r="B17" s="15"/>
      <c r="C17" s="15"/>
      <c r="D17" s="15"/>
      <c r="E17" s="15"/>
      <c r="F17" s="15"/>
      <c r="G17" s="15"/>
      <c r="H17" s="15"/>
      <c r="I17" s="15"/>
      <c r="J17" s="8"/>
      <c r="K17" s="8"/>
      <c r="L17" s="8"/>
      <c r="M17" s="8"/>
      <c r="N17" s="8"/>
    </row>
    <row r="18" spans="2:14">
      <c r="B18" s="15"/>
      <c r="C18" s="15"/>
      <c r="D18" s="15"/>
      <c r="E18" s="15"/>
      <c r="F18" s="15"/>
      <c r="G18" s="15"/>
      <c r="H18" s="15"/>
      <c r="I18" s="15"/>
      <c r="J18" s="8"/>
      <c r="K18" s="8"/>
      <c r="L18" s="8"/>
      <c r="M18" s="8"/>
      <c r="N18" s="8"/>
    </row>
    <row r="19" spans="2:14">
      <c r="J19" s="8"/>
      <c r="K19" s="8"/>
      <c r="L19" s="8"/>
      <c r="M19" s="8"/>
      <c r="N19" s="8"/>
    </row>
    <row r="20" spans="2:14">
      <c r="J20" s="8"/>
      <c r="K20" s="8"/>
      <c r="L20" s="8"/>
      <c r="M20" s="8"/>
      <c r="N20" s="8"/>
    </row>
    <row r="21" spans="2:14">
      <c r="J21" s="8"/>
      <c r="K21" s="8"/>
      <c r="L21" s="8"/>
      <c r="M21" s="8"/>
      <c r="N21"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55F0D-0CAC-44EA-9458-0477E33AC309}">
  <dimension ref="A1:I19"/>
  <sheetViews>
    <sheetView workbookViewId="0">
      <selection activeCell="I19" sqref="I19"/>
    </sheetView>
  </sheetViews>
  <sheetFormatPr defaultRowHeight="15"/>
  <cols>
    <col min="4" max="4" width="10" customWidth="1"/>
    <col min="8" max="8" width="13.28515625" customWidth="1"/>
    <col min="9" max="9" width="12.140625" customWidth="1"/>
  </cols>
  <sheetData>
    <row r="1" spans="1:9">
      <c r="A1" t="s">
        <v>36</v>
      </c>
      <c r="B1" t="s">
        <v>37</v>
      </c>
      <c r="D1" t="s">
        <v>38</v>
      </c>
      <c r="E1" t="s">
        <v>39</v>
      </c>
      <c r="G1" s="67">
        <v>17</v>
      </c>
      <c r="H1" s="7" t="s">
        <v>40</v>
      </c>
    </row>
    <row r="2" spans="1:9">
      <c r="D2" t="s">
        <v>38</v>
      </c>
      <c r="E2" t="s">
        <v>41</v>
      </c>
      <c r="G2" s="67">
        <v>12.5</v>
      </c>
      <c r="H2" s="7" t="s">
        <v>42</v>
      </c>
    </row>
    <row r="3" spans="1:9">
      <c r="D3" t="s">
        <v>38</v>
      </c>
      <c r="E3" t="s">
        <v>43</v>
      </c>
      <c r="G3" s="67">
        <v>22.5</v>
      </c>
    </row>
    <row r="5" spans="1:9" ht="32.25" customHeight="1">
      <c r="A5" s="61" t="s">
        <v>44</v>
      </c>
      <c r="B5" s="61" t="s">
        <v>45</v>
      </c>
      <c r="C5" s="61" t="s">
        <v>46</v>
      </c>
      <c r="D5" s="62" t="s">
        <v>47</v>
      </c>
      <c r="E5" s="62" t="s">
        <v>48</v>
      </c>
      <c r="F5" s="62" t="s">
        <v>49</v>
      </c>
      <c r="G5" s="62" t="s">
        <v>50</v>
      </c>
      <c r="H5" s="62" t="s">
        <v>51</v>
      </c>
      <c r="I5" s="62" t="s">
        <v>52</v>
      </c>
    </row>
    <row r="6" spans="1:9">
      <c r="A6" t="s">
        <v>53</v>
      </c>
      <c r="B6" s="5" t="s">
        <v>54</v>
      </c>
      <c r="C6" t="s">
        <v>55</v>
      </c>
      <c r="D6">
        <v>1</v>
      </c>
      <c r="E6">
        <v>0</v>
      </c>
      <c r="F6">
        <v>0</v>
      </c>
      <c r="G6">
        <v>0.5</v>
      </c>
      <c r="H6">
        <f>SUM(E6,F6)</f>
        <v>0</v>
      </c>
      <c r="I6" s="67">
        <f>SUM((H6*$G$2),(G6*$G$3),(D6*$G$1))</f>
        <v>28.25</v>
      </c>
    </row>
    <row r="7" spans="1:9">
      <c r="A7" t="s">
        <v>56</v>
      </c>
      <c r="B7" s="5" t="s">
        <v>57</v>
      </c>
      <c r="C7" t="s">
        <v>55</v>
      </c>
      <c r="D7">
        <v>2</v>
      </c>
      <c r="E7">
        <v>0</v>
      </c>
      <c r="F7">
        <v>0.5</v>
      </c>
      <c r="G7">
        <v>1</v>
      </c>
      <c r="H7">
        <f t="shared" ref="H7:H13" si="0">SUM(E7,F7)</f>
        <v>0.5</v>
      </c>
      <c r="I7" s="67">
        <f t="shared" ref="I7:I13" si="1">SUM((H7*$G$2),(G7*$G$3),(D7*$G$1))</f>
        <v>62.75</v>
      </c>
    </row>
    <row r="8" spans="1:9">
      <c r="A8" t="s">
        <v>58</v>
      </c>
      <c r="B8" s="5" t="s">
        <v>59</v>
      </c>
      <c r="C8" t="s">
        <v>60</v>
      </c>
      <c r="D8">
        <v>2</v>
      </c>
      <c r="E8">
        <v>0</v>
      </c>
      <c r="F8">
        <v>0.5</v>
      </c>
      <c r="G8">
        <v>0</v>
      </c>
      <c r="H8">
        <f t="shared" si="0"/>
        <v>0.5</v>
      </c>
      <c r="I8" s="67">
        <f t="shared" si="1"/>
        <v>40.25</v>
      </c>
    </row>
    <row r="9" spans="1:9">
      <c r="A9" t="s">
        <v>61</v>
      </c>
      <c r="B9" s="5" t="s">
        <v>62</v>
      </c>
      <c r="C9" t="s">
        <v>63</v>
      </c>
      <c r="D9">
        <v>1</v>
      </c>
      <c r="E9">
        <v>0.5</v>
      </c>
      <c r="F9">
        <v>0.5</v>
      </c>
      <c r="G9">
        <v>0</v>
      </c>
      <c r="H9">
        <f t="shared" si="0"/>
        <v>1</v>
      </c>
      <c r="I9" s="67">
        <f t="shared" si="1"/>
        <v>29.5</v>
      </c>
    </row>
    <row r="10" spans="1:9">
      <c r="A10" t="s">
        <v>64</v>
      </c>
      <c r="B10" s="5" t="s">
        <v>65</v>
      </c>
      <c r="C10" t="s">
        <v>63</v>
      </c>
      <c r="D10">
        <v>0</v>
      </c>
      <c r="E10">
        <v>1</v>
      </c>
      <c r="F10">
        <v>0</v>
      </c>
      <c r="G10">
        <v>0</v>
      </c>
      <c r="H10">
        <f t="shared" si="0"/>
        <v>1</v>
      </c>
      <c r="I10" s="67">
        <f t="shared" si="1"/>
        <v>12.5</v>
      </c>
    </row>
    <row r="11" spans="1:9">
      <c r="A11" t="s">
        <v>66</v>
      </c>
      <c r="B11" s="5" t="s">
        <v>67</v>
      </c>
      <c r="C11" t="s">
        <v>68</v>
      </c>
      <c r="D11">
        <v>1</v>
      </c>
      <c r="E11">
        <v>1</v>
      </c>
      <c r="F11">
        <v>1</v>
      </c>
      <c r="G11">
        <v>0.5</v>
      </c>
      <c r="H11">
        <f t="shared" si="0"/>
        <v>2</v>
      </c>
      <c r="I11" s="67">
        <f t="shared" si="1"/>
        <v>53.25</v>
      </c>
    </row>
    <row r="12" spans="1:9">
      <c r="A12" t="s">
        <v>69</v>
      </c>
      <c r="B12" s="5" t="s">
        <v>70</v>
      </c>
      <c r="C12" t="s">
        <v>71</v>
      </c>
      <c r="D12">
        <v>2</v>
      </c>
      <c r="E12">
        <v>0</v>
      </c>
      <c r="F12">
        <v>0</v>
      </c>
      <c r="G12">
        <v>0.5</v>
      </c>
      <c r="H12">
        <f t="shared" si="0"/>
        <v>0</v>
      </c>
      <c r="I12" s="67">
        <f t="shared" si="1"/>
        <v>45.25</v>
      </c>
    </row>
    <row r="13" spans="1:9">
      <c r="A13" t="s">
        <v>72</v>
      </c>
      <c r="B13" s="5" t="s">
        <v>31</v>
      </c>
      <c r="C13" t="s">
        <v>55</v>
      </c>
      <c r="D13">
        <v>1</v>
      </c>
      <c r="E13">
        <v>0.5</v>
      </c>
      <c r="F13">
        <v>0</v>
      </c>
      <c r="G13">
        <v>0</v>
      </c>
      <c r="H13">
        <f t="shared" si="0"/>
        <v>0.5</v>
      </c>
      <c r="I13" s="67">
        <f t="shared" si="1"/>
        <v>23.25</v>
      </c>
    </row>
    <row r="15" spans="1:9">
      <c r="G15" s="34" t="s">
        <v>73</v>
      </c>
      <c r="H15" s="34"/>
      <c r="I15" s="68">
        <f>SUM(I6:I13)</f>
        <v>295</v>
      </c>
    </row>
    <row r="16" spans="1:9">
      <c r="G16" s="34" t="s">
        <v>74</v>
      </c>
      <c r="H16" s="34"/>
      <c r="I16" s="68">
        <f>MAX(I6:I13)</f>
        <v>62.75</v>
      </c>
    </row>
    <row r="17" spans="7:9">
      <c r="G17" s="34" t="s">
        <v>75</v>
      </c>
      <c r="H17" s="34"/>
      <c r="I17" s="68">
        <f>MIN(I6:I13)</f>
        <v>12.5</v>
      </c>
    </row>
    <row r="18" spans="7:9">
      <c r="G18" s="34" t="s">
        <v>76</v>
      </c>
      <c r="H18" s="34"/>
      <c r="I18" s="68">
        <f>AVERAGE(I6:I13)</f>
        <v>36.875</v>
      </c>
    </row>
    <row r="19" spans="7:9">
      <c r="G19" s="34" t="s">
        <v>77</v>
      </c>
      <c r="H19" s="34"/>
      <c r="I19" s="68">
        <f>ROUND(I18,1)</f>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3E29-D64D-4E8D-8A4B-F3F5CAC519F1}">
  <dimension ref="A1:K17"/>
  <sheetViews>
    <sheetView workbookViewId="0">
      <selection activeCell="K11" sqref="K11"/>
    </sheetView>
  </sheetViews>
  <sheetFormatPr defaultRowHeight="15"/>
  <cols>
    <col min="1" max="1" width="13.5703125" customWidth="1"/>
    <col min="2" max="2" width="14.140625" customWidth="1"/>
    <col min="3" max="3" width="15.28515625" customWidth="1"/>
    <col min="4" max="4" width="14.28515625" customWidth="1"/>
    <col min="9" max="11" width="14.85546875" customWidth="1"/>
  </cols>
  <sheetData>
    <row r="1" spans="1:11">
      <c r="A1" t="s">
        <v>78</v>
      </c>
    </row>
    <row r="2" spans="1:11">
      <c r="A2" s="76" t="s">
        <v>79</v>
      </c>
      <c r="B2" s="75"/>
      <c r="C2" s="75">
        <v>500</v>
      </c>
    </row>
    <row r="4" spans="1:11">
      <c r="A4" s="26" t="s">
        <v>80</v>
      </c>
      <c r="B4" s="28" t="s">
        <v>81</v>
      </c>
      <c r="C4" s="31" t="s">
        <v>82</v>
      </c>
      <c r="D4" s="41" t="s">
        <v>83</v>
      </c>
      <c r="I4" s="18" t="s">
        <v>80</v>
      </c>
      <c r="J4" s="19" t="s">
        <v>81</v>
      </c>
      <c r="K4" s="20" t="s">
        <v>82</v>
      </c>
    </row>
    <row r="5" spans="1:11">
      <c r="A5" s="27" t="s">
        <v>54</v>
      </c>
      <c r="B5" s="29">
        <v>700</v>
      </c>
      <c r="C5" s="23">
        <f>IF(B5 &gt;$C$2, 14*B5, 7*B5)</f>
        <v>9800</v>
      </c>
      <c r="D5" s="35">
        <f>C5/$C$11</f>
        <v>0.24288688410825815</v>
      </c>
      <c r="I5" s="21" t="s">
        <v>54</v>
      </c>
      <c r="J5" s="22">
        <v>700</v>
      </c>
      <c r="K5" s="23">
        <f>IF(J5 &gt;$C$2, 14*(J5-$C$2)+7*$C$2, 7*J5)</f>
        <v>6300</v>
      </c>
    </row>
    <row r="6" spans="1:11">
      <c r="A6" s="27" t="s">
        <v>57</v>
      </c>
      <c r="B6" s="29">
        <v>372</v>
      </c>
      <c r="C6" s="23">
        <f>IF(B6 &gt;$C$2, 14*B6, 7*B6)</f>
        <v>2604</v>
      </c>
      <c r="D6" s="35">
        <f t="shared" ref="D6:D9" si="0">C6/$C$11</f>
        <v>6.4538514920194315E-2</v>
      </c>
      <c r="I6" s="21" t="s">
        <v>57</v>
      </c>
      <c r="J6" s="22">
        <v>372</v>
      </c>
      <c r="K6" s="23">
        <f t="shared" ref="K6:K11" si="1">IF(J6 &gt;$C$2, 14*(J6-$C$2)+7*$C$2, 7*J6)</f>
        <v>2604</v>
      </c>
    </row>
    <row r="7" spans="1:11">
      <c r="A7" s="27" t="s">
        <v>59</v>
      </c>
      <c r="B7" s="29">
        <v>440</v>
      </c>
      <c r="C7" s="23">
        <f t="shared" ref="C6:C9" si="2">IF(B7 &gt;$C$2, 14*B7, 7*B7)</f>
        <v>3080</v>
      </c>
      <c r="D7" s="35">
        <f t="shared" si="0"/>
        <v>7.6335877862595422E-2</v>
      </c>
      <c r="I7" s="21" t="s">
        <v>59</v>
      </c>
      <c r="J7" s="22">
        <v>440</v>
      </c>
      <c r="K7" s="23">
        <f t="shared" si="1"/>
        <v>3080</v>
      </c>
    </row>
    <row r="8" spans="1:11">
      <c r="A8" s="27" t="s">
        <v>62</v>
      </c>
      <c r="B8" s="29">
        <v>801</v>
      </c>
      <c r="C8" s="23">
        <f t="shared" si="2"/>
        <v>11214</v>
      </c>
      <c r="D8" s="35">
        <f t="shared" si="0"/>
        <v>0.2779319916724497</v>
      </c>
      <c r="I8" s="21" t="s">
        <v>62</v>
      </c>
      <c r="J8" s="22">
        <v>801</v>
      </c>
      <c r="K8" s="23">
        <f t="shared" si="1"/>
        <v>7714</v>
      </c>
    </row>
    <row r="9" spans="1:11">
      <c r="A9" s="27" t="s">
        <v>65</v>
      </c>
      <c r="B9" s="29">
        <v>975</v>
      </c>
      <c r="C9" s="23">
        <f t="shared" si="2"/>
        <v>13650</v>
      </c>
      <c r="D9" s="35">
        <f t="shared" si="0"/>
        <v>0.33830673143650242</v>
      </c>
      <c r="I9" s="21" t="s">
        <v>65</v>
      </c>
      <c r="J9" s="22">
        <v>975</v>
      </c>
      <c r="K9" s="23">
        <f t="shared" si="1"/>
        <v>10150</v>
      </c>
    </row>
    <row r="10" spans="1:11">
      <c r="A10" s="22"/>
      <c r="B10" s="29"/>
      <c r="C10" s="23"/>
      <c r="D10" s="35"/>
      <c r="I10" s="18"/>
      <c r="J10" s="24"/>
      <c r="K10" s="23"/>
    </row>
    <row r="11" spans="1:11">
      <c r="A11" s="26" t="s">
        <v>22</v>
      </c>
      <c r="B11" s="30">
        <f>SUM(B5:B10)</f>
        <v>3288</v>
      </c>
      <c r="C11" s="32">
        <f>SUM(C5:C9)</f>
        <v>40348</v>
      </c>
      <c r="D11" s="74">
        <f>SUM(D5:D9)</f>
        <v>1</v>
      </c>
      <c r="I11" s="21" t="s">
        <v>22</v>
      </c>
      <c r="J11" s="25">
        <f>SUM(J5:J9)</f>
        <v>3288</v>
      </c>
      <c r="K11" s="23">
        <f t="shared" si="1"/>
        <v>42532</v>
      </c>
    </row>
    <row r="13" spans="1:11">
      <c r="A13" t="s">
        <v>84</v>
      </c>
    </row>
    <row r="14" spans="1:11">
      <c r="A14" t="s">
        <v>85</v>
      </c>
    </row>
    <row r="15" spans="1:11">
      <c r="A15" t="s">
        <v>86</v>
      </c>
    </row>
    <row r="16" spans="1:11">
      <c r="A16" t="s">
        <v>87</v>
      </c>
    </row>
    <row r="17" spans="1:1">
      <c r="A17"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FC57-F8B5-4A73-903B-ADF2F964B9AA}">
  <dimension ref="A1:E13"/>
  <sheetViews>
    <sheetView workbookViewId="0">
      <selection activeCell="D11" sqref="D11"/>
    </sheetView>
  </sheetViews>
  <sheetFormatPr defaultRowHeight="15"/>
  <cols>
    <col min="1" max="1" width="13.42578125" customWidth="1"/>
    <col min="2" max="2" width="13.28515625" customWidth="1"/>
    <col min="3" max="3" width="12.5703125" style="7" customWidth="1"/>
    <col min="4" max="4" width="15" customWidth="1"/>
  </cols>
  <sheetData>
    <row r="1" spans="1:5" ht="30">
      <c r="A1" s="58" t="s">
        <v>89</v>
      </c>
      <c r="B1" s="59" t="s">
        <v>90</v>
      </c>
      <c r="C1" s="59" t="s">
        <v>91</v>
      </c>
      <c r="D1" s="59" t="s">
        <v>92</v>
      </c>
      <c r="E1" s="59" t="s">
        <v>93</v>
      </c>
    </row>
    <row r="2" spans="1:5">
      <c r="A2" s="47" t="s">
        <v>94</v>
      </c>
      <c r="B2" s="55">
        <v>6700</v>
      </c>
      <c r="C2" s="56" cm="1">
        <f t="array" ref="C2">_xlfn.IFS(B2&gt;$B$13, $C$13*B2,B2&gt;$B$12, $C$12*B2, B2=B2,0)</f>
        <v>0</v>
      </c>
      <c r="D2" s="55">
        <f>B2-C2</f>
        <v>6700</v>
      </c>
      <c r="E2" s="66">
        <f>C2/B2</f>
        <v>0</v>
      </c>
    </row>
    <row r="3" spans="1:5">
      <c r="A3" s="47" t="s">
        <v>95</v>
      </c>
      <c r="B3" s="55">
        <v>34500</v>
      </c>
      <c r="C3" s="56" cm="1">
        <f t="array" ref="C3">_xlfn.IFS(B3&gt;$B$13, $C$13*B3,B3&gt;$B$12, $C$12*B3, B3=B3,0)</f>
        <v>690</v>
      </c>
      <c r="D3" s="55">
        <f t="shared" ref="D3:D9" si="0">B3-C3</f>
        <v>33810</v>
      </c>
      <c r="E3" s="66">
        <f t="shared" ref="E3:E9" si="1">C3/B3</f>
        <v>0.02</v>
      </c>
    </row>
    <row r="4" spans="1:5">
      <c r="A4" s="47" t="s">
        <v>96</v>
      </c>
      <c r="B4" s="55">
        <v>3200</v>
      </c>
      <c r="C4" s="56" cm="1">
        <f t="array" ref="C4">_xlfn.IFS(B4&gt;$B$13, $C$13*B4,B4&gt;$B$12, $C$12*B4, B4=B4,0)</f>
        <v>0</v>
      </c>
      <c r="D4" s="55">
        <f t="shared" si="0"/>
        <v>3200</v>
      </c>
      <c r="E4" s="66">
        <f t="shared" si="1"/>
        <v>0</v>
      </c>
    </row>
    <row r="5" spans="1:5">
      <c r="A5" s="47" t="s">
        <v>97</v>
      </c>
      <c r="B5" s="55">
        <v>18900</v>
      </c>
      <c r="C5" s="56" cm="1">
        <f t="array" ref="C5">_xlfn.IFS(B5&gt;$B$13, $C$13*B5,B5&gt;$B$12, $C$12*B5, B5=B5,0)</f>
        <v>378</v>
      </c>
      <c r="D5" s="55">
        <f t="shared" si="0"/>
        <v>18522</v>
      </c>
      <c r="E5" s="66">
        <f t="shared" si="1"/>
        <v>0.02</v>
      </c>
    </row>
    <row r="6" spans="1:5">
      <c r="A6" s="47" t="s">
        <v>98</v>
      </c>
      <c r="B6" s="55">
        <v>56760</v>
      </c>
      <c r="C6" s="56" cm="1">
        <f t="array" ref="C6">_xlfn.IFS(B6&gt;$B$13, $C$13*B6,B6&gt;$B$12, $C$12*B6, B6=B6,0)</f>
        <v>2838</v>
      </c>
      <c r="D6" s="55">
        <f t="shared" si="0"/>
        <v>53922</v>
      </c>
      <c r="E6" s="66">
        <f t="shared" si="1"/>
        <v>0.05</v>
      </c>
    </row>
    <row r="7" spans="1:5">
      <c r="A7" s="47" t="s">
        <v>99</v>
      </c>
      <c r="B7" s="55">
        <v>4500</v>
      </c>
      <c r="C7" s="56" cm="1">
        <f t="array" ref="C7">_xlfn.IFS(B7&gt;$B$13, $C$13*B7,B7&gt;$B$12, $C$12*B7, B7=B7,0)</f>
        <v>0</v>
      </c>
      <c r="D7" s="55">
        <f t="shared" si="0"/>
        <v>4500</v>
      </c>
      <c r="E7" s="66">
        <f t="shared" si="1"/>
        <v>0</v>
      </c>
    </row>
    <row r="8" spans="1:5">
      <c r="A8" s="47" t="s">
        <v>100</v>
      </c>
      <c r="B8" s="55">
        <v>73450</v>
      </c>
      <c r="C8" s="56" cm="1">
        <f t="array" ref="C8">_xlfn.IFS(B8&gt;$B$13, $C$13*B8,B8&gt;$B$12, $C$12*B8, B8=B8,0)</f>
        <v>3672.5</v>
      </c>
      <c r="D8" s="55">
        <f t="shared" si="0"/>
        <v>69777.5</v>
      </c>
      <c r="E8" s="66">
        <f t="shared" si="1"/>
        <v>0.05</v>
      </c>
    </row>
    <row r="9" spans="1:5">
      <c r="A9" s="47" t="s">
        <v>101</v>
      </c>
      <c r="B9" s="55">
        <v>7820</v>
      </c>
      <c r="C9" s="56" cm="1">
        <f t="array" ref="C9">_xlfn.IFS(B9&gt;$B$13, $C$13*B9,B9&gt;$B$12, $C$12*B9, B9=B9,0)</f>
        <v>0</v>
      </c>
      <c r="D9" s="55">
        <f t="shared" si="0"/>
        <v>7820</v>
      </c>
      <c r="E9" s="66">
        <f t="shared" si="1"/>
        <v>0</v>
      </c>
    </row>
    <row r="10" spans="1:5">
      <c r="D10" s="55">
        <f>SUM(D2:D9)</f>
        <v>198251.5</v>
      </c>
    </row>
    <row r="12" spans="1:5">
      <c r="A12" s="59" t="s">
        <v>102</v>
      </c>
      <c r="B12">
        <v>15000</v>
      </c>
      <c r="C12" s="84">
        <v>0.02</v>
      </c>
    </row>
    <row r="13" spans="1:5">
      <c r="A13" s="59" t="s">
        <v>103</v>
      </c>
      <c r="B13">
        <v>50000</v>
      </c>
      <c r="C13" s="84">
        <v>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FDEC-DB6A-45E0-9549-BB2B626358E6}">
  <dimension ref="A1:Y23"/>
  <sheetViews>
    <sheetView workbookViewId="0">
      <selection activeCell="F2" sqref="F2"/>
    </sheetView>
  </sheetViews>
  <sheetFormatPr defaultRowHeight="15"/>
  <cols>
    <col min="1" max="1" width="11.42578125" style="38" customWidth="1"/>
    <col min="2" max="2" width="11.42578125" customWidth="1"/>
    <col min="3" max="3" width="24.5703125" customWidth="1"/>
    <col min="4" max="4" width="17.85546875" customWidth="1"/>
    <col min="5" max="5" width="9.5703125" style="15" customWidth="1"/>
    <col min="6" max="6" width="19.42578125" customWidth="1"/>
    <col min="7" max="7" width="20" customWidth="1"/>
    <col min="8" max="8" width="9.5703125" customWidth="1"/>
  </cols>
  <sheetData>
    <row r="1" spans="1:25">
      <c r="A1" s="81" t="s">
        <v>104</v>
      </c>
      <c r="B1" s="23" t="s">
        <v>45</v>
      </c>
      <c r="C1" s="23" t="s">
        <v>105</v>
      </c>
      <c r="D1" s="23" t="s">
        <v>106</v>
      </c>
      <c r="E1" s="40" t="s">
        <v>107</v>
      </c>
      <c r="F1" s="23" t="s">
        <v>108</v>
      </c>
      <c r="G1" s="23" t="s">
        <v>109</v>
      </c>
      <c r="H1" s="23"/>
      <c r="I1" s="23"/>
      <c r="J1" s="23"/>
      <c r="K1" s="23"/>
      <c r="L1" s="23"/>
      <c r="M1" s="23"/>
      <c r="N1" s="23"/>
      <c r="O1" s="23"/>
      <c r="P1" s="23"/>
      <c r="Q1" s="23"/>
      <c r="R1" s="23"/>
      <c r="S1" s="23"/>
      <c r="T1" s="23"/>
      <c r="U1" s="23"/>
      <c r="V1" s="23"/>
      <c r="W1" s="23"/>
      <c r="X1" s="23"/>
      <c r="Y1" s="23"/>
    </row>
    <row r="2" spans="1:25">
      <c r="A2" s="38">
        <v>100</v>
      </c>
      <c r="B2" t="s">
        <v>110</v>
      </c>
      <c r="C2" t="s">
        <v>111</v>
      </c>
      <c r="D2" t="s">
        <v>112</v>
      </c>
      <c r="E2" s="15">
        <v>3000</v>
      </c>
      <c r="F2" s="15">
        <f>IF(D2=$O$9,$O$10,$O$11)</f>
        <v>2000</v>
      </c>
      <c r="G2" s="15">
        <f>SUM(F2,E2)</f>
        <v>5000</v>
      </c>
    </row>
    <row r="3" spans="1:25">
      <c r="A3" s="38">
        <v>101</v>
      </c>
      <c r="B3" t="s">
        <v>29</v>
      </c>
      <c r="C3" t="s">
        <v>113</v>
      </c>
      <c r="D3" t="s">
        <v>114</v>
      </c>
      <c r="E3" s="15">
        <v>1200</v>
      </c>
      <c r="F3" s="15">
        <f t="shared" ref="F3:F23" si="0">IF(D3=$O$9,$O$10,$O$11)</f>
        <v>1000</v>
      </c>
      <c r="G3" s="15">
        <f t="shared" ref="G3:G23" si="1">SUM(F3,E3)</f>
        <v>2200</v>
      </c>
    </row>
    <row r="4" spans="1:25">
      <c r="A4" s="38">
        <v>102</v>
      </c>
      <c r="B4" t="s">
        <v>70</v>
      </c>
      <c r="C4" t="s">
        <v>115</v>
      </c>
      <c r="D4" t="s">
        <v>116</v>
      </c>
      <c r="E4" s="15">
        <v>2350</v>
      </c>
      <c r="F4" s="15">
        <f t="shared" si="0"/>
        <v>1000</v>
      </c>
      <c r="G4" s="15">
        <f t="shared" si="1"/>
        <v>3350</v>
      </c>
    </row>
    <row r="5" spans="1:25">
      <c r="A5" s="38">
        <v>103</v>
      </c>
      <c r="B5" t="s">
        <v>117</v>
      </c>
      <c r="C5" t="s">
        <v>118</v>
      </c>
      <c r="D5" t="s">
        <v>116</v>
      </c>
      <c r="E5" s="15">
        <v>2250</v>
      </c>
      <c r="F5" s="15">
        <f t="shared" si="0"/>
        <v>1000</v>
      </c>
      <c r="G5" s="15">
        <f t="shared" si="1"/>
        <v>3250</v>
      </c>
    </row>
    <row r="6" spans="1:25">
      <c r="A6" s="38">
        <v>104</v>
      </c>
      <c r="B6" t="s">
        <v>119</v>
      </c>
      <c r="C6" t="s">
        <v>120</v>
      </c>
      <c r="D6" t="s">
        <v>116</v>
      </c>
      <c r="E6" s="15">
        <v>2300</v>
      </c>
      <c r="F6" s="15">
        <f t="shared" si="0"/>
        <v>1000</v>
      </c>
      <c r="G6" s="15">
        <f t="shared" si="1"/>
        <v>3300</v>
      </c>
    </row>
    <row r="7" spans="1:25">
      <c r="A7" s="38">
        <v>105</v>
      </c>
      <c r="B7" t="s">
        <v>121</v>
      </c>
      <c r="C7" t="s">
        <v>122</v>
      </c>
      <c r="D7" t="s">
        <v>114</v>
      </c>
      <c r="E7" s="15">
        <v>1200</v>
      </c>
      <c r="F7" s="15">
        <f t="shared" si="0"/>
        <v>1000</v>
      </c>
      <c r="G7" s="15">
        <f t="shared" si="1"/>
        <v>2200</v>
      </c>
    </row>
    <row r="8" spans="1:25">
      <c r="A8" s="38">
        <v>106</v>
      </c>
      <c r="B8" t="s">
        <v>123</v>
      </c>
      <c r="C8" t="s">
        <v>124</v>
      </c>
      <c r="D8" t="s">
        <v>114</v>
      </c>
      <c r="E8" s="15">
        <v>1250</v>
      </c>
      <c r="F8" s="15">
        <f t="shared" si="0"/>
        <v>1000</v>
      </c>
      <c r="G8" s="15">
        <f t="shared" si="1"/>
        <v>2250</v>
      </c>
    </row>
    <row r="9" spans="1:25">
      <c r="A9" s="38">
        <v>107</v>
      </c>
      <c r="B9" t="s">
        <v>125</v>
      </c>
      <c r="C9" t="s">
        <v>126</v>
      </c>
      <c r="D9" t="s">
        <v>112</v>
      </c>
      <c r="E9" s="15">
        <v>3400</v>
      </c>
      <c r="F9" s="15">
        <f t="shared" si="0"/>
        <v>2000</v>
      </c>
      <c r="G9" s="15">
        <f t="shared" si="1"/>
        <v>5400</v>
      </c>
      <c r="J9" t="s">
        <v>127</v>
      </c>
      <c r="O9" t="s">
        <v>112</v>
      </c>
    </row>
    <row r="10" spans="1:25">
      <c r="A10" s="38">
        <v>108</v>
      </c>
      <c r="B10" t="s">
        <v>128</v>
      </c>
      <c r="C10" t="s">
        <v>129</v>
      </c>
      <c r="D10" t="s">
        <v>112</v>
      </c>
      <c r="E10" s="15">
        <v>3350</v>
      </c>
      <c r="F10" s="15">
        <f t="shared" si="0"/>
        <v>2000</v>
      </c>
      <c r="G10" s="15">
        <f t="shared" si="1"/>
        <v>5350</v>
      </c>
      <c r="J10" t="s">
        <v>130</v>
      </c>
      <c r="O10">
        <v>2000</v>
      </c>
    </row>
    <row r="11" spans="1:25">
      <c r="A11" s="38">
        <v>109</v>
      </c>
      <c r="B11" t="s">
        <v>131</v>
      </c>
      <c r="C11" t="s">
        <v>132</v>
      </c>
      <c r="D11" t="s">
        <v>114</v>
      </c>
      <c r="E11" s="15">
        <v>1000</v>
      </c>
      <c r="F11" s="15">
        <f t="shared" si="0"/>
        <v>1000</v>
      </c>
      <c r="G11" s="15">
        <f t="shared" si="1"/>
        <v>2000</v>
      </c>
      <c r="J11" t="s">
        <v>133</v>
      </c>
      <c r="O11">
        <v>1000</v>
      </c>
    </row>
    <row r="12" spans="1:25">
      <c r="A12" s="38">
        <v>110</v>
      </c>
      <c r="B12" t="s">
        <v>134</v>
      </c>
      <c r="C12" t="s">
        <v>135</v>
      </c>
      <c r="D12" t="s">
        <v>114</v>
      </c>
      <c r="E12" s="15">
        <v>1050</v>
      </c>
      <c r="F12" s="15">
        <f t="shared" si="0"/>
        <v>1000</v>
      </c>
      <c r="G12" s="15">
        <f t="shared" si="1"/>
        <v>2050</v>
      </c>
    </row>
    <row r="13" spans="1:25">
      <c r="A13" s="38">
        <v>111</v>
      </c>
      <c r="B13" t="s">
        <v>136</v>
      </c>
      <c r="C13" t="s">
        <v>137</v>
      </c>
      <c r="D13" t="s">
        <v>116</v>
      </c>
      <c r="E13" s="15">
        <v>1800</v>
      </c>
      <c r="F13" s="15">
        <f t="shared" si="0"/>
        <v>1000</v>
      </c>
      <c r="G13" s="15">
        <f t="shared" si="1"/>
        <v>2800</v>
      </c>
    </row>
    <row r="14" spans="1:25">
      <c r="A14" s="38">
        <v>112</v>
      </c>
      <c r="B14" t="s">
        <v>138</v>
      </c>
      <c r="C14" t="s">
        <v>139</v>
      </c>
      <c r="D14" t="s">
        <v>112</v>
      </c>
      <c r="E14" s="15">
        <v>3890</v>
      </c>
      <c r="F14" s="15">
        <f t="shared" si="0"/>
        <v>2000</v>
      </c>
      <c r="G14" s="15">
        <f t="shared" si="1"/>
        <v>5890</v>
      </c>
    </row>
    <row r="15" spans="1:25">
      <c r="A15" s="38">
        <v>113</v>
      </c>
      <c r="B15" t="s">
        <v>140</v>
      </c>
      <c r="C15" t="s">
        <v>141</v>
      </c>
      <c r="D15" t="s">
        <v>112</v>
      </c>
      <c r="E15" s="15">
        <v>4350</v>
      </c>
      <c r="F15" s="15">
        <f t="shared" si="0"/>
        <v>2000</v>
      </c>
      <c r="G15" s="15">
        <f t="shared" si="1"/>
        <v>6350</v>
      </c>
    </row>
    <row r="16" spans="1:25">
      <c r="A16" s="38">
        <v>114</v>
      </c>
      <c r="B16" t="s">
        <v>142</v>
      </c>
      <c r="C16" t="s">
        <v>143</v>
      </c>
      <c r="D16" t="s">
        <v>114</v>
      </c>
      <c r="E16" s="15">
        <v>1340</v>
      </c>
      <c r="F16" s="15">
        <f t="shared" si="0"/>
        <v>1000</v>
      </c>
      <c r="G16" s="15">
        <f t="shared" si="1"/>
        <v>2340</v>
      </c>
    </row>
    <row r="17" spans="1:7">
      <c r="A17" s="38">
        <v>115</v>
      </c>
      <c r="B17" t="s">
        <v>144</v>
      </c>
      <c r="C17" t="s">
        <v>145</v>
      </c>
      <c r="D17" t="s">
        <v>116</v>
      </c>
      <c r="E17" s="15">
        <v>1900</v>
      </c>
      <c r="F17" s="15">
        <f t="shared" si="0"/>
        <v>1000</v>
      </c>
      <c r="G17" s="15">
        <f t="shared" si="1"/>
        <v>2900</v>
      </c>
    </row>
    <row r="18" spans="1:7">
      <c r="A18" s="38">
        <v>116</v>
      </c>
      <c r="B18" t="s">
        <v>30</v>
      </c>
      <c r="C18" t="s">
        <v>146</v>
      </c>
      <c r="D18" t="s">
        <v>112</v>
      </c>
      <c r="E18" s="15">
        <v>4850</v>
      </c>
      <c r="F18" s="15">
        <f t="shared" si="0"/>
        <v>2000</v>
      </c>
      <c r="G18" s="15">
        <f t="shared" si="1"/>
        <v>6850</v>
      </c>
    </row>
    <row r="19" spans="1:7">
      <c r="A19" s="38">
        <v>117</v>
      </c>
      <c r="B19" t="s">
        <v>31</v>
      </c>
      <c r="C19" t="s">
        <v>147</v>
      </c>
      <c r="D19" t="s">
        <v>116</v>
      </c>
      <c r="E19" s="15">
        <v>2340</v>
      </c>
      <c r="F19" s="15">
        <f t="shared" si="0"/>
        <v>1000</v>
      </c>
      <c r="G19" s="15">
        <f t="shared" si="1"/>
        <v>3340</v>
      </c>
    </row>
    <row r="20" spans="1:7">
      <c r="A20" s="38">
        <v>118</v>
      </c>
      <c r="B20" t="s">
        <v>32</v>
      </c>
      <c r="C20" t="s">
        <v>148</v>
      </c>
      <c r="D20" t="s">
        <v>116</v>
      </c>
      <c r="E20" s="15">
        <v>3000</v>
      </c>
      <c r="F20" s="15">
        <f t="shared" si="0"/>
        <v>1000</v>
      </c>
      <c r="G20" s="15">
        <f t="shared" si="1"/>
        <v>4000</v>
      </c>
    </row>
    <row r="21" spans="1:7">
      <c r="A21" s="38">
        <v>119</v>
      </c>
      <c r="B21" t="s">
        <v>33</v>
      </c>
      <c r="C21" t="s">
        <v>148</v>
      </c>
      <c r="D21" t="s">
        <v>116</v>
      </c>
      <c r="E21" s="15">
        <v>3000</v>
      </c>
      <c r="F21" s="15">
        <f t="shared" si="0"/>
        <v>1000</v>
      </c>
      <c r="G21" s="15">
        <f t="shared" si="1"/>
        <v>4000</v>
      </c>
    </row>
    <row r="22" spans="1:7">
      <c r="A22" s="38">
        <v>120</v>
      </c>
      <c r="B22" t="s">
        <v>34</v>
      </c>
      <c r="C22" t="s">
        <v>148</v>
      </c>
      <c r="D22" t="s">
        <v>116</v>
      </c>
      <c r="E22" s="15">
        <v>3000</v>
      </c>
      <c r="F22" s="15">
        <f t="shared" si="0"/>
        <v>1000</v>
      </c>
      <c r="G22" s="15">
        <f t="shared" si="1"/>
        <v>4000</v>
      </c>
    </row>
    <row r="23" spans="1:7">
      <c r="A23" s="38">
        <v>121</v>
      </c>
      <c r="B23" t="s">
        <v>35</v>
      </c>
      <c r="C23" t="s">
        <v>148</v>
      </c>
      <c r="D23" t="s">
        <v>116</v>
      </c>
      <c r="E23" s="15">
        <v>3000</v>
      </c>
      <c r="F23" s="15">
        <f t="shared" si="0"/>
        <v>1000</v>
      </c>
      <c r="G23" s="15">
        <f t="shared" si="1"/>
        <v>4000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D68D-4545-4D90-88A8-8A67F0439F04}">
  <dimension ref="A1:I166"/>
  <sheetViews>
    <sheetView workbookViewId="0">
      <selection activeCell="E33" sqref="E33"/>
    </sheetView>
  </sheetViews>
  <sheetFormatPr defaultRowHeight="15"/>
  <cols>
    <col min="1" max="1" width="10.85546875" style="3" customWidth="1"/>
    <col min="2" max="16384" width="9.140625" style="5"/>
  </cols>
  <sheetData>
    <row r="1" spans="1:9" s="3" customFormat="1" ht="30">
      <c r="A1" s="1" t="s">
        <v>149</v>
      </c>
      <c r="B1" s="2" t="s">
        <v>150</v>
      </c>
      <c r="C1" s="2" t="s">
        <v>151</v>
      </c>
      <c r="D1" s="2" t="s">
        <v>152</v>
      </c>
      <c r="E1" s="2" t="s">
        <v>153</v>
      </c>
    </row>
    <row r="2" spans="1:9">
      <c r="A2" s="3" t="s">
        <v>154</v>
      </c>
      <c r="B2" s="4">
        <v>1.95</v>
      </c>
      <c r="C2" s="5">
        <v>2</v>
      </c>
      <c r="D2" s="4" cm="1">
        <f t="array" ref="D2">_xlfn.IFS(C2=$H$2,$I$2*B2,C2=$H$3,$I$3*B2)</f>
        <v>0.10725</v>
      </c>
      <c r="E2" s="4">
        <f>SUM(D2,B2)</f>
        <v>2.0572499999999998</v>
      </c>
      <c r="F2" s="4"/>
      <c r="H2" s="5">
        <v>1</v>
      </c>
      <c r="I2" s="6">
        <v>0.19600000000000001</v>
      </c>
    </row>
    <row r="3" spans="1:9">
      <c r="A3" s="3" t="s">
        <v>155</v>
      </c>
      <c r="B3" s="4">
        <v>2.42</v>
      </c>
      <c r="C3" s="5">
        <v>1</v>
      </c>
      <c r="D3" s="4" cm="1">
        <f t="array" ref="D3">_xlfn.IFS(C3=$H$2,$I$2*B3,C3=$H$3,$I$3*B3)</f>
        <v>0.47432000000000002</v>
      </c>
      <c r="E3" s="4">
        <f t="shared" ref="E3:E30" si="0">SUM(D3,B3)</f>
        <v>2.89432</v>
      </c>
      <c r="F3" s="4"/>
      <c r="H3" s="5">
        <v>2</v>
      </c>
      <c r="I3" s="6">
        <v>5.5E-2</v>
      </c>
    </row>
    <row r="4" spans="1:9">
      <c r="A4" s="3" t="s">
        <v>156</v>
      </c>
      <c r="B4" s="4">
        <v>2.96</v>
      </c>
      <c r="C4" s="5">
        <v>1</v>
      </c>
      <c r="D4" s="4" cm="1">
        <f t="array" ref="D4">_xlfn.IFS(C4=$H$2,$I$2*B4,C4=$H$3,$I$3*B4)</f>
        <v>0.58016000000000001</v>
      </c>
      <c r="E4" s="4">
        <f t="shared" si="0"/>
        <v>3.5401600000000002</v>
      </c>
      <c r="F4" s="4"/>
    </row>
    <row r="5" spans="1:9">
      <c r="A5" s="3" t="s">
        <v>157</v>
      </c>
      <c r="B5" s="4">
        <v>3.1</v>
      </c>
      <c r="C5" s="5">
        <v>2</v>
      </c>
      <c r="D5" s="4" cm="1">
        <f t="array" ref="D5">_xlfn.IFS(C5=$H$2,$I$2*B5,C5=$H$3,$I$3*B5)</f>
        <v>0.17050000000000001</v>
      </c>
      <c r="E5" s="4">
        <f t="shared" si="0"/>
        <v>3.2705000000000002</v>
      </c>
      <c r="F5" s="4"/>
    </row>
    <row r="6" spans="1:9">
      <c r="A6" s="3" t="s">
        <v>158</v>
      </c>
      <c r="B6" s="4">
        <v>2.56</v>
      </c>
      <c r="C6" s="5">
        <v>2</v>
      </c>
      <c r="D6" s="4" cm="1">
        <f t="array" ref="D6">_xlfn.IFS(C6=$H$2,$I$2*B6,C6=$H$3,$I$3*B6)</f>
        <v>0.14080000000000001</v>
      </c>
      <c r="E6" s="4">
        <f t="shared" si="0"/>
        <v>2.7008000000000001</v>
      </c>
      <c r="F6" s="4"/>
    </row>
    <row r="7" spans="1:9">
      <c r="A7" s="3" t="s">
        <v>159</v>
      </c>
      <c r="B7" s="4">
        <v>7.22</v>
      </c>
      <c r="C7" s="5">
        <v>1</v>
      </c>
      <c r="D7" s="4" cm="1">
        <f t="array" ref="D7">_xlfn.IFS(C7=$H$2,$I$2*B7,C7=$H$3,$I$3*B7)</f>
        <v>1.4151199999999999</v>
      </c>
      <c r="E7" s="4">
        <f t="shared" si="0"/>
        <v>8.6351200000000006</v>
      </c>
      <c r="F7" s="4"/>
    </row>
    <row r="8" spans="1:9">
      <c r="A8" s="3" t="s">
        <v>160</v>
      </c>
      <c r="B8" s="4">
        <v>3.44</v>
      </c>
      <c r="C8" s="5">
        <v>2</v>
      </c>
      <c r="D8" s="4" cm="1">
        <f t="array" ref="D8">_xlfn.IFS(C8=$H$2,$I$2*B8,C8=$H$3,$I$3*B8)</f>
        <v>0.18920000000000001</v>
      </c>
      <c r="E8" s="4">
        <f t="shared" si="0"/>
        <v>3.6292</v>
      </c>
      <c r="F8" s="4"/>
    </row>
    <row r="9" spans="1:9">
      <c r="A9" s="3" t="s">
        <v>161</v>
      </c>
      <c r="B9" s="4">
        <v>5.18</v>
      </c>
      <c r="C9" s="5">
        <v>1</v>
      </c>
      <c r="D9" s="4" cm="1">
        <f t="array" ref="D9">_xlfn.IFS(C9=$H$2,$I$2*B9,C9=$H$3,$I$3*B9)</f>
        <v>1.01528</v>
      </c>
      <c r="E9" s="4">
        <f t="shared" si="0"/>
        <v>6.1952799999999995</v>
      </c>
      <c r="F9" s="4"/>
    </row>
    <row r="10" spans="1:9">
      <c r="A10" s="3" t="s">
        <v>162</v>
      </c>
      <c r="B10" s="4">
        <v>3.51</v>
      </c>
      <c r="C10" s="5">
        <v>1</v>
      </c>
      <c r="D10" s="4" cm="1">
        <f t="array" ref="D10">_xlfn.IFS(C10=$H$2,$I$2*B10,C10=$H$3,$I$3*B10)</f>
        <v>0.68796000000000002</v>
      </c>
      <c r="E10" s="4">
        <f t="shared" si="0"/>
        <v>4.1979600000000001</v>
      </c>
      <c r="F10" s="4"/>
    </row>
    <row r="11" spans="1:9">
      <c r="A11" s="3" t="s">
        <v>163</v>
      </c>
      <c r="B11" s="4">
        <v>2.76</v>
      </c>
      <c r="C11" s="5">
        <v>2</v>
      </c>
      <c r="D11" s="4" cm="1">
        <f t="array" ref="D11">_xlfn.IFS(C11=$H$2,$I$2*B11,C11=$H$3,$I$3*B11)</f>
        <v>0.15179999999999999</v>
      </c>
      <c r="E11" s="4">
        <f t="shared" si="0"/>
        <v>2.9117999999999999</v>
      </c>
      <c r="F11" s="4"/>
    </row>
    <row r="12" spans="1:9">
      <c r="A12" s="3" t="s">
        <v>164</v>
      </c>
      <c r="B12" s="4">
        <v>9.23</v>
      </c>
      <c r="C12" s="5">
        <v>1</v>
      </c>
      <c r="D12" s="4" cm="1">
        <f t="array" ref="D12">_xlfn.IFS(C12=$H$2,$I$2*B12,C12=$H$3,$I$3*B12)</f>
        <v>1.8090800000000002</v>
      </c>
      <c r="E12" s="4">
        <f t="shared" si="0"/>
        <v>11.03908</v>
      </c>
      <c r="F12" s="4"/>
    </row>
    <row r="13" spans="1:9">
      <c r="A13" s="3" t="s">
        <v>165</v>
      </c>
      <c r="B13" s="4">
        <v>4.43</v>
      </c>
      <c r="C13" s="5">
        <v>2</v>
      </c>
      <c r="D13" s="4" cm="1">
        <f t="array" ref="D13">_xlfn.IFS(C13=$H$2,$I$2*B13,C13=$H$3,$I$3*B13)</f>
        <v>0.24364999999999998</v>
      </c>
      <c r="E13" s="4">
        <f t="shared" si="0"/>
        <v>4.6736499999999994</v>
      </c>
      <c r="F13" s="4"/>
    </row>
    <row r="14" spans="1:9">
      <c r="A14" s="3" t="s">
        <v>166</v>
      </c>
      <c r="B14" s="4">
        <v>6.45</v>
      </c>
      <c r="C14" s="5">
        <v>2</v>
      </c>
      <c r="D14" s="4" cm="1">
        <f t="array" ref="D14">_xlfn.IFS(C14=$H$2,$I$2*B14,C14=$H$3,$I$3*B14)</f>
        <v>0.35475000000000001</v>
      </c>
      <c r="E14" s="4">
        <f t="shared" si="0"/>
        <v>6.8047500000000003</v>
      </c>
      <c r="F14" s="4"/>
    </row>
    <row r="15" spans="1:9">
      <c r="A15" s="3" t="s">
        <v>167</v>
      </c>
      <c r="B15" s="4">
        <v>4.43</v>
      </c>
      <c r="C15" s="5">
        <v>1</v>
      </c>
      <c r="D15" s="4" cm="1">
        <f t="array" ref="D15">_xlfn.IFS(C15=$H$2,$I$2*B15,C15=$H$3,$I$3*B15)</f>
        <v>0.86827999999999994</v>
      </c>
      <c r="E15" s="4">
        <f t="shared" si="0"/>
        <v>5.2982800000000001</v>
      </c>
      <c r="F15" s="4"/>
    </row>
    <row r="16" spans="1:9">
      <c r="A16" s="3" t="s">
        <v>168</v>
      </c>
      <c r="B16" s="4">
        <v>2.34</v>
      </c>
      <c r="C16" s="5">
        <v>2</v>
      </c>
      <c r="D16" s="4" cm="1">
        <f t="array" ref="D16">_xlfn.IFS(C16=$H$2,$I$2*B16,C16=$H$3,$I$3*B16)</f>
        <v>0.12869999999999998</v>
      </c>
      <c r="E16" s="4">
        <f t="shared" si="0"/>
        <v>2.4686999999999997</v>
      </c>
      <c r="F16" s="4"/>
    </row>
    <row r="17" spans="1:6">
      <c r="A17" s="3" t="s">
        <v>169</v>
      </c>
      <c r="B17" s="4">
        <v>8.1300000000000008</v>
      </c>
      <c r="C17" s="5">
        <v>1</v>
      </c>
      <c r="D17" s="4" cm="1">
        <f t="array" ref="D17">_xlfn.IFS(C17=$H$2,$I$2*B17,C17=$H$3,$I$3*B17)</f>
        <v>1.5934800000000002</v>
      </c>
      <c r="E17" s="4">
        <f t="shared" si="0"/>
        <v>9.7234800000000003</v>
      </c>
      <c r="F17" s="4"/>
    </row>
    <row r="18" spans="1:6">
      <c r="A18" s="3" t="s">
        <v>170</v>
      </c>
      <c r="B18" s="4">
        <v>3.23</v>
      </c>
      <c r="C18" s="5">
        <v>1</v>
      </c>
      <c r="D18" s="4" cm="1">
        <f t="array" ref="D18">_xlfn.IFS(C18=$H$2,$I$2*B18,C18=$H$3,$I$3*B18)</f>
        <v>0.63307999999999998</v>
      </c>
      <c r="E18" s="4">
        <f t="shared" si="0"/>
        <v>3.8630800000000001</v>
      </c>
      <c r="F18" s="4"/>
    </row>
    <row r="19" spans="1:6">
      <c r="A19" s="3" t="s">
        <v>171</v>
      </c>
      <c r="B19" s="4">
        <v>4.55</v>
      </c>
      <c r="C19" s="5">
        <v>1</v>
      </c>
      <c r="D19" s="4" cm="1">
        <f t="array" ref="D19">_xlfn.IFS(C19=$H$2,$I$2*B19,C19=$H$3,$I$3*B19)</f>
        <v>0.89180000000000004</v>
      </c>
      <c r="E19" s="4">
        <f t="shared" si="0"/>
        <v>5.4417999999999997</v>
      </c>
      <c r="F19" s="4"/>
    </row>
    <row r="20" spans="1:6">
      <c r="A20" s="3" t="s">
        <v>172</v>
      </c>
      <c r="B20" s="4">
        <v>1.22</v>
      </c>
      <c r="C20" s="5">
        <v>2</v>
      </c>
      <c r="D20" s="4" cm="1">
        <f t="array" ref="D20">_xlfn.IFS(C20=$H$2,$I$2*B20,C20=$H$3,$I$3*B20)</f>
        <v>6.7099999999999993E-2</v>
      </c>
      <c r="E20" s="4">
        <f t="shared" si="0"/>
        <v>1.2870999999999999</v>
      </c>
      <c r="F20" s="4"/>
    </row>
    <row r="21" spans="1:6">
      <c r="A21" s="3" t="s">
        <v>173</v>
      </c>
      <c r="B21" s="4">
        <v>1.43</v>
      </c>
      <c r="C21" s="5">
        <v>2</v>
      </c>
      <c r="D21" s="4" cm="1">
        <f t="array" ref="D21">_xlfn.IFS(C21=$H$2,$I$2*B21,C21=$H$3,$I$3*B21)</f>
        <v>7.8649999999999998E-2</v>
      </c>
      <c r="E21" s="4">
        <f t="shared" si="0"/>
        <v>1.5086499999999998</v>
      </c>
      <c r="F21" s="4"/>
    </row>
    <row r="22" spans="1:6">
      <c r="A22" s="3" t="s">
        <v>173</v>
      </c>
      <c r="B22" s="4">
        <v>1.98</v>
      </c>
      <c r="C22" s="5">
        <v>1</v>
      </c>
      <c r="D22" s="4" cm="1">
        <f t="array" ref="D22">_xlfn.IFS(C22=$H$2,$I$2*B22,C22=$H$3,$I$3*B22)</f>
        <v>0.38808000000000004</v>
      </c>
      <c r="E22" s="4">
        <f t="shared" si="0"/>
        <v>2.36808</v>
      </c>
      <c r="F22" s="4"/>
    </row>
    <row r="23" spans="1:6">
      <c r="A23" s="3" t="s">
        <v>174</v>
      </c>
      <c r="B23" s="4">
        <v>5.34</v>
      </c>
      <c r="C23" s="5">
        <v>2</v>
      </c>
      <c r="D23" s="4" cm="1">
        <f t="array" ref="D23">_xlfn.IFS(C23=$H$2,$I$2*B23,C23=$H$3,$I$3*B23)</f>
        <v>0.29370000000000002</v>
      </c>
      <c r="E23" s="4">
        <f t="shared" si="0"/>
        <v>5.6337000000000002</v>
      </c>
      <c r="F23" s="4"/>
    </row>
    <row r="24" spans="1:6">
      <c r="A24" s="3" t="s">
        <v>175</v>
      </c>
      <c r="B24" s="4">
        <v>2.34</v>
      </c>
      <c r="C24" s="5">
        <v>1</v>
      </c>
      <c r="D24" s="4" cm="1">
        <f t="array" ref="D24">_xlfn.IFS(C24=$H$2,$I$2*B24,C24=$H$3,$I$3*B24)</f>
        <v>0.45863999999999999</v>
      </c>
      <c r="E24" s="4">
        <f t="shared" si="0"/>
        <v>2.7986399999999998</v>
      </c>
      <c r="F24" s="4"/>
    </row>
    <row r="25" spans="1:6">
      <c r="A25" s="3" t="s">
        <v>176</v>
      </c>
      <c r="B25" s="4">
        <v>2.76</v>
      </c>
      <c r="C25" s="5">
        <v>2</v>
      </c>
      <c r="D25" s="4" cm="1">
        <f t="array" ref="D25">_xlfn.IFS(C25=$H$2,$I$2*B25,C25=$H$3,$I$3*B25)</f>
        <v>0.15179999999999999</v>
      </c>
      <c r="E25" s="4">
        <f t="shared" si="0"/>
        <v>2.9117999999999999</v>
      </c>
      <c r="F25" s="4"/>
    </row>
    <row r="26" spans="1:6">
      <c r="A26" s="3" t="s">
        <v>177</v>
      </c>
      <c r="B26" s="4">
        <v>1.22</v>
      </c>
      <c r="C26" s="5">
        <v>2</v>
      </c>
      <c r="D26" s="4" cm="1">
        <f t="array" ref="D26">_xlfn.IFS(C26=$H$2,$I$2*B26,C26=$H$3,$I$3*B26)</f>
        <v>6.7099999999999993E-2</v>
      </c>
      <c r="E26" s="4">
        <f t="shared" si="0"/>
        <v>1.2870999999999999</v>
      </c>
      <c r="F26" s="4"/>
    </row>
    <row r="27" spans="1:6">
      <c r="A27" s="3" t="s">
        <v>178</v>
      </c>
      <c r="B27" s="4">
        <v>5.56</v>
      </c>
      <c r="C27" s="5">
        <v>1</v>
      </c>
      <c r="D27" s="4" cm="1">
        <f t="array" ref="D27">_xlfn.IFS(C27=$H$2,$I$2*B27,C27=$H$3,$I$3*B27)</f>
        <v>1.0897600000000001</v>
      </c>
      <c r="E27" s="4">
        <f t="shared" si="0"/>
        <v>6.6497599999999997</v>
      </c>
      <c r="F27" s="4"/>
    </row>
    <row r="28" spans="1:6">
      <c r="A28" s="3" t="s">
        <v>179</v>
      </c>
      <c r="B28" s="4">
        <v>4.6500000000000004</v>
      </c>
      <c r="C28" s="5">
        <v>1</v>
      </c>
      <c r="D28" s="4" cm="1">
        <f t="array" ref="D28">_xlfn.IFS(C28=$H$2,$I$2*B28,C28=$H$3,$I$3*B28)</f>
        <v>0.9114000000000001</v>
      </c>
      <c r="E28" s="4">
        <f t="shared" si="0"/>
        <v>5.5614000000000008</v>
      </c>
      <c r="F28" s="4"/>
    </row>
    <row r="29" spans="1:6">
      <c r="A29" s="3" t="s">
        <v>180</v>
      </c>
      <c r="B29" s="4">
        <v>5.34</v>
      </c>
      <c r="C29" s="5">
        <v>2</v>
      </c>
      <c r="D29" s="4" cm="1">
        <f t="array" ref="D29">_xlfn.IFS(C29=$H$2,$I$2*B29,C29=$H$3,$I$3*B29)</f>
        <v>0.29370000000000002</v>
      </c>
      <c r="E29" s="4">
        <f t="shared" si="0"/>
        <v>5.6337000000000002</v>
      </c>
      <c r="F29" s="4"/>
    </row>
    <row r="30" spans="1:6">
      <c r="A30" s="3" t="s">
        <v>181</v>
      </c>
      <c r="B30" s="4">
        <v>2.33</v>
      </c>
      <c r="C30" s="5">
        <v>1</v>
      </c>
      <c r="D30" s="4" cm="1">
        <f t="array" ref="D30">_xlfn.IFS(C30=$H$2,$I$2*B30,C30=$H$3,$I$3*B30)</f>
        <v>0.45668000000000003</v>
      </c>
      <c r="E30" s="4">
        <f t="shared" si="0"/>
        <v>2.78668</v>
      </c>
      <c r="F30" s="4"/>
    </row>
    <row r="31" spans="1:6">
      <c r="B31" s="4"/>
      <c r="D31" s="4"/>
      <c r="E31" s="4"/>
      <c r="F31" s="4"/>
    </row>
    <row r="32" spans="1:6">
      <c r="A32" s="3" t="s">
        <v>182</v>
      </c>
      <c r="B32" s="4">
        <f>AVERAGE(B2:B30)</f>
        <v>3.8641379310344837</v>
      </c>
      <c r="D32" s="4">
        <f>AVERAGE(D2:D30)</f>
        <v>0.54178689655172407</v>
      </c>
      <c r="E32" s="4">
        <f>AVERAGE(E2:E30)</f>
        <v>4.4059248275862073</v>
      </c>
      <c r="F32" s="4"/>
    </row>
    <row r="33" spans="2:6">
      <c r="B33" s="4"/>
      <c r="D33" s="4"/>
      <c r="E33" s="4"/>
      <c r="F33" s="4"/>
    </row>
    <row r="34" spans="2:6">
      <c r="B34" s="4"/>
      <c r="D34" s="4"/>
      <c r="E34" s="4"/>
      <c r="F34" s="4"/>
    </row>
    <row r="35" spans="2:6">
      <c r="B35" s="4"/>
      <c r="D35" s="4"/>
      <c r="E35" s="4"/>
      <c r="F35" s="4"/>
    </row>
    <row r="36" spans="2:6">
      <c r="B36" s="4"/>
      <c r="D36" s="4"/>
      <c r="E36" s="4"/>
      <c r="F36" s="4"/>
    </row>
    <row r="37" spans="2:6">
      <c r="B37" s="4"/>
      <c r="D37" s="4"/>
      <c r="E37" s="4"/>
      <c r="F37" s="4"/>
    </row>
    <row r="38" spans="2:6">
      <c r="B38" s="4"/>
      <c r="D38" s="4"/>
      <c r="E38" s="4"/>
      <c r="F38" s="4"/>
    </row>
    <row r="39" spans="2:6">
      <c r="B39" s="4"/>
      <c r="D39" s="4"/>
      <c r="E39" s="4"/>
      <c r="F39" s="4"/>
    </row>
    <row r="40" spans="2:6">
      <c r="B40" s="4"/>
      <c r="D40" s="4"/>
      <c r="E40" s="4"/>
      <c r="F40" s="4"/>
    </row>
    <row r="41" spans="2:6">
      <c r="B41" s="4"/>
    </row>
    <row r="42" spans="2:6">
      <c r="B42" s="4"/>
    </row>
    <row r="43" spans="2:6">
      <c r="B43" s="4"/>
    </row>
    <row r="44" spans="2:6">
      <c r="B44" s="4"/>
    </row>
    <row r="45" spans="2:6">
      <c r="B45" s="4"/>
    </row>
    <row r="46" spans="2:6">
      <c r="B46" s="4"/>
    </row>
    <row r="47" spans="2:6">
      <c r="B47" s="4"/>
    </row>
    <row r="48" spans="2:6">
      <c r="B48" s="4"/>
    </row>
    <row r="49" spans="2:2">
      <c r="B49" s="4"/>
    </row>
    <row r="50" spans="2:2">
      <c r="B50" s="4"/>
    </row>
    <row r="51" spans="2:2">
      <c r="B51" s="4"/>
    </row>
    <row r="52" spans="2:2">
      <c r="B52" s="4"/>
    </row>
    <row r="53" spans="2:2">
      <c r="B53" s="4"/>
    </row>
    <row r="54" spans="2:2">
      <c r="B54" s="4"/>
    </row>
    <row r="55" spans="2:2">
      <c r="B55" s="4"/>
    </row>
    <row r="56" spans="2:2">
      <c r="B56" s="4"/>
    </row>
    <row r="57" spans="2:2">
      <c r="B57" s="4"/>
    </row>
    <row r="58" spans="2:2">
      <c r="B58" s="4"/>
    </row>
    <row r="59" spans="2:2">
      <c r="B59" s="4"/>
    </row>
    <row r="60" spans="2:2">
      <c r="B60" s="4"/>
    </row>
    <row r="61" spans="2:2">
      <c r="B61" s="4"/>
    </row>
    <row r="62" spans="2:2">
      <c r="B62" s="4"/>
    </row>
    <row r="63" spans="2:2">
      <c r="B63" s="4"/>
    </row>
    <row r="64" spans="2:2">
      <c r="B64" s="4"/>
    </row>
    <row r="65" spans="2:2">
      <c r="B65" s="4"/>
    </row>
    <row r="66" spans="2:2">
      <c r="B66" s="4"/>
    </row>
    <row r="67" spans="2:2">
      <c r="B67" s="4"/>
    </row>
    <row r="68" spans="2:2">
      <c r="B68" s="4"/>
    </row>
    <row r="69" spans="2:2">
      <c r="B69" s="4"/>
    </row>
    <row r="70" spans="2:2">
      <c r="B70" s="4"/>
    </row>
    <row r="71" spans="2:2">
      <c r="B71" s="4"/>
    </row>
    <row r="72" spans="2:2">
      <c r="B72" s="4"/>
    </row>
    <row r="73" spans="2:2">
      <c r="B73" s="4"/>
    </row>
    <row r="74" spans="2:2">
      <c r="B74" s="4"/>
    </row>
    <row r="75" spans="2:2">
      <c r="B75" s="4"/>
    </row>
    <row r="76" spans="2:2">
      <c r="B76" s="4"/>
    </row>
    <row r="77" spans="2:2">
      <c r="B77" s="4"/>
    </row>
    <row r="78" spans="2:2">
      <c r="B78" s="4"/>
    </row>
    <row r="79" spans="2:2">
      <c r="B79" s="4"/>
    </row>
    <row r="80" spans="2:2">
      <c r="B80" s="4"/>
    </row>
    <row r="81" spans="2:2">
      <c r="B81" s="4"/>
    </row>
    <row r="82" spans="2:2">
      <c r="B82" s="4"/>
    </row>
    <row r="83" spans="2:2">
      <c r="B83" s="4"/>
    </row>
    <row r="84" spans="2:2">
      <c r="B84" s="4"/>
    </row>
    <row r="85" spans="2:2">
      <c r="B85" s="4"/>
    </row>
    <row r="86" spans="2:2">
      <c r="B86" s="4"/>
    </row>
    <row r="87" spans="2:2">
      <c r="B87" s="4"/>
    </row>
    <row r="88" spans="2:2">
      <c r="B88" s="4"/>
    </row>
    <row r="89" spans="2:2">
      <c r="B89" s="4"/>
    </row>
    <row r="90" spans="2:2">
      <c r="B90" s="4"/>
    </row>
    <row r="91" spans="2:2">
      <c r="B91" s="4"/>
    </row>
    <row r="92" spans="2:2">
      <c r="B92" s="4"/>
    </row>
    <row r="93" spans="2:2">
      <c r="B93" s="4"/>
    </row>
    <row r="94" spans="2:2">
      <c r="B94" s="4"/>
    </row>
    <row r="95" spans="2:2">
      <c r="B95" s="4"/>
    </row>
    <row r="96" spans="2:2">
      <c r="B96" s="4"/>
    </row>
    <row r="97" spans="2:2">
      <c r="B97" s="4"/>
    </row>
    <row r="98" spans="2:2">
      <c r="B98" s="4"/>
    </row>
    <row r="99" spans="2:2">
      <c r="B99" s="4"/>
    </row>
    <row r="100" spans="2:2">
      <c r="B100" s="4"/>
    </row>
    <row r="101" spans="2:2">
      <c r="B101" s="4"/>
    </row>
    <row r="102" spans="2:2">
      <c r="B102" s="4"/>
    </row>
    <row r="103" spans="2:2">
      <c r="B103" s="4"/>
    </row>
    <row r="104" spans="2:2">
      <c r="B104" s="4"/>
    </row>
    <row r="105" spans="2:2">
      <c r="B105" s="4"/>
    </row>
    <row r="106" spans="2:2">
      <c r="B106" s="4"/>
    </row>
    <row r="107" spans="2:2">
      <c r="B107" s="4"/>
    </row>
    <row r="108" spans="2:2">
      <c r="B108" s="4"/>
    </row>
    <row r="109" spans="2:2">
      <c r="B109" s="4"/>
    </row>
    <row r="110" spans="2:2">
      <c r="B110" s="4"/>
    </row>
    <row r="111" spans="2:2">
      <c r="B111" s="4"/>
    </row>
    <row r="112" spans="2:2">
      <c r="B112" s="4"/>
    </row>
    <row r="113" spans="2:2">
      <c r="B113" s="4"/>
    </row>
    <row r="114" spans="2:2">
      <c r="B114" s="4"/>
    </row>
    <row r="115" spans="2:2">
      <c r="B115" s="4"/>
    </row>
    <row r="116" spans="2:2">
      <c r="B116" s="4"/>
    </row>
    <row r="117" spans="2:2">
      <c r="B117" s="4"/>
    </row>
    <row r="118" spans="2:2">
      <c r="B118" s="4"/>
    </row>
    <row r="119" spans="2:2">
      <c r="B119" s="4"/>
    </row>
    <row r="120" spans="2:2">
      <c r="B120" s="4"/>
    </row>
    <row r="121" spans="2:2">
      <c r="B121" s="4"/>
    </row>
    <row r="122" spans="2:2">
      <c r="B122" s="4"/>
    </row>
    <row r="123" spans="2:2">
      <c r="B123" s="4"/>
    </row>
    <row r="124" spans="2:2">
      <c r="B124" s="4"/>
    </row>
    <row r="125" spans="2:2">
      <c r="B125" s="4"/>
    </row>
    <row r="126" spans="2:2">
      <c r="B126" s="4"/>
    </row>
    <row r="127" spans="2:2">
      <c r="B127" s="4"/>
    </row>
    <row r="128" spans="2:2">
      <c r="B128" s="4"/>
    </row>
    <row r="129" spans="2:2">
      <c r="B129" s="4"/>
    </row>
    <row r="130" spans="2:2">
      <c r="B130" s="4"/>
    </row>
    <row r="131" spans="2:2">
      <c r="B131" s="4"/>
    </row>
    <row r="132" spans="2:2">
      <c r="B132" s="4"/>
    </row>
    <row r="133" spans="2:2">
      <c r="B133" s="4"/>
    </row>
    <row r="134" spans="2:2">
      <c r="B134" s="4"/>
    </row>
    <row r="135" spans="2:2">
      <c r="B135" s="4"/>
    </row>
    <row r="136" spans="2:2">
      <c r="B136" s="4"/>
    </row>
    <row r="137" spans="2:2">
      <c r="B137" s="4"/>
    </row>
    <row r="138" spans="2:2">
      <c r="B138" s="4"/>
    </row>
    <row r="139" spans="2:2">
      <c r="B139" s="4"/>
    </row>
    <row r="140" spans="2:2">
      <c r="B140" s="4"/>
    </row>
    <row r="141" spans="2:2">
      <c r="B141" s="4"/>
    </row>
    <row r="142" spans="2:2">
      <c r="B142" s="4"/>
    </row>
    <row r="143" spans="2:2">
      <c r="B143" s="4"/>
    </row>
    <row r="144" spans="2:2">
      <c r="B144" s="4"/>
    </row>
    <row r="145" spans="2:2">
      <c r="B145" s="4"/>
    </row>
    <row r="146" spans="2:2">
      <c r="B146" s="4"/>
    </row>
    <row r="147" spans="2:2">
      <c r="B147" s="4"/>
    </row>
    <row r="148" spans="2:2">
      <c r="B148" s="4"/>
    </row>
    <row r="149" spans="2:2">
      <c r="B149" s="4"/>
    </row>
    <row r="150" spans="2:2">
      <c r="B150" s="4"/>
    </row>
    <row r="151" spans="2:2">
      <c r="B151" s="4"/>
    </row>
    <row r="152" spans="2:2">
      <c r="B152" s="4"/>
    </row>
    <row r="153" spans="2:2">
      <c r="B153" s="4"/>
    </row>
    <row r="154" spans="2:2">
      <c r="B154" s="4"/>
    </row>
    <row r="155" spans="2:2">
      <c r="B155" s="4"/>
    </row>
    <row r="156" spans="2:2">
      <c r="B156" s="4"/>
    </row>
    <row r="157" spans="2:2">
      <c r="B157" s="4"/>
    </row>
    <row r="158" spans="2:2">
      <c r="B158" s="4"/>
    </row>
    <row r="159" spans="2:2">
      <c r="B159" s="4"/>
    </row>
    <row r="160" spans="2:2">
      <c r="B160" s="4"/>
    </row>
    <row r="161" spans="2:2">
      <c r="B161" s="4"/>
    </row>
    <row r="162" spans="2:2">
      <c r="B162" s="4"/>
    </row>
    <row r="163" spans="2:2">
      <c r="B163" s="4"/>
    </row>
    <row r="164" spans="2:2">
      <c r="B164" s="4"/>
    </row>
    <row r="165" spans="2:2">
      <c r="B165" s="4"/>
    </row>
    <row r="166" spans="2:2">
      <c r="B166"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B0203-E228-4115-85E2-43C348D9FD5A}">
  <dimension ref="A1:U1048563"/>
  <sheetViews>
    <sheetView tabSelected="1" topLeftCell="A9" workbookViewId="0">
      <selection activeCell="L5" sqref="L5"/>
    </sheetView>
  </sheetViews>
  <sheetFormatPr defaultRowHeight="15"/>
  <cols>
    <col min="1" max="1" width="11.42578125" style="38" customWidth="1"/>
    <col min="2" max="2" width="11.42578125" customWidth="1"/>
    <col min="3" max="3" width="24.5703125" customWidth="1"/>
    <col min="4" max="4" width="17.85546875" customWidth="1"/>
    <col min="5" max="5" width="9.5703125" style="15" customWidth="1"/>
    <col min="6" max="6" width="12.28515625" customWidth="1"/>
    <col min="7" max="7" width="12.28515625" style="49" customWidth="1"/>
    <col min="8" max="8" width="13.140625" customWidth="1"/>
    <col min="9" max="9" width="13.140625" style="49" customWidth="1"/>
    <col min="10" max="12" width="13.140625" customWidth="1"/>
  </cols>
  <sheetData>
    <row r="1" spans="1:21" ht="18.75">
      <c r="A1" s="54" t="s">
        <v>183</v>
      </c>
      <c r="B1" s="54"/>
      <c r="C1" s="54"/>
      <c r="D1" s="54"/>
      <c r="E1" s="51"/>
      <c r="F1" s="39"/>
      <c r="G1" s="52"/>
      <c r="H1" s="39"/>
      <c r="I1" s="52"/>
      <c r="J1" s="39"/>
      <c r="K1" s="53">
        <v>0.01</v>
      </c>
    </row>
    <row r="2" spans="1:21" s="5" customFormat="1" ht="30">
      <c r="A2" s="42" t="s">
        <v>104</v>
      </c>
      <c r="B2" s="43" t="s">
        <v>45</v>
      </c>
      <c r="C2" s="43" t="s">
        <v>105</v>
      </c>
      <c r="D2" s="43" t="s">
        <v>106</v>
      </c>
      <c r="E2" s="44" t="s">
        <v>107</v>
      </c>
      <c r="F2" s="45" t="s">
        <v>184</v>
      </c>
      <c r="G2" s="46" t="s">
        <v>185</v>
      </c>
      <c r="H2" s="46" t="s">
        <v>186</v>
      </c>
      <c r="I2" s="46" t="s">
        <v>187</v>
      </c>
      <c r="J2" s="46" t="s">
        <v>188</v>
      </c>
      <c r="K2" s="45" t="s">
        <v>189</v>
      </c>
    </row>
    <row r="3" spans="1:21">
      <c r="A3" s="38">
        <v>100</v>
      </c>
      <c r="B3" t="s">
        <v>110</v>
      </c>
      <c r="C3" t="s">
        <v>111</v>
      </c>
      <c r="D3" t="s">
        <v>112</v>
      </c>
      <c r="E3" s="15">
        <v>3000</v>
      </c>
      <c r="F3" s="15">
        <f t="shared" ref="F3:F24" si="0">IF(D3=$U$7,$U$8,$U$9)</f>
        <v>2000</v>
      </c>
      <c r="G3" s="50">
        <v>10</v>
      </c>
      <c r="H3" s="15">
        <f>IF(G3&gt;$U$10,$U$11,$U$12)</f>
        <v>200</v>
      </c>
      <c r="I3" s="49">
        <v>108000</v>
      </c>
      <c r="J3" s="15">
        <f>$U$13*I3</f>
        <v>1080</v>
      </c>
      <c r="K3" s="15">
        <f>SUM(E3:J3)</f>
        <v>114290</v>
      </c>
    </row>
    <row r="4" spans="1:21">
      <c r="A4" s="38">
        <v>101</v>
      </c>
      <c r="B4" t="s">
        <v>29</v>
      </c>
      <c r="C4" t="s">
        <v>113</v>
      </c>
      <c r="D4" t="s">
        <v>114</v>
      </c>
      <c r="E4" s="15">
        <v>1200</v>
      </c>
      <c r="F4" s="15">
        <f t="shared" si="0"/>
        <v>1000</v>
      </c>
      <c r="G4" s="50">
        <v>4</v>
      </c>
      <c r="H4" s="15">
        <f t="shared" ref="H4:H6" si="1">IF(G4&gt;$U$10,$U$11,$U$12)</f>
        <v>400</v>
      </c>
      <c r="I4" s="50">
        <v>113000</v>
      </c>
      <c r="J4" s="15">
        <f t="shared" ref="J4:J6" si="2">$U$13*I4</f>
        <v>1130</v>
      </c>
      <c r="K4" s="15">
        <f t="shared" ref="K4:K24" si="3">SUM(E4:J4)</f>
        <v>116734</v>
      </c>
    </row>
    <row r="5" spans="1:21">
      <c r="A5" s="38">
        <v>102</v>
      </c>
      <c r="B5" t="s">
        <v>70</v>
      </c>
      <c r="C5" t="s">
        <v>115</v>
      </c>
      <c r="D5" t="s">
        <v>116</v>
      </c>
      <c r="E5" s="15">
        <v>2350</v>
      </c>
      <c r="F5" s="15">
        <f t="shared" si="0"/>
        <v>1000</v>
      </c>
      <c r="G5" s="50">
        <v>5</v>
      </c>
      <c r="H5" s="15">
        <f t="shared" si="1"/>
        <v>200</v>
      </c>
      <c r="I5" s="49">
        <v>96000</v>
      </c>
      <c r="J5" s="15">
        <f t="shared" si="2"/>
        <v>960</v>
      </c>
      <c r="K5" s="15">
        <f t="shared" si="3"/>
        <v>100515</v>
      </c>
    </row>
    <row r="6" spans="1:21">
      <c r="A6" s="38">
        <v>103</v>
      </c>
      <c r="B6" t="s">
        <v>117</v>
      </c>
      <c r="C6" t="s">
        <v>118</v>
      </c>
      <c r="D6" t="s">
        <v>116</v>
      </c>
      <c r="E6" s="15">
        <v>2250</v>
      </c>
      <c r="F6" s="15">
        <f t="shared" si="0"/>
        <v>1000</v>
      </c>
      <c r="G6" s="50">
        <v>6</v>
      </c>
      <c r="H6" s="15">
        <f t="shared" si="1"/>
        <v>200</v>
      </c>
      <c r="I6" s="49">
        <v>98000</v>
      </c>
      <c r="J6" s="15">
        <f t="shared" si="2"/>
        <v>980</v>
      </c>
      <c r="K6" s="15">
        <f t="shared" si="3"/>
        <v>102436</v>
      </c>
    </row>
    <row r="7" spans="1:21">
      <c r="A7" s="38">
        <v>104</v>
      </c>
      <c r="B7" t="s">
        <v>119</v>
      </c>
      <c r="C7" t="s">
        <v>120</v>
      </c>
      <c r="D7" t="s">
        <v>116</v>
      </c>
      <c r="E7" s="15">
        <v>2300</v>
      </c>
      <c r="F7" s="15">
        <f t="shared" si="0"/>
        <v>1000</v>
      </c>
      <c r="G7" s="50"/>
      <c r="J7" s="15"/>
      <c r="K7" s="15">
        <f t="shared" si="3"/>
        <v>3300</v>
      </c>
      <c r="P7" t="s">
        <v>127</v>
      </c>
      <c r="U7" t="s">
        <v>112</v>
      </c>
    </row>
    <row r="8" spans="1:21">
      <c r="A8" s="38">
        <v>105</v>
      </c>
      <c r="B8" t="s">
        <v>121</v>
      </c>
      <c r="C8" t="s">
        <v>122</v>
      </c>
      <c r="D8" t="s">
        <v>114</v>
      </c>
      <c r="E8" s="15">
        <v>1200</v>
      </c>
      <c r="F8" s="15">
        <f t="shared" si="0"/>
        <v>1000</v>
      </c>
      <c r="G8" s="50"/>
      <c r="J8" s="15"/>
      <c r="K8" s="15">
        <f t="shared" si="3"/>
        <v>2200</v>
      </c>
      <c r="P8" t="s">
        <v>130</v>
      </c>
      <c r="U8">
        <v>2000</v>
      </c>
    </row>
    <row r="9" spans="1:21">
      <c r="A9" s="38">
        <v>106</v>
      </c>
      <c r="B9" t="s">
        <v>123</v>
      </c>
      <c r="C9" t="s">
        <v>124</v>
      </c>
      <c r="D9" t="s">
        <v>114</v>
      </c>
      <c r="E9" s="15">
        <v>1250</v>
      </c>
      <c r="F9" s="15">
        <f t="shared" si="0"/>
        <v>1000</v>
      </c>
      <c r="G9" s="50"/>
      <c r="J9" s="15"/>
      <c r="K9" s="15">
        <f t="shared" si="3"/>
        <v>2250</v>
      </c>
      <c r="P9" t="s">
        <v>133</v>
      </c>
      <c r="U9">
        <v>1000</v>
      </c>
    </row>
    <row r="10" spans="1:21">
      <c r="A10" s="38">
        <v>107</v>
      </c>
      <c r="B10" t="s">
        <v>125</v>
      </c>
      <c r="C10" t="s">
        <v>126</v>
      </c>
      <c r="D10" t="s">
        <v>112</v>
      </c>
      <c r="E10" s="15">
        <v>3400</v>
      </c>
      <c r="F10" s="15">
        <f t="shared" si="0"/>
        <v>2000</v>
      </c>
      <c r="G10" s="50"/>
      <c r="J10" s="15"/>
      <c r="K10" s="15">
        <f t="shared" si="3"/>
        <v>5400</v>
      </c>
      <c r="P10" t="s">
        <v>190</v>
      </c>
      <c r="U10">
        <v>4</v>
      </c>
    </row>
    <row r="11" spans="1:21">
      <c r="A11" s="38">
        <v>108</v>
      </c>
      <c r="B11" t="s">
        <v>128</v>
      </c>
      <c r="C11" t="s">
        <v>129</v>
      </c>
      <c r="D11" t="s">
        <v>112</v>
      </c>
      <c r="E11" s="15">
        <v>3350</v>
      </c>
      <c r="F11" s="15">
        <f t="shared" si="0"/>
        <v>2000</v>
      </c>
      <c r="G11" s="50"/>
      <c r="J11" s="15"/>
      <c r="K11" s="15">
        <f t="shared" si="3"/>
        <v>5350</v>
      </c>
      <c r="P11" t="s">
        <v>191</v>
      </c>
      <c r="U11">
        <v>200</v>
      </c>
    </row>
    <row r="12" spans="1:21">
      <c r="A12" s="38">
        <v>109</v>
      </c>
      <c r="B12" t="s">
        <v>131</v>
      </c>
      <c r="C12" t="s">
        <v>132</v>
      </c>
      <c r="D12" t="s">
        <v>114</v>
      </c>
      <c r="E12" s="15">
        <v>1000</v>
      </c>
      <c r="F12" s="15">
        <f t="shared" si="0"/>
        <v>1000</v>
      </c>
      <c r="G12" s="50"/>
      <c r="J12" s="15"/>
      <c r="K12" s="15">
        <f t="shared" si="3"/>
        <v>2000</v>
      </c>
      <c r="P12" t="s">
        <v>192</v>
      </c>
      <c r="U12">
        <v>400</v>
      </c>
    </row>
    <row r="13" spans="1:21">
      <c r="A13" s="38">
        <v>110</v>
      </c>
      <c r="B13" t="s">
        <v>134</v>
      </c>
      <c r="C13" t="s">
        <v>135</v>
      </c>
      <c r="D13" t="s">
        <v>114</v>
      </c>
      <c r="E13" s="15">
        <v>1050</v>
      </c>
      <c r="F13" s="15">
        <f t="shared" si="0"/>
        <v>1000</v>
      </c>
      <c r="G13" s="50"/>
      <c r="J13" s="15"/>
      <c r="K13" s="15">
        <f t="shared" si="3"/>
        <v>2050</v>
      </c>
      <c r="P13" t="s">
        <v>193</v>
      </c>
      <c r="U13" s="57">
        <v>0.01</v>
      </c>
    </row>
    <row r="14" spans="1:21">
      <c r="A14" s="38">
        <v>111</v>
      </c>
      <c r="B14" t="s">
        <v>136</v>
      </c>
      <c r="C14" t="s">
        <v>137</v>
      </c>
      <c r="D14" t="s">
        <v>116</v>
      </c>
      <c r="E14" s="15">
        <v>1800</v>
      </c>
      <c r="F14" s="15">
        <f t="shared" si="0"/>
        <v>1000</v>
      </c>
      <c r="G14" s="50"/>
      <c r="J14" s="15"/>
      <c r="K14" s="15">
        <f t="shared" si="3"/>
        <v>2800</v>
      </c>
    </row>
    <row r="15" spans="1:21">
      <c r="A15" s="38">
        <v>112</v>
      </c>
      <c r="B15" t="s">
        <v>138</v>
      </c>
      <c r="C15" t="s">
        <v>139</v>
      </c>
      <c r="D15" t="s">
        <v>112</v>
      </c>
      <c r="E15" s="15">
        <v>3890</v>
      </c>
      <c r="F15" s="15">
        <f t="shared" si="0"/>
        <v>2000</v>
      </c>
      <c r="G15" s="50"/>
      <c r="J15" s="15"/>
      <c r="K15" s="15">
        <f t="shared" si="3"/>
        <v>5890</v>
      </c>
    </row>
    <row r="16" spans="1:21">
      <c r="A16" s="38">
        <v>113</v>
      </c>
      <c r="B16" t="s">
        <v>140</v>
      </c>
      <c r="C16" t="s">
        <v>141</v>
      </c>
      <c r="D16" t="s">
        <v>112</v>
      </c>
      <c r="E16" s="15">
        <v>4350</v>
      </c>
      <c r="F16" s="15">
        <f t="shared" si="0"/>
        <v>2000</v>
      </c>
      <c r="G16" s="50"/>
      <c r="J16" s="15"/>
      <c r="K16" s="15">
        <f t="shared" si="3"/>
        <v>6350</v>
      </c>
    </row>
    <row r="17" spans="1:11">
      <c r="A17" s="38">
        <v>114</v>
      </c>
      <c r="B17" t="s">
        <v>142</v>
      </c>
      <c r="C17" t="s">
        <v>143</v>
      </c>
      <c r="D17" t="s">
        <v>114</v>
      </c>
      <c r="E17" s="15">
        <v>1340</v>
      </c>
      <c r="F17" s="15">
        <f t="shared" si="0"/>
        <v>1000</v>
      </c>
      <c r="G17" s="50"/>
      <c r="J17" s="15"/>
      <c r="K17" s="15">
        <f t="shared" si="3"/>
        <v>2340</v>
      </c>
    </row>
    <row r="18" spans="1:11">
      <c r="A18" s="38">
        <v>115</v>
      </c>
      <c r="B18" t="s">
        <v>144</v>
      </c>
      <c r="C18" t="s">
        <v>145</v>
      </c>
      <c r="D18" t="s">
        <v>116</v>
      </c>
      <c r="E18" s="15">
        <v>1900</v>
      </c>
      <c r="F18" s="15">
        <f t="shared" si="0"/>
        <v>1000</v>
      </c>
      <c r="G18" s="50"/>
      <c r="J18" s="15"/>
      <c r="K18" s="15">
        <f t="shared" si="3"/>
        <v>2900</v>
      </c>
    </row>
    <row r="19" spans="1:11">
      <c r="A19" s="38">
        <v>116</v>
      </c>
      <c r="B19" t="s">
        <v>30</v>
      </c>
      <c r="C19" t="s">
        <v>146</v>
      </c>
      <c r="D19" t="s">
        <v>112</v>
      </c>
      <c r="E19" s="15">
        <v>4850</v>
      </c>
      <c r="F19" s="15">
        <f t="shared" si="0"/>
        <v>2000</v>
      </c>
      <c r="G19" s="50"/>
      <c r="I19" s="50"/>
      <c r="J19" s="15"/>
      <c r="K19" s="15">
        <f t="shared" si="3"/>
        <v>6850</v>
      </c>
    </row>
    <row r="20" spans="1:11">
      <c r="A20" s="38">
        <v>117</v>
      </c>
      <c r="B20" t="s">
        <v>31</v>
      </c>
      <c r="C20" t="s">
        <v>147</v>
      </c>
      <c r="D20" t="s">
        <v>116</v>
      </c>
      <c r="E20" s="15">
        <v>2340</v>
      </c>
      <c r="F20" s="15">
        <f t="shared" si="0"/>
        <v>1000</v>
      </c>
      <c r="G20" s="50"/>
      <c r="I20" s="50"/>
      <c r="J20" s="15"/>
      <c r="K20" s="15">
        <f t="shared" si="3"/>
        <v>3340</v>
      </c>
    </row>
    <row r="21" spans="1:11">
      <c r="A21" s="38">
        <v>118</v>
      </c>
      <c r="B21" t="s">
        <v>32</v>
      </c>
      <c r="C21" t="s">
        <v>148</v>
      </c>
      <c r="D21" t="s">
        <v>116</v>
      </c>
      <c r="E21" s="15">
        <v>3000</v>
      </c>
      <c r="F21" s="15">
        <f t="shared" si="0"/>
        <v>1000</v>
      </c>
      <c r="G21" s="50"/>
      <c r="I21" s="50"/>
      <c r="J21" s="15"/>
      <c r="K21" s="15">
        <f t="shared" si="3"/>
        <v>4000</v>
      </c>
    </row>
    <row r="22" spans="1:11">
      <c r="A22" s="38">
        <v>119</v>
      </c>
      <c r="B22" t="s">
        <v>33</v>
      </c>
      <c r="C22" t="s">
        <v>148</v>
      </c>
      <c r="D22" t="s">
        <v>116</v>
      </c>
      <c r="E22" s="15">
        <v>3000</v>
      </c>
      <c r="F22" s="15">
        <f t="shared" si="0"/>
        <v>1000</v>
      </c>
      <c r="G22" s="50"/>
      <c r="I22" s="50"/>
      <c r="J22" s="15"/>
      <c r="K22" s="15">
        <f t="shared" si="3"/>
        <v>4000</v>
      </c>
    </row>
    <row r="23" spans="1:11">
      <c r="A23" s="38">
        <v>120</v>
      </c>
      <c r="B23" t="s">
        <v>34</v>
      </c>
      <c r="C23" t="s">
        <v>148</v>
      </c>
      <c r="D23" t="s">
        <v>116</v>
      </c>
      <c r="E23" s="15">
        <v>3000</v>
      </c>
      <c r="F23" s="15">
        <f t="shared" si="0"/>
        <v>1000</v>
      </c>
      <c r="G23" s="50"/>
      <c r="I23" s="50"/>
      <c r="J23" s="15"/>
      <c r="K23" s="15">
        <f t="shared" si="3"/>
        <v>4000</v>
      </c>
    </row>
    <row r="24" spans="1:11">
      <c r="A24" s="38">
        <v>121</v>
      </c>
      <c r="B24" t="s">
        <v>35</v>
      </c>
      <c r="C24" t="s">
        <v>148</v>
      </c>
      <c r="D24" t="s">
        <v>116</v>
      </c>
      <c r="E24" s="15">
        <v>3000</v>
      </c>
      <c r="F24" s="15">
        <f t="shared" si="0"/>
        <v>1000</v>
      </c>
      <c r="G24" s="50"/>
      <c r="I24" s="50"/>
      <c r="J24" s="15"/>
      <c r="K24" s="15">
        <f t="shared" si="3"/>
        <v>4000</v>
      </c>
    </row>
    <row r="25" spans="1:11">
      <c r="J25" s="15"/>
    </row>
    <row r="1048563" spans="9:9">
      <c r="I1048563" s="48"/>
    </row>
  </sheetData>
  <autoFilter ref="A2:K2" xr:uid="{6A7978C1-B5A1-4A2F-929C-FBA4260D01CF}"/>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D1183-3CC5-439F-B923-CAA43BFB27E9}">
  <sheetPr>
    <tabColor theme="4" tint="-0.249977111117893"/>
  </sheetPr>
  <dimension ref="A1:C8"/>
  <sheetViews>
    <sheetView workbookViewId="0">
      <selection activeCell="B3" sqref="B3"/>
    </sheetView>
  </sheetViews>
  <sheetFormatPr defaultRowHeight="15"/>
  <cols>
    <col min="1" max="1" width="12.85546875" customWidth="1"/>
    <col min="2" max="2" width="16" customWidth="1"/>
    <col min="3" max="3" width="10.7109375" bestFit="1" customWidth="1"/>
  </cols>
  <sheetData>
    <row r="1" spans="1:3" ht="15.75">
      <c r="A1" s="64" t="s">
        <v>194</v>
      </c>
      <c r="B1" s="65">
        <f ca="1">WEEKNUM(C1)</f>
        <v>43</v>
      </c>
      <c r="C1" s="63">
        <f ca="1">TODAY()</f>
        <v>44124</v>
      </c>
    </row>
    <row r="2" spans="1:3" ht="30">
      <c r="A2" s="61" t="s">
        <v>22</v>
      </c>
      <c r="B2" s="62" t="s">
        <v>195</v>
      </c>
    </row>
    <row r="3" spans="1:3">
      <c r="A3" t="s">
        <v>196</v>
      </c>
      <c r="B3" s="82">
        <f>SUM(Dentiste!B3,Pediatrie!B3,Cardiologie!B3,Orthopedie!B3,Neurologie!B3)</f>
        <v>12</v>
      </c>
    </row>
    <row r="4" spans="1:3">
      <c r="A4" t="s">
        <v>197</v>
      </c>
      <c r="B4" s="82">
        <f>SUM(Dentiste!B4,Pediatrie!B4,Cardiologie!B4,Orthopedie!B4,Neurologie!B4)</f>
        <v>11</v>
      </c>
    </row>
    <row r="5" spans="1:3">
      <c r="A5" t="s">
        <v>198</v>
      </c>
      <c r="B5" s="82">
        <f>SUM(Dentiste!B5,Pediatrie!B5,Cardiologie!B5,Orthopedie!B5,Neurologie!B5)</f>
        <v>8</v>
      </c>
    </row>
    <row r="6" spans="1:3">
      <c r="A6" t="s">
        <v>199</v>
      </c>
      <c r="B6" s="82">
        <f>SUM(Dentiste!B6,Pediatrie!B6,Cardiologie!B6,Orthopedie!B6,Neurologie!B6)</f>
        <v>11</v>
      </c>
    </row>
    <row r="7" spans="1:3">
      <c r="A7" t="s">
        <v>200</v>
      </c>
      <c r="B7" s="82">
        <f>SUM(Dentiste!B7,Pediatrie!B7,Cardiologie!B7,Orthopedie!B7,Neurologie!B7)</f>
        <v>14</v>
      </c>
    </row>
    <row r="8" spans="1:3">
      <c r="A8" s="61" t="s">
        <v>201</v>
      </c>
      <c r="B8" s="61">
        <f>SUM(B3:B7)</f>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20DC0-27EC-414E-946D-ED43A21EA3A0}">
  <sheetPr>
    <tabColor theme="4" tint="-0.249977111117893"/>
  </sheetPr>
  <dimension ref="A1:B8"/>
  <sheetViews>
    <sheetView workbookViewId="0">
      <selection activeCell="M11" sqref="M11"/>
    </sheetView>
  </sheetViews>
  <sheetFormatPr defaultRowHeight="15"/>
  <cols>
    <col min="1" max="1" width="12.85546875" customWidth="1"/>
    <col min="2" max="2" width="15.5703125" customWidth="1"/>
  </cols>
  <sheetData>
    <row r="1" spans="1:2">
      <c r="A1" s="60" t="s">
        <v>194</v>
      </c>
      <c r="B1" s="60"/>
    </row>
    <row r="2" spans="1:2" s="5" customFormat="1" ht="30">
      <c r="A2" s="61" t="s">
        <v>202</v>
      </c>
      <c r="B2" s="62" t="s">
        <v>195</v>
      </c>
    </row>
    <row r="3" spans="1:2">
      <c r="A3" t="s">
        <v>196</v>
      </c>
      <c r="B3">
        <v>2</v>
      </c>
    </row>
    <row r="4" spans="1:2">
      <c r="A4" t="s">
        <v>197</v>
      </c>
      <c r="B4">
        <v>3</v>
      </c>
    </row>
    <row r="5" spans="1:2">
      <c r="A5" t="s">
        <v>198</v>
      </c>
      <c r="B5">
        <v>1</v>
      </c>
    </row>
    <row r="6" spans="1:2">
      <c r="A6" t="s">
        <v>199</v>
      </c>
      <c r="B6">
        <v>4</v>
      </c>
    </row>
    <row r="7" spans="1:2">
      <c r="A7" t="s">
        <v>200</v>
      </c>
      <c r="B7">
        <v>5</v>
      </c>
    </row>
    <row r="8" spans="1:2">
      <c r="A8" s="61" t="s">
        <v>201</v>
      </c>
      <c r="B8" s="61">
        <f>SUM(B3:B7)</f>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A8DA3-8B46-4F40-B4CF-07581857161D}">
  <sheetPr>
    <tabColor theme="4" tint="-0.249977111117893"/>
  </sheetPr>
  <dimension ref="A1:B8"/>
  <sheetViews>
    <sheetView workbookViewId="0">
      <selection activeCell="A8" sqref="A8"/>
    </sheetView>
  </sheetViews>
  <sheetFormatPr defaultRowHeight="15"/>
  <cols>
    <col min="1" max="1" width="12.85546875" customWidth="1"/>
    <col min="2" max="2" width="15.5703125" customWidth="1"/>
  </cols>
  <sheetData>
    <row r="1" spans="1:2">
      <c r="A1" s="60" t="s">
        <v>194</v>
      </c>
      <c r="B1" s="60"/>
    </row>
    <row r="2" spans="1:2" ht="30">
      <c r="A2" s="61" t="s">
        <v>202</v>
      </c>
      <c r="B2" s="62" t="s">
        <v>195</v>
      </c>
    </row>
    <row r="3" spans="1:2">
      <c r="A3" t="s">
        <v>196</v>
      </c>
      <c r="B3">
        <v>3</v>
      </c>
    </row>
    <row r="4" spans="1:2">
      <c r="A4" t="s">
        <v>197</v>
      </c>
      <c r="B4">
        <v>4</v>
      </c>
    </row>
    <row r="5" spans="1:2">
      <c r="A5" t="s">
        <v>198</v>
      </c>
      <c r="B5">
        <v>1</v>
      </c>
    </row>
    <row r="6" spans="1:2">
      <c r="A6" t="s">
        <v>199</v>
      </c>
      <c r="B6">
        <v>2</v>
      </c>
    </row>
    <row r="7" spans="1:2">
      <c r="A7" t="s">
        <v>200</v>
      </c>
      <c r="B7">
        <v>3</v>
      </c>
    </row>
    <row r="8" spans="1:2">
      <c r="A8" s="61" t="s">
        <v>201</v>
      </c>
      <c r="B8" s="61">
        <f>SUM(B3:B7)</f>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82715-AC0E-4933-969F-BEC94A7ADFAB}">
  <sheetPr>
    <tabColor theme="4" tint="-0.249977111117893"/>
  </sheetPr>
  <dimension ref="A1:B8"/>
  <sheetViews>
    <sheetView workbookViewId="0">
      <selection activeCell="A8" sqref="A8"/>
    </sheetView>
  </sheetViews>
  <sheetFormatPr defaultRowHeight="15"/>
  <cols>
    <col min="1" max="1" width="12.85546875" customWidth="1"/>
    <col min="2" max="2" width="15.5703125" customWidth="1"/>
  </cols>
  <sheetData>
    <row r="1" spans="1:2">
      <c r="A1" s="60" t="s">
        <v>194</v>
      </c>
      <c r="B1" s="60"/>
    </row>
    <row r="2" spans="1:2" ht="30">
      <c r="A2" s="61" t="s">
        <v>202</v>
      </c>
      <c r="B2" s="62" t="s">
        <v>195</v>
      </c>
    </row>
    <row r="3" spans="1:2">
      <c r="A3" t="s">
        <v>196</v>
      </c>
      <c r="B3">
        <v>5</v>
      </c>
    </row>
    <row r="4" spans="1:2">
      <c r="A4" t="s">
        <v>197</v>
      </c>
      <c r="B4">
        <v>2</v>
      </c>
    </row>
    <row r="5" spans="1:2">
      <c r="A5" t="s">
        <v>198</v>
      </c>
      <c r="B5">
        <v>3</v>
      </c>
    </row>
    <row r="6" spans="1:2">
      <c r="A6" t="s">
        <v>199</v>
      </c>
      <c r="B6">
        <v>1</v>
      </c>
    </row>
    <row r="7" spans="1:2">
      <c r="A7" t="s">
        <v>200</v>
      </c>
      <c r="B7">
        <v>4</v>
      </c>
    </row>
    <row r="8" spans="1:2">
      <c r="A8" s="61" t="s">
        <v>201</v>
      </c>
      <c r="B8" s="61">
        <f>SUM(B3:B7)</f>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0B37E-4517-44E4-9FE9-96D3F5A67F09}">
  <sheetPr>
    <tabColor theme="4" tint="-0.249977111117893"/>
  </sheetPr>
  <dimension ref="A1:B8"/>
  <sheetViews>
    <sheetView workbookViewId="0">
      <selection activeCell="A8" sqref="A8"/>
    </sheetView>
  </sheetViews>
  <sheetFormatPr defaultRowHeight="15"/>
  <cols>
    <col min="1" max="1" width="12.85546875" customWidth="1"/>
    <col min="2" max="2" width="15.5703125" customWidth="1"/>
  </cols>
  <sheetData>
    <row r="1" spans="1:2">
      <c r="A1" s="60" t="s">
        <v>194</v>
      </c>
      <c r="B1" s="60"/>
    </row>
    <row r="2" spans="1:2" ht="30">
      <c r="A2" s="61" t="s">
        <v>202</v>
      </c>
      <c r="B2" s="62" t="s">
        <v>195</v>
      </c>
    </row>
    <row r="3" spans="1:2">
      <c r="A3" t="s">
        <v>196</v>
      </c>
      <c r="B3">
        <v>1</v>
      </c>
    </row>
    <row r="4" spans="1:2">
      <c r="A4" t="s">
        <v>197</v>
      </c>
      <c r="B4">
        <v>2</v>
      </c>
    </row>
    <row r="5" spans="1:2">
      <c r="A5" t="s">
        <v>198</v>
      </c>
      <c r="B5">
        <v>1</v>
      </c>
    </row>
    <row r="6" spans="1:2">
      <c r="A6" t="s">
        <v>199</v>
      </c>
      <c r="B6">
        <v>3</v>
      </c>
    </row>
    <row r="7" spans="1:2">
      <c r="A7" t="s">
        <v>200</v>
      </c>
      <c r="B7">
        <v>1</v>
      </c>
    </row>
    <row r="8" spans="1:2">
      <c r="A8" s="61" t="s">
        <v>201</v>
      </c>
      <c r="B8" s="61">
        <f>SUM(B3:B7)</f>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154CF-6EFD-4FD0-9815-442836AF024F}">
  <sheetPr>
    <tabColor theme="4" tint="-0.249977111117893"/>
  </sheetPr>
  <dimension ref="A1:B8"/>
  <sheetViews>
    <sheetView workbookViewId="0">
      <selection activeCell="B12" sqref="B12"/>
    </sheetView>
  </sheetViews>
  <sheetFormatPr defaultRowHeight="15"/>
  <cols>
    <col min="1" max="1" width="12.85546875" customWidth="1"/>
    <col min="2" max="2" width="15.5703125" customWidth="1"/>
  </cols>
  <sheetData>
    <row r="1" spans="1:2">
      <c r="A1" s="60" t="s">
        <v>194</v>
      </c>
      <c r="B1" s="60"/>
    </row>
    <row r="2" spans="1:2" ht="30">
      <c r="A2" s="61" t="s">
        <v>202</v>
      </c>
      <c r="B2" s="62" t="s">
        <v>195</v>
      </c>
    </row>
    <row r="3" spans="1:2">
      <c r="A3" t="s">
        <v>196</v>
      </c>
      <c r="B3">
        <v>1</v>
      </c>
    </row>
    <row r="4" spans="1:2">
      <c r="A4" t="s">
        <v>197</v>
      </c>
      <c r="B4">
        <v>0</v>
      </c>
    </row>
    <row r="5" spans="1:2">
      <c r="A5" t="s">
        <v>198</v>
      </c>
      <c r="B5">
        <v>2</v>
      </c>
    </row>
    <row r="6" spans="1:2">
      <c r="A6" t="s">
        <v>199</v>
      </c>
      <c r="B6">
        <v>1</v>
      </c>
    </row>
    <row r="7" spans="1:2">
      <c r="A7" t="s">
        <v>200</v>
      </c>
      <c r="B7">
        <v>1</v>
      </c>
    </row>
    <row r="8" spans="1:2">
      <c r="A8" s="61" t="s">
        <v>201</v>
      </c>
      <c r="B8" s="61">
        <f>SUM(B3:B7)</f>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E622A-8564-4CD3-AABC-6CF8C5547845}">
  <dimension ref="A1:M84"/>
  <sheetViews>
    <sheetView topLeftCell="A67" workbookViewId="0">
      <selection activeCell="L2" sqref="L2:M7"/>
    </sheetView>
  </sheetViews>
  <sheetFormatPr defaultRowHeight="15"/>
  <cols>
    <col min="1" max="1" width="12.140625" customWidth="1"/>
    <col min="12" max="12" width="11.28515625" bestFit="1" customWidth="1"/>
    <col min="13" max="13" width="7.7109375" bestFit="1" customWidth="1"/>
  </cols>
  <sheetData>
    <row r="1" spans="1:13">
      <c r="B1">
        <v>2015</v>
      </c>
      <c r="C1">
        <v>2016</v>
      </c>
      <c r="D1">
        <v>2017</v>
      </c>
      <c r="E1">
        <v>2018</v>
      </c>
    </row>
    <row r="2" spans="1:13">
      <c r="A2" t="s">
        <v>203</v>
      </c>
      <c r="B2" s="15">
        <v>32000</v>
      </c>
      <c r="C2" s="15">
        <v>34500</v>
      </c>
      <c r="D2" s="15">
        <v>34200</v>
      </c>
      <c r="E2" s="15">
        <v>35600</v>
      </c>
      <c r="F2" s="15">
        <f>SUM(B2:E2)</f>
        <v>136300</v>
      </c>
      <c r="L2" t="s">
        <v>203</v>
      </c>
      <c r="M2" s="15">
        <f>SUM(B2:E2)</f>
        <v>136300</v>
      </c>
    </row>
    <row r="3" spans="1:13">
      <c r="A3" t="s">
        <v>204</v>
      </c>
      <c r="B3" s="15">
        <v>24600</v>
      </c>
      <c r="C3" s="15">
        <v>26800</v>
      </c>
      <c r="D3" s="15">
        <v>24500</v>
      </c>
      <c r="E3" s="15">
        <v>27800</v>
      </c>
      <c r="F3" s="15">
        <f t="shared" ref="F3:F7" si="0">SUM(B3:E3)</f>
        <v>103700</v>
      </c>
      <c r="L3" t="s">
        <v>204</v>
      </c>
      <c r="M3" s="15">
        <f t="shared" ref="M3:M7" si="1">SUM(B3:E3)</f>
        <v>103700</v>
      </c>
    </row>
    <row r="4" spans="1:13">
      <c r="A4" t="s">
        <v>205</v>
      </c>
      <c r="B4" s="15">
        <v>34500</v>
      </c>
      <c r="C4" s="15">
        <v>33650</v>
      </c>
      <c r="D4" s="15">
        <v>37900</v>
      </c>
      <c r="E4" s="15">
        <v>38900</v>
      </c>
      <c r="F4" s="15">
        <f t="shared" si="0"/>
        <v>144950</v>
      </c>
      <c r="L4" t="s">
        <v>205</v>
      </c>
      <c r="M4" s="15">
        <f t="shared" si="1"/>
        <v>144950</v>
      </c>
    </row>
    <row r="5" spans="1:13">
      <c r="A5" t="s">
        <v>206</v>
      </c>
      <c r="B5" s="15">
        <v>24500</v>
      </c>
      <c r="C5" s="15">
        <v>26540</v>
      </c>
      <c r="D5" s="15">
        <v>28700</v>
      </c>
      <c r="E5" s="15">
        <v>28900</v>
      </c>
      <c r="F5" s="15">
        <f t="shared" si="0"/>
        <v>108640</v>
      </c>
      <c r="L5" t="s">
        <v>206</v>
      </c>
      <c r="M5" s="15">
        <f t="shared" si="1"/>
        <v>108640</v>
      </c>
    </row>
    <row r="6" spans="1:13">
      <c r="A6" t="s">
        <v>207</v>
      </c>
      <c r="B6" s="15">
        <v>12400</v>
      </c>
      <c r="C6" s="15">
        <v>14500</v>
      </c>
      <c r="D6" s="15">
        <v>16700</v>
      </c>
      <c r="E6" s="15">
        <v>12400</v>
      </c>
      <c r="F6" s="15">
        <f t="shared" si="0"/>
        <v>56000</v>
      </c>
      <c r="L6" t="s">
        <v>207</v>
      </c>
      <c r="M6" s="15">
        <f t="shared" si="1"/>
        <v>56000</v>
      </c>
    </row>
    <row r="7" spans="1:13">
      <c r="A7" t="s">
        <v>208</v>
      </c>
      <c r="B7" s="15">
        <f>SUM(B2:B6)</f>
        <v>128000</v>
      </c>
      <c r="C7" s="15">
        <f t="shared" ref="C7:E7" si="2">SUM(C2:C6)</f>
        <v>135990</v>
      </c>
      <c r="D7" s="15">
        <f t="shared" si="2"/>
        <v>142000</v>
      </c>
      <c r="E7" s="15">
        <f t="shared" si="2"/>
        <v>143600</v>
      </c>
      <c r="F7" s="15">
        <f t="shared" si="0"/>
        <v>549590</v>
      </c>
      <c r="H7" t="s">
        <v>209</v>
      </c>
      <c r="L7" t="s">
        <v>208</v>
      </c>
      <c r="M7" s="15">
        <f t="shared" si="1"/>
        <v>549590</v>
      </c>
    </row>
    <row r="8" spans="1:13">
      <c r="B8" s="15"/>
      <c r="C8" s="15"/>
      <c r="D8" s="15"/>
      <c r="E8" s="15"/>
      <c r="F8" s="15"/>
    </row>
    <row r="10" spans="1:13">
      <c r="A10" t="s">
        <v>210</v>
      </c>
    </row>
    <row r="11" spans="1:13">
      <c r="A11" t="s">
        <v>209</v>
      </c>
    </row>
    <row r="12" spans="1:13">
      <c r="A12" t="s">
        <v>211</v>
      </c>
    </row>
    <row r="13" spans="1:13">
      <c r="A13" t="s">
        <v>212</v>
      </c>
    </row>
    <row r="14" spans="1:13">
      <c r="A14" t="s">
        <v>213</v>
      </c>
    </row>
    <row r="15" spans="1:13">
      <c r="A15" t="s">
        <v>214</v>
      </c>
    </row>
    <row r="16" spans="1:13">
      <c r="H16" t="s">
        <v>211</v>
      </c>
    </row>
    <row r="19" spans="1:8">
      <c r="B19">
        <v>2015</v>
      </c>
      <c r="C19">
        <v>2016</v>
      </c>
      <c r="D19">
        <v>2017</v>
      </c>
      <c r="E19">
        <v>2018</v>
      </c>
    </row>
    <row r="20" spans="1:8">
      <c r="A20" t="s">
        <v>203</v>
      </c>
      <c r="B20" s="15">
        <v>32000</v>
      </c>
      <c r="C20" s="15">
        <v>34500</v>
      </c>
      <c r="D20" s="15">
        <v>34200</v>
      </c>
      <c r="E20" s="15">
        <v>35600</v>
      </c>
    </row>
    <row r="21" spans="1:8" hidden="1">
      <c r="A21" t="s">
        <v>204</v>
      </c>
      <c r="B21" s="15">
        <v>24600</v>
      </c>
      <c r="C21" s="15">
        <v>26800</v>
      </c>
      <c r="D21" s="15">
        <v>24500</v>
      </c>
      <c r="E21" s="15">
        <v>27800</v>
      </c>
    </row>
    <row r="22" spans="1:8" hidden="1">
      <c r="A22" t="s">
        <v>205</v>
      </c>
      <c r="B22" s="15">
        <v>34500</v>
      </c>
      <c r="C22" s="15">
        <v>33650</v>
      </c>
      <c r="D22" s="15">
        <v>37900</v>
      </c>
      <c r="E22" s="15">
        <v>38900</v>
      </c>
    </row>
    <row r="23" spans="1:8" hidden="1">
      <c r="A23" t="s">
        <v>206</v>
      </c>
      <c r="B23" s="15">
        <v>24500</v>
      </c>
      <c r="C23" s="15">
        <v>26540</v>
      </c>
      <c r="D23" s="15">
        <v>28700</v>
      </c>
      <c r="E23" s="15">
        <v>28900</v>
      </c>
    </row>
    <row r="24" spans="1:8" hidden="1">
      <c r="A24" t="s">
        <v>207</v>
      </c>
      <c r="B24" s="15">
        <v>12400</v>
      </c>
      <c r="C24" s="15">
        <v>14500</v>
      </c>
      <c r="D24" s="15">
        <v>16700</v>
      </c>
      <c r="E24" s="15">
        <v>12400</v>
      </c>
    </row>
    <row r="25" spans="1:8" hidden="1">
      <c r="A25" t="s">
        <v>208</v>
      </c>
      <c r="B25" s="15">
        <f>SUM(B20:B24)</f>
        <v>128000</v>
      </c>
      <c r="C25" s="15">
        <f t="shared" ref="C25:E25" si="3">SUM(C20:C24)</f>
        <v>135990</v>
      </c>
      <c r="D25" s="15">
        <f t="shared" si="3"/>
        <v>142000</v>
      </c>
      <c r="E25" s="15">
        <f t="shared" si="3"/>
        <v>143600</v>
      </c>
    </row>
    <row r="29" spans="1:8">
      <c r="B29">
        <v>2015</v>
      </c>
      <c r="C29">
        <v>2016</v>
      </c>
      <c r="D29">
        <v>2017</v>
      </c>
      <c r="E29">
        <v>2018</v>
      </c>
    </row>
    <row r="30" spans="1:8">
      <c r="A30" t="s">
        <v>203</v>
      </c>
      <c r="B30" s="15">
        <v>32000</v>
      </c>
      <c r="C30" s="15">
        <v>34500</v>
      </c>
      <c r="D30" s="15">
        <v>34200</v>
      </c>
      <c r="E30" s="15">
        <v>35600</v>
      </c>
    </row>
    <row r="31" spans="1:8">
      <c r="A31" t="s">
        <v>204</v>
      </c>
      <c r="B31" s="15">
        <v>24600</v>
      </c>
      <c r="C31" s="15">
        <v>26800</v>
      </c>
      <c r="D31" s="15">
        <v>24500</v>
      </c>
      <c r="E31" s="15">
        <v>27800</v>
      </c>
      <c r="H31" t="s">
        <v>212</v>
      </c>
    </row>
    <row r="32" spans="1:8">
      <c r="A32" t="s">
        <v>205</v>
      </c>
      <c r="B32" s="15">
        <v>34500</v>
      </c>
      <c r="C32" s="15">
        <v>33650</v>
      </c>
      <c r="D32" s="15">
        <v>37900</v>
      </c>
      <c r="E32" s="15">
        <v>38900</v>
      </c>
    </row>
    <row r="33" spans="1:8">
      <c r="A33" t="s">
        <v>206</v>
      </c>
      <c r="B33" s="15">
        <v>24500</v>
      </c>
      <c r="C33" s="15">
        <v>26540</v>
      </c>
      <c r="D33" s="15">
        <v>28700</v>
      </c>
      <c r="E33" s="15">
        <v>28900</v>
      </c>
    </row>
    <row r="34" spans="1:8">
      <c r="A34" t="s">
        <v>207</v>
      </c>
      <c r="B34" s="15">
        <v>12400</v>
      </c>
      <c r="C34" s="15">
        <v>14500</v>
      </c>
      <c r="D34" s="15">
        <v>16700</v>
      </c>
      <c r="E34" s="15">
        <v>12400</v>
      </c>
    </row>
    <row r="35" spans="1:8">
      <c r="A35" t="s">
        <v>208</v>
      </c>
      <c r="B35" s="15">
        <f>SUM(B30:B34)</f>
        <v>128000</v>
      </c>
      <c r="C35" s="15">
        <f t="shared" ref="C35:E35" si="4">SUM(C30:C34)</f>
        <v>135990</v>
      </c>
      <c r="D35" s="15">
        <f t="shared" si="4"/>
        <v>142000</v>
      </c>
      <c r="E35" s="15">
        <f t="shared" si="4"/>
        <v>143600</v>
      </c>
    </row>
    <row r="41" spans="1:8">
      <c r="B41">
        <v>2018</v>
      </c>
      <c r="C41">
        <v>2015</v>
      </c>
      <c r="D41">
        <v>2016</v>
      </c>
      <c r="E41">
        <v>2017</v>
      </c>
      <c r="F41">
        <v>2018</v>
      </c>
    </row>
    <row r="42" spans="1:8">
      <c r="A42" t="s">
        <v>203</v>
      </c>
      <c r="B42" s="15">
        <v>35600</v>
      </c>
      <c r="C42" s="15">
        <v>32000</v>
      </c>
      <c r="D42" s="15">
        <v>34500</v>
      </c>
      <c r="E42" s="15">
        <v>34200</v>
      </c>
      <c r="F42" s="15">
        <v>35600</v>
      </c>
      <c r="H42" t="s">
        <v>213</v>
      </c>
    </row>
    <row r="43" spans="1:8">
      <c r="A43" t="s">
        <v>204</v>
      </c>
      <c r="B43" s="15">
        <v>27800</v>
      </c>
      <c r="C43" s="15">
        <v>24600</v>
      </c>
      <c r="D43" s="15">
        <v>26800</v>
      </c>
      <c r="E43" s="15">
        <v>24500</v>
      </c>
      <c r="F43" s="15">
        <v>27800</v>
      </c>
    </row>
    <row r="44" spans="1:8">
      <c r="A44" t="s">
        <v>205</v>
      </c>
      <c r="B44" s="15">
        <v>38900</v>
      </c>
      <c r="C44" s="15">
        <v>34500</v>
      </c>
      <c r="D44" s="15">
        <v>33650</v>
      </c>
      <c r="E44" s="15">
        <v>37900</v>
      </c>
      <c r="F44" s="15">
        <v>38900</v>
      </c>
    </row>
    <row r="45" spans="1:8">
      <c r="A45" t="s">
        <v>206</v>
      </c>
      <c r="B45" s="15">
        <v>28900</v>
      </c>
      <c r="C45" s="15">
        <v>24500</v>
      </c>
      <c r="D45" s="15">
        <v>26540</v>
      </c>
      <c r="E45" s="15">
        <v>28700</v>
      </c>
      <c r="F45" s="15">
        <v>28900</v>
      </c>
    </row>
    <row r="46" spans="1:8">
      <c r="A46" t="s">
        <v>207</v>
      </c>
      <c r="B46" s="15">
        <v>12400</v>
      </c>
      <c r="C46" s="15">
        <v>12400</v>
      </c>
      <c r="D46" s="15">
        <v>14500</v>
      </c>
      <c r="E46" s="15">
        <v>16700</v>
      </c>
      <c r="F46" s="15">
        <v>12400</v>
      </c>
    </row>
    <row r="47" spans="1:8">
      <c r="A47" t="s">
        <v>208</v>
      </c>
      <c r="B47" s="15">
        <f t="shared" ref="B47" si="5">SUM(B42:B46)</f>
        <v>143600</v>
      </c>
      <c r="C47" s="15">
        <f>SUM(C42:C46)</f>
        <v>128000</v>
      </c>
      <c r="D47" s="15">
        <f>SUM(D42:D46)</f>
        <v>135990</v>
      </c>
      <c r="E47" s="15">
        <f>SUM(E42:E46)</f>
        <v>142000</v>
      </c>
      <c r="F47" s="15">
        <f>SUM(F42:F46)</f>
        <v>143600</v>
      </c>
    </row>
    <row r="53" spans="1:12">
      <c r="B53">
        <v>2015</v>
      </c>
      <c r="C53">
        <v>2016</v>
      </c>
      <c r="D53">
        <v>2017</v>
      </c>
      <c r="E53">
        <v>2018</v>
      </c>
    </row>
    <row r="54" spans="1:12">
      <c r="A54" t="s">
        <v>203</v>
      </c>
      <c r="B54" s="15">
        <v>32000</v>
      </c>
      <c r="C54" s="15">
        <v>34500</v>
      </c>
      <c r="D54" s="15">
        <v>34200</v>
      </c>
      <c r="E54" s="15">
        <v>35600</v>
      </c>
      <c r="H54" t="s">
        <v>214</v>
      </c>
    </row>
    <row r="55" spans="1:12">
      <c r="A55" t="s">
        <v>204</v>
      </c>
      <c r="B55" s="15">
        <v>24600</v>
      </c>
      <c r="C55" s="15">
        <v>26800</v>
      </c>
      <c r="D55" s="15">
        <v>24500</v>
      </c>
      <c r="E55" s="15">
        <v>27800</v>
      </c>
    </row>
    <row r="56" spans="1:12">
      <c r="A56" t="s">
        <v>205</v>
      </c>
      <c r="B56" s="15">
        <v>34500</v>
      </c>
      <c r="C56" s="15">
        <v>33650</v>
      </c>
      <c r="D56" s="15">
        <v>37900</v>
      </c>
      <c r="E56" s="15">
        <v>38900</v>
      </c>
      <c r="J56">
        <v>2016</v>
      </c>
      <c r="K56">
        <v>2017</v>
      </c>
      <c r="L56">
        <v>2018</v>
      </c>
    </row>
    <row r="57" spans="1:12">
      <c r="A57" t="s">
        <v>206</v>
      </c>
      <c r="B57" s="15">
        <v>24500</v>
      </c>
      <c r="C57" s="15">
        <v>26540</v>
      </c>
      <c r="D57" s="15">
        <v>28700</v>
      </c>
      <c r="E57" s="15">
        <v>28900</v>
      </c>
      <c r="I57" t="s">
        <v>203</v>
      </c>
      <c r="J57" s="83">
        <f>(C54-B54)/B54</f>
        <v>7.8125E-2</v>
      </c>
      <c r="K57" s="83">
        <f t="shared" ref="K57:L62" si="6">(D54-C54)/C54</f>
        <v>-8.6956521739130436E-3</v>
      </c>
      <c r="L57" s="83">
        <f t="shared" si="6"/>
        <v>4.0935672514619881E-2</v>
      </c>
    </row>
    <row r="58" spans="1:12">
      <c r="A58" t="s">
        <v>207</v>
      </c>
      <c r="B58" s="15">
        <v>12400</v>
      </c>
      <c r="C58" s="15">
        <v>14500</v>
      </c>
      <c r="D58" s="15">
        <v>16700</v>
      </c>
      <c r="E58" s="15">
        <v>12400</v>
      </c>
      <c r="I58" t="s">
        <v>204</v>
      </c>
      <c r="J58" s="83">
        <f t="shared" ref="J58:J62" si="7">(C55-B55)/B55</f>
        <v>8.943089430894309E-2</v>
      </c>
      <c r="K58" s="83">
        <f t="shared" si="6"/>
        <v>-8.5820895522388058E-2</v>
      </c>
      <c r="L58" s="83">
        <f t="shared" si="6"/>
        <v>0.13469387755102041</v>
      </c>
    </row>
    <row r="59" spans="1:12">
      <c r="A59" t="s">
        <v>208</v>
      </c>
      <c r="B59" s="15">
        <f>SUM(B54:B58)</f>
        <v>128000</v>
      </c>
      <c r="C59" s="15">
        <f t="shared" ref="C59:E59" si="8">SUM(C54:C58)</f>
        <v>135990</v>
      </c>
      <c r="D59" s="15">
        <f t="shared" si="8"/>
        <v>142000</v>
      </c>
      <c r="E59" s="15">
        <f t="shared" si="8"/>
        <v>143600</v>
      </c>
      <c r="I59" t="s">
        <v>205</v>
      </c>
      <c r="J59" s="83">
        <f t="shared" si="7"/>
        <v>-2.4637681159420291E-2</v>
      </c>
      <c r="K59" s="83">
        <f t="shared" si="6"/>
        <v>0.1263001485884101</v>
      </c>
      <c r="L59" s="83">
        <f t="shared" si="6"/>
        <v>2.6385224274406333E-2</v>
      </c>
    </row>
    <row r="60" spans="1:12">
      <c r="I60" t="s">
        <v>206</v>
      </c>
      <c r="J60" s="83">
        <f t="shared" si="7"/>
        <v>8.3265306122448979E-2</v>
      </c>
      <c r="K60" s="83">
        <f t="shared" si="6"/>
        <v>8.1386586284853055E-2</v>
      </c>
      <c r="L60" s="83">
        <f t="shared" si="6"/>
        <v>6.9686411149825784E-3</v>
      </c>
    </row>
    <row r="61" spans="1:12">
      <c r="I61" t="s">
        <v>207</v>
      </c>
      <c r="J61" s="83">
        <f t="shared" si="7"/>
        <v>0.16935483870967741</v>
      </c>
      <c r="K61" s="83">
        <f t="shared" si="6"/>
        <v>0.15172413793103448</v>
      </c>
      <c r="L61" s="83">
        <f t="shared" si="6"/>
        <v>-0.25748502994011974</v>
      </c>
    </row>
    <row r="62" spans="1:12">
      <c r="I62" t="s">
        <v>208</v>
      </c>
      <c r="J62" s="83">
        <f t="shared" si="7"/>
        <v>6.2421875000000002E-2</v>
      </c>
      <c r="K62" s="83">
        <f t="shared" si="6"/>
        <v>4.4194426060739762E-2</v>
      </c>
      <c r="L62" s="83">
        <f t="shared" si="6"/>
        <v>1.1267605633802818E-2</v>
      </c>
    </row>
    <row r="65" spans="1:7">
      <c r="B65">
        <v>2015</v>
      </c>
      <c r="C65">
        <v>2016</v>
      </c>
      <c r="D65">
        <v>2017</v>
      </c>
      <c r="E65">
        <v>2018</v>
      </c>
    </row>
    <row r="66" spans="1:7">
      <c r="A66" t="s">
        <v>203</v>
      </c>
      <c r="B66" s="15">
        <v>32000</v>
      </c>
      <c r="C66" s="15">
        <v>34500</v>
      </c>
      <c r="D66" s="15">
        <v>34200</v>
      </c>
      <c r="E66" s="15">
        <v>35600</v>
      </c>
    </row>
    <row r="67" spans="1:7">
      <c r="A67" t="s">
        <v>204</v>
      </c>
      <c r="B67" s="15">
        <v>24600</v>
      </c>
      <c r="C67" s="15">
        <v>26800</v>
      </c>
      <c r="D67" s="15">
        <v>24500</v>
      </c>
      <c r="E67" s="15">
        <v>27800</v>
      </c>
    </row>
    <row r="68" spans="1:7">
      <c r="A68" t="s">
        <v>205</v>
      </c>
      <c r="B68" s="15">
        <v>34500</v>
      </c>
      <c r="C68" s="15">
        <v>33650</v>
      </c>
      <c r="D68" s="15">
        <v>37900</v>
      </c>
      <c r="E68" s="15">
        <v>38900</v>
      </c>
    </row>
    <row r="69" spans="1:7">
      <c r="A69" t="s">
        <v>206</v>
      </c>
      <c r="B69" s="15">
        <v>24500</v>
      </c>
      <c r="C69" s="15">
        <v>26540</v>
      </c>
      <c r="D69" s="15">
        <v>28700</v>
      </c>
      <c r="E69" s="15">
        <v>28900</v>
      </c>
    </row>
    <row r="70" spans="1:7">
      <c r="A70" t="s">
        <v>207</v>
      </c>
      <c r="B70" s="15">
        <v>12400</v>
      </c>
      <c r="C70" s="15">
        <v>14500</v>
      </c>
      <c r="D70" s="15">
        <v>16700</v>
      </c>
      <c r="E70" s="15">
        <v>12400</v>
      </c>
    </row>
    <row r="71" spans="1:7">
      <c r="A71" t="s">
        <v>208</v>
      </c>
      <c r="B71" s="15">
        <f>SUM(B66:B70)</f>
        <v>128000</v>
      </c>
      <c r="C71" s="15">
        <f t="shared" ref="C71:E71" si="9">SUM(C66:C70)</f>
        <v>135990</v>
      </c>
      <c r="D71" s="15">
        <f t="shared" si="9"/>
        <v>142000</v>
      </c>
      <c r="E71" s="15">
        <f t="shared" si="9"/>
        <v>143600</v>
      </c>
    </row>
    <row r="78" spans="1:7">
      <c r="B78">
        <v>2015</v>
      </c>
      <c r="C78">
        <v>2016</v>
      </c>
      <c r="D78">
        <v>2017</v>
      </c>
      <c r="E78">
        <v>2018</v>
      </c>
    </row>
    <row r="79" spans="1:7">
      <c r="A79" t="s">
        <v>203</v>
      </c>
      <c r="B79" s="15">
        <v>32000</v>
      </c>
      <c r="C79" s="15">
        <v>34500</v>
      </c>
      <c r="D79" s="15">
        <v>34200</v>
      </c>
      <c r="E79" s="15">
        <v>35600</v>
      </c>
      <c r="F79" s="15">
        <f>SUM(B79:E79)</f>
        <v>136300</v>
      </c>
      <c r="G79" s="66">
        <f>B79/$F$79</f>
        <v>0.23477622890682318</v>
      </c>
    </row>
    <row r="80" spans="1:7">
      <c r="A80" t="s">
        <v>204</v>
      </c>
      <c r="B80" s="15">
        <v>24600</v>
      </c>
      <c r="C80" s="15">
        <v>26800</v>
      </c>
      <c r="D80" s="15">
        <v>24500</v>
      </c>
      <c r="E80" s="15">
        <v>27800</v>
      </c>
      <c r="F80" s="15">
        <f>SUM(B80:E80)</f>
        <v>103700</v>
      </c>
      <c r="G80" s="66">
        <f t="shared" ref="G80:G83" si="10">B80/$F$79</f>
        <v>0.18048422597212033</v>
      </c>
    </row>
    <row r="81" spans="1:8">
      <c r="A81" t="s">
        <v>205</v>
      </c>
      <c r="B81" s="15">
        <v>34500</v>
      </c>
      <c r="C81" s="15">
        <v>33650</v>
      </c>
      <c r="D81" s="15">
        <v>37900</v>
      </c>
      <c r="E81" s="15">
        <v>38900</v>
      </c>
      <c r="F81" s="15">
        <f>SUM(B81:E81)</f>
        <v>144950</v>
      </c>
      <c r="G81" s="66">
        <f t="shared" si="10"/>
        <v>0.25311812179016874</v>
      </c>
    </row>
    <row r="82" spans="1:8">
      <c r="A82" t="s">
        <v>206</v>
      </c>
      <c r="B82" s="15">
        <v>24500</v>
      </c>
      <c r="C82" s="15">
        <v>26540</v>
      </c>
      <c r="D82" s="15">
        <v>28700</v>
      </c>
      <c r="E82" s="15">
        <v>28900</v>
      </c>
      <c r="F82" s="15">
        <f>SUM(B82:E82)</f>
        <v>108640</v>
      </c>
      <c r="G82" s="66">
        <f t="shared" si="10"/>
        <v>0.17975055025678649</v>
      </c>
    </row>
    <row r="83" spans="1:8">
      <c r="A83" t="s">
        <v>207</v>
      </c>
      <c r="B83" s="15">
        <v>12400</v>
      </c>
      <c r="C83" s="15">
        <v>14500</v>
      </c>
      <c r="D83" s="15">
        <v>16700</v>
      </c>
      <c r="E83" s="15">
        <v>12400</v>
      </c>
      <c r="F83" s="15">
        <f>SUM(B83:E83)</f>
        <v>56000</v>
      </c>
      <c r="G83" s="66">
        <f t="shared" si="10"/>
        <v>9.0975788701393986E-2</v>
      </c>
    </row>
    <row r="84" spans="1:8">
      <c r="A84" t="s">
        <v>208</v>
      </c>
      <c r="B84" s="15">
        <f>SUM(B79:B83)</f>
        <v>128000</v>
      </c>
      <c r="C84" s="15">
        <f t="shared" ref="C84:E84" si="11">SUM(C79:C83)</f>
        <v>135990</v>
      </c>
      <c r="D84" s="15">
        <f t="shared" si="11"/>
        <v>142000</v>
      </c>
      <c r="E84" s="15">
        <f t="shared" si="11"/>
        <v>143600</v>
      </c>
      <c r="H84" s="6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Francoise Toussaint</dc:creator>
  <cp:keywords/>
  <dc:description/>
  <cp:lastModifiedBy/>
  <cp:revision/>
  <dcterms:created xsi:type="dcterms:W3CDTF">2020-10-14T17:33:01Z</dcterms:created>
  <dcterms:modified xsi:type="dcterms:W3CDTF">2020-10-20T20:12:03Z</dcterms:modified>
  <cp:category/>
  <cp:contentStatus/>
</cp:coreProperties>
</file>