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Cs n GRs" sheetId="1" r:id="rId1"/>
    <sheet name="ScopeCrossOver" sheetId="2" r:id="rId2"/>
    <sheet name="RFI Log" sheetId="3" r:id="rId3"/>
    <sheet name="SOWTemplate" sheetId="4" r:id="rId4"/>
    <sheet name="VEs" sheetId="5" r:id="rId5"/>
    <sheet name="MCN Summary" sheetId="6" r:id="rId6"/>
    <sheet name="Bid Sheet" sheetId="7" r:id="rId7"/>
    <sheet name="Demo" sheetId="8" r:id="rId8"/>
    <sheet name="Conc" sheetId="9" r:id="rId9"/>
    <sheet name="Masonry" sheetId="10" r:id="rId10"/>
    <sheet name="SS &amp; MM" sheetId="11" r:id="rId11"/>
    <sheet name="Rough Carpentry" sheetId="12" r:id="rId12"/>
    <sheet name="Millwork" sheetId="13" r:id="rId13"/>
    <sheet name="Waterproof" sheetId="14" r:id="rId14"/>
    <sheet name="MetPanel" sheetId="15" r:id="rId15"/>
    <sheet name="Roof" sheetId="16" r:id="rId16"/>
    <sheet name="Sealants" sheetId="17" r:id="rId17"/>
    <sheet name="DFH" sheetId="18" r:id="rId18"/>
    <sheet name="SpecDoor" sheetId="19" r:id="rId19"/>
    <sheet name="Alum" sheetId="20" r:id="rId20"/>
    <sheet name="GWB" sheetId="21" r:id="rId21"/>
    <sheet name="Tile" sheetId="22" r:id="rId22"/>
    <sheet name="Floor" sheetId="23" r:id="rId23"/>
    <sheet name="Paint" sheetId="24" r:id="rId24"/>
    <sheet name="Sign" sheetId="25" r:id="rId25"/>
    <sheet name="Specialties" sheetId="26" r:id="rId26"/>
    <sheet name="Kitch Eq" sheetId="27" r:id="rId27"/>
    <sheet name="Athl Eq" sheetId="28" r:id="rId28"/>
    <sheet name="FFE" sheetId="29" r:id="rId29"/>
    <sheet name="POOL" sheetId="30" r:id="rId30"/>
    <sheet name="Elev" sheetId="31" r:id="rId31"/>
    <sheet name="FireP" sheetId="32" r:id="rId32"/>
    <sheet name="Plumb" sheetId="33" r:id="rId33"/>
    <sheet name="HVAC" sheetId="34" r:id="rId34"/>
    <sheet name="Elect" sheetId="35" r:id="rId35"/>
    <sheet name="LV" sheetId="36" r:id="rId36"/>
    <sheet name="EARTH" sheetId="37" r:id="rId37"/>
    <sheet name="Ashalt" sheetId="38" r:id="rId38"/>
    <sheet name="SiteConc" sheetId="39" r:id="rId39"/>
    <sheet name="Fence" sheetId="40" r:id="rId40"/>
    <sheet name="Lscape" sheetId="41" r:id="rId41"/>
    <sheet name="WetUtil" sheetId="42" r:id="rId42"/>
    <sheet name="DryUtil" sheetId="43" r:id="rId43"/>
    <sheet name="Geotherm" sheetId="44" r:id="rId44"/>
    <sheet name="FinalClean" sheetId="45" r:id="rId45"/>
    <sheet name="NA" sheetId="46" r:id="rId46"/>
    <sheet name="Version History" sheetId="47" r:id="rId47"/>
    <sheet name="SpecMatrix" sheetId="48" r:id="rId48"/>
    <sheet name="Alternates" sheetId="49" r:id="rId49"/>
    <sheet name="Survey" sheetId="50" r:id="rId50"/>
    <sheet name="Gyp" sheetId="51" r:id="rId51"/>
    <sheet name="Precast" sheetId="52" r:id="rId52"/>
    <sheet name="Stone" sheetId="53" r:id="rId53"/>
    <sheet name="MiscMetal" sheetId="54" r:id="rId54"/>
    <sheet name="Rails" sheetId="55" r:id="rId55"/>
    <sheet name="FbrGls" sheetId="56" r:id="rId56"/>
    <sheet name="DeepFnd" sheetId="57" r:id="rId57"/>
    <sheet name="DeWater" sheetId="58" r:id="rId58"/>
    <sheet name="SegWall" sheetId="59" r:id="rId59"/>
    <sheet name="Pavers" sheetId="60" r:id="rId60"/>
    <sheet name="SiteFurn" sheetId="61" r:id="rId61"/>
    <sheet name="Abatement" sheetId="62" r:id="rId62"/>
    <sheet name="ResCab" sheetId="63" r:id="rId63"/>
    <sheet name="Counter" sheetId="64" r:id="rId64"/>
    <sheet name="WT" sheetId="65" r:id="rId65"/>
    <sheet name="SOE" sheetId="66" r:id="rId66"/>
    <sheet name="Terrazzo" sheetId="67" r:id="rId67"/>
    <sheet name="TA" sheetId="68" r:id="rId68"/>
    <sheet name="TPart" sheetId="69" r:id="rId69"/>
    <sheet name="Lockers" sheetId="70" r:id="rId70"/>
    <sheet name="WoodFram" sheetId="71" r:id="rId71"/>
    <sheet name="Trim" sheetId="72" r:id="rId72"/>
    <sheet name="Insulation - Residential" sheetId="73" r:id="rId73"/>
    <sheet name="AVB" sheetId="74" r:id="rId74"/>
    <sheet name="SAFP" sheetId="75" r:id="rId75"/>
    <sheet name="EIFS" sheetId="76" r:id="rId76"/>
    <sheet name="ExtPanel" sheetId="77" r:id="rId77"/>
    <sheet name="Glz" sheetId="78" r:id="rId78"/>
    <sheet name="IntGlass" sheetId="79" r:id="rId79"/>
  </sheets>
  <definedNames>
    <definedName name="alt_edit" localSheetId="4">[2]Alternates!$H$29:$H$35,[2]Alternates!$C$29:$F$35,[2]Alternates!$H$47:$H$48,[2]Alternates!$C$47:$F$48,[2]Alternates!$H$39:$H$46,[2]Alternates!$C$39:$F$46,[2]Alternates!$H$57,[2]Alternates!$C$57:$E$57,[2]Alternates!$H$56,[2]Alternates!$C$56:$E$56,[2]Alternates!$H$55,[2]Alternates!$C$55:$F$55,[2]Alternates!$H$54,[2]Alternates!$C$54:$F$54,[2]Alternates!$H$53,[2]Alternates!$C$53:$F$53,[2]Alternates!$H$52,[2]Alternates!$C$52:$F$52,[2]Alternates!$H$71:$H$77,[2]Alternates!$C$71:$F$77,[2]Alternates!$H$84:$H$87,[2]Alternates!$C$84:$F$87,[2]Alternates!$H$83,[2]Alternates!$C$83:$F$83,[2]Alternates!$H$82</definedName>
    <definedName name="alt_edit">#REF!,#REF!,#REF!,#REF!,#REF!,#REF!,#REF!,#REF!,#REF!,#REF!,#REF!,#REF!,#REF!,#REF!,#REF!,#REF!,#REF!,#REF!,#REF!,#REF!,#REF!,#REF!,#REF!,#REF!,#REF!</definedName>
    <definedName name="amenity_w_fitout" localSheetId="4">[3]Budget!$C$1252</definedName>
    <definedName name="bitum_paving" localSheetId="4">[3]Budget!$C$221</definedName>
    <definedName name="BUILD_ENHANCE" localSheetId="4">[3]Budget!$C$570</definedName>
    <definedName name="CABINET1" localSheetId="4">'[1]Estimate Summary'!#REF!</definedName>
    <definedName name="CABINET2" localSheetId="4">'[1]Estimate Summary'!#REF!</definedName>
    <definedName name="Carpet" localSheetId="4">'[2]Proposed Subcontractors'!$C$1254:$C$1386</definedName>
    <definedName name="Ceramic" localSheetId="4">'[2]Proposed Subcontractors'!$C$1129:$C$1229</definedName>
    <definedName name="CUTTOFILL1">'[1]Estimate Summary'!#REF!</definedName>
    <definedName name="CUTTOFILL2">'[1]Estimate Summary'!#REF!</definedName>
    <definedName name="DC" localSheetId="4">[2]!Table4[DC]</definedName>
    <definedName name="DCSHIT" localSheetId="4">'[1]Letter Contract'!$M$1</definedName>
    <definedName name="DEEP_FND" localSheetId="4">[3]Budget!$C$593</definedName>
    <definedName name="Demolition" localSheetId="4">'[2]Proposed Subcontractors'!$C$204:$C$291</definedName>
    <definedName name="DEWATER" localSheetId="4">[3]Budget!$C$646</definedName>
    <definedName name="DIXPAV">'[1]Estimate Summary'!#REF!</definedName>
    <definedName name="Doors" localSheetId="4">'[2]Proposed Subcontractors'!$C$604:$C$664</definedName>
    <definedName name="Drywall" localSheetId="4">'[2]Proposed Subcontractors'!$C$879:$C$1098</definedName>
    <definedName name="EARTH_RET" localSheetId="4">[3]Budget!$C$651</definedName>
    <definedName name="Electrical" localSheetId="4">'[2]Proposed Subcontractors'!$C$2054:$C$2269</definedName>
    <definedName name="EmptycellsbetweenAlts" localSheetId="4">'[2]Unit Prices'!$51:$51,'[2]Unit Prices'!$40:$40,'[2]Unit Prices'!$38:$38,'[2]Unit Prices'!$36:$36,'[2]Unit Prices'!$34:$34,'[2]Unit Prices'!$32:$32,'[2]Unit Prices'!$30:$30,'[2]Unit Prices'!$28:$28,'[2]Unit Prices'!$26:$26,'[2]Unit Prices'!$24:$24,'[2]Unit Prices'!$22:$22,'[2]Unit Prices'!$20:$20,'[2]Unit Prices'!$18:$18,'[2]Unit Prices'!$16:$16,'[2]Unit Prices'!$14:$14,'[2]Unit Prices'!$12:$12,'[2]Unit Prices'!$10:$10,'[2]Unit Prices'!$8:$8</definedName>
    <definedName name="EmptycellsbetweenAlts">#REF!,#REF!,#REF!,#REF!,#REF!,#REF!,#REF!,#REF!,#REF!,#REF!,#REF!,#REF!,#REF!,#REF!,#REF!,#REF!,#REF!,#REF!</definedName>
    <definedName name="enabling" localSheetId="4">[3]Budget!$C$85</definedName>
    <definedName name="Estimator" localSheetId="4">'[2]Dropdown lists'!$B$3:$B$6</definedName>
    <definedName name="EXSTORM" localSheetId="4">'[1]Estimate Summary'!#REF!</definedName>
    <definedName name="GARAGE_AIR_BARR" localSheetId="4">[3]Budget!$C$901</definedName>
    <definedName name="GARAGE_CANOPIES" localSheetId="4">[3]Budget!$C$1024</definedName>
    <definedName name="GARAGE_CARP" localSheetId="4">[3]Budget!$C$865</definedName>
    <definedName name="GARAGE_CAULKING" localSheetId="4">[3]Budget!$C$968</definedName>
    <definedName name="GARAGE_CONCRETE" localSheetId="4">[3]Budget!$C$678</definedName>
    <definedName name="garage_convey" localSheetId="4">[3]Budget!$C$1114</definedName>
    <definedName name="GARAGE_DFH" localSheetId="4">[3]Budget!$C$975</definedName>
    <definedName name="GARAGE_DRYWALL" localSheetId="4">[3]Budget!$C$1027</definedName>
    <definedName name="GARAGE_EIFS_STUCCO" localSheetId="4">[3]Budget!$C$916</definedName>
    <definedName name="garage_electrical" localSheetId="4">[3]Budget!$C$1203</definedName>
    <definedName name="GARAGE_EQ" localSheetId="4">[3]Budget!$C$1096</definedName>
    <definedName name="GARAGE_FINISH_ALLOW" localSheetId="4">[3]Budget!$C$1077</definedName>
    <definedName name="GARAGE_FIREPROOF" localSheetId="4">[3]Budget!$C$904</definedName>
    <definedName name="GARAGE_FLOORING" localSheetId="4">[3]Budget!$C$1054</definedName>
    <definedName name="GARAGE_FP" localSheetId="4">[3]Budget!$C$1170</definedName>
    <definedName name="GARAGE_FURNISH" localSheetId="4">[3]Budget!$C$1104</definedName>
    <definedName name="GARAGE_GLAZING" localSheetId="4">[3]Budget!$C$990</definedName>
    <definedName name="GARAGE_HARD_TILE" localSheetId="4">[3]Budget!$C$1037</definedName>
    <definedName name="garage_hvac" localSheetId="4">[3]Budget!$C$1125</definedName>
    <definedName name="GARAGE_MASON" localSheetId="4">[3]Budget!$C$765</definedName>
    <definedName name="GARAGE_METAL" localSheetId="4">[3]Budget!$C$812</definedName>
    <definedName name="GARAGE_MILLWORK" localSheetId="4">[3]Budget!$C$878</definedName>
    <definedName name="GARAGE_MISC" localSheetId="4">[3]Budget!$C$1242</definedName>
    <definedName name="GARAGE_PAINT" localSheetId="4">[3]Budget!$C$1060</definedName>
    <definedName name="GARAGE_PANELS" localSheetId="4">[3]Budget!$C$920</definedName>
    <definedName name="GARAGE_PLUMB" localSheetId="4">[3]Budget!$C$1146</definedName>
    <definedName name="GARAGE_PRECAST" localSheetId="4">[3]Budget!$C$741</definedName>
    <definedName name="GARAGE_QC" localSheetId="4">[3]Budget!$C$1245</definedName>
    <definedName name="GARAGE_RAILS" localSheetId="4">[3]Budget!$C$851</definedName>
    <definedName name="GARAGE_ROOF" localSheetId="4">[3]Budget!$C$945</definedName>
    <definedName name="GARAGE_SDOORS" localSheetId="4">[3]Budget!$C$984</definedName>
    <definedName name="garage_specialties" localSheetId="4">[3]Budget!$C$1081</definedName>
    <definedName name="GARAGE_STONE" localSheetId="4">[3]Budget!$C$782</definedName>
    <definedName name="GARAGE_STR_STL" localSheetId="4">[3]Budget!$C$791</definedName>
    <definedName name="GARAGE_TRIM" localSheetId="4">[3]Budget!$C$875</definedName>
    <definedName name="garage_WP" localSheetId="4">[3]Budget!$C$881</definedName>
    <definedName name="GEN_EXCAV" localSheetId="4">[3]Budget!$C$572</definedName>
    <definedName name="Glass" localSheetId="4">'[2]Proposed Subcontractors'!$C$704:$C$855</definedName>
    <definedName name="HELICAL1" localSheetId="4">'[1]Estimate Summary'!#REF!</definedName>
    <definedName name="HVAC1" localSheetId="4">'[1]Letter Contract'!#REF!</definedName>
    <definedName name="HVAC1.1" localSheetId="4">'[1]Letter Contract'!#REF!</definedName>
    <definedName name="HVAC1A" localSheetId="4">'[1]Letter Contract'!#REF!</definedName>
    <definedName name="HVAC2" localSheetId="4">'[1]Letter Contract'!#REF!</definedName>
    <definedName name="INSULADD1" localSheetId="4">'[1]Estimate Summary'!#REF!</definedName>
    <definedName name="INSULADD2" localSheetId="4">'[1]Estimate Summary'!#REF!</definedName>
    <definedName name="INSULADD3" localSheetId="4">'[1]Estimate Summary'!#REF!</definedName>
    <definedName name="INTERIOR" localSheetId="4">[3]Budget!$C$1788</definedName>
    <definedName name="LANDSCAPE" localSheetId="4">[4]Budget!$C$305</definedName>
    <definedName name="MD" localSheetId="4">[2]!Table3[MD Countys]</definedName>
    <definedName name="Mechanical" localSheetId="4">'[2]Proposed Subcontractors'!$C$1604:$C$1857</definedName>
    <definedName name="MechType" localSheetId="4">'[4]Drop Down Lists'!$E$2:$E$6</definedName>
    <definedName name="Millwork" localSheetId="4">'[2]Proposed Subcontractors'!$C$429:$C$580</definedName>
    <definedName name="MOLD1" localSheetId="4">'[1]Estimate Summary'!#REF!</definedName>
    <definedName name="Option1" localSheetId="4">'[1]Letter Contract'!#REF!</definedName>
    <definedName name="Option1a" localSheetId="4">'[1]Letter Contract'!#REF!</definedName>
    <definedName name="Option2" localSheetId="4">'[1]Letter Contract'!#REF!</definedName>
    <definedName name="Ornamental" localSheetId="4">'[2]Proposed Subcontractors'!$C$329:$C$396</definedName>
    <definedName name="Painting" localSheetId="4">'[2]Proposed Subcontractors'!$C$1429:$C$1563</definedName>
    <definedName name="Percentages" localSheetId="4">'[2] Bidsheet'!$C$13:$J$13,'[2] Bidsheet'!$C$15:$J$15,'[2] Bidsheet'!$C$17:$J$17,'[2] Bidsheet'!$C$19:$J$19,'[2] Bidsheet'!$C$21:$J$21,'[2] Bidsheet'!$C$25:$J$25,'[2] Bidsheet'!$C$27:$J$27,'[2] Bidsheet'!$C$29:$J$29,'[2] Bidsheet'!$C$31:$J$31,'[2] Bidsheet'!$C$33:$J$33,'[2] Bidsheet'!$C$35:$J$35,'[2] Bidsheet'!$C$37:$J$37,'[2] Bidsheet'!$C$39:$J$39,'[2] Bidsheet'!$C$43:$J$43,'[2] Bidsheet'!$C$45:$J$45,'[2] Bidsheet'!$C$47:$J$47,'[2] Bidsheet'!$C$49:$J$49,'[2] Bidsheet'!$C$51:$J$51,'[2] Bidsheet'!$C$53:$J$53,'[2] Bidsheet'!$C$55:$J$55,'[2] Bidsheet'!$C$57:$J$57,'[2] Bidsheet'!$C$59:$J$59,'[2] Bidsheet'!$C$61:$J$61,'[2] Bidsheet'!$C$63:$J$63,'[2] Bidsheet'!$C$65:$J$65,'[2] Bidsheet'!$C$67:$J$67,'[2] Bidsheet'!$C$69:$J$69,'[2] Bidsheet'!$C$71:$J$71,'[2] Bidsheet'!$C$75:$J$75,'[2] Bidsheet'!$C$77:$J$77,'[2] Bidsheet'!$C$79:$J$79,'[2] Bidsheet'!$C$81:$J$81,'[2] Bidsheet'!$C$83:$J$83,'[2] Bidsheet'!$C$85:$J$85,'[2] Bidsheet'!$C$87:$J$87,'[2] Bidsheet'!$C$91:$J$91,'[2] Bidsheet'!$C$93:$J$93,'[2] Bidsheet'!$C$97:$J$97,'[2] Bidsheet'!$C$95:$J$95,'[2] Bidsheet'!$C$99:$J$99,'[2] Bidsheet'!$C$101:$J$101,'[2] Bidsheet'!$C$103:$J$103,'[2] Bidsheet'!$C$105:$J$105,'[2] Bidsheet'!$C$107:$J$107,'[2] Bidsheet'!$C$109:$J$109,'[2] Bidsheet'!$C$111:$J$111,'[2] Bidsheet'!$C$113:$J$113,'[2] Bidsheet'!$C$115:$J$115,'[2] Bidsheet'!$C$117:$J$117,'[2] Bidsheet'!$C$119:$J$119,'[2] Bidsheet'!$C$121:$J$121,'[2] Bidsheet'!$C$125:$J$125,'[2] Bidsheet'!$C$127:$J$127,'[2] Bidsheet'!$C$129:$J$129,'[2] Bidsheet'!$C$131:$J$131,'[2] Bidsheet'!$C$133:$J$133,'[2] Bidsheet'!$C$135:$J$135</definedName>
    <definedName name="Percentages">#REF!,#REF!,#REF!,#REF!,#REF!,#REF!,#REF!,#REF!,#REF!,#REF!,#REF!,#REF!,#REF!,#REF!,#REF!,#REF!,#REF!,#REF!,#REF!,#REF!,#REF!,#REF!,#REF!,#REF!,#REF!,#REF!,#REF!,#REF!,#REF!,#REF!,#REF!,#REF!,#REF!,#REF!,#REF!,#REF!,#REF!,#REF!,#REF!,#REF!,#REF!,#REF!,#REF!,#REF!,#REF!,#REF!,#REF!,#REF!,#REF!,#REF!,#REF!,#REF!,#REF!,#REF!,#REF!,#REF!,#REF!</definedName>
    <definedName name="PEXOPTION" localSheetId="4">'[1]Estimate Summary'!#REF!</definedName>
    <definedName name="PLUMB01B" localSheetId="4">'[1]Estimate Summary'!#REF!</definedName>
    <definedName name="PLYGEM" localSheetId="4">'[1]Estimate Summary'!#REF!</definedName>
    <definedName name="PRIME1" localSheetId="4">'[1]Estimate Summary'!#REF!</definedName>
    <definedName name="resi_carp" localSheetId="4">[3]Budget!$C$1978</definedName>
    <definedName name="resi_elect" localSheetId="4">[3]Budget!$C$2723</definedName>
    <definedName name="resi_plumbing" localSheetId="4">[3]Budget!$C$2666</definedName>
    <definedName name="Resi_specialties" localSheetId="4">[3]Budget!$C$2450</definedName>
    <definedName name="SILVERLINE" localSheetId="4">'[1]Estimate Summary'!#REF!</definedName>
    <definedName name="site_amenities" localSheetId="4">[3]Budget!$C$351</definedName>
    <definedName name="SITE_CONC_PAVERS" localSheetId="4">[3]Budget!$C$251</definedName>
    <definedName name="SITE_CONTINGENCY" localSheetId="4">[3]Budget!$C$566</definedName>
    <definedName name="SITE_DEMO" localSheetId="4">[3]Budget!$C$134</definedName>
    <definedName name="SITE_DEV_LOGISTICS" localSheetId="4">[3]Budget!$C$522</definedName>
    <definedName name="site_elect" localSheetId="4">[3]Budget!$C$456</definedName>
    <definedName name="SITE_PREP" localSheetId="4">[3]Budget!$C$149</definedName>
    <definedName name="sitework" localSheetId="4">[3]Budget!$C$126</definedName>
    <definedName name="SOLAR1" localSheetId="4">'[1]Estimate Summary'!#REF!</definedName>
    <definedName name="Sprinkler" localSheetId="4">'[2]Proposed Subcontractors'!$C$1904:$C$1997</definedName>
    <definedName name="STATE" localSheetId="4">[2]!Table1[State]</definedName>
    <definedName name="SUB_NAME_BIDSHEET" localSheetId="4">'[2] Bidsheet'!$P$15:$U$15,'[2] Bidsheet'!$P$17:$U$17,'[2] Bidsheet'!$P$19:$U$19,'[2] Bidsheet'!$P$21:$U$21,'[2] Bidsheet'!$P$25:$U$25,'[2] Bidsheet'!$P$27:$U$27,'[2] Bidsheet'!$P$29:$U$29,'[2] Bidsheet'!$P$31:$U$31,'[2] Bidsheet'!$P$33:$U$33,'[2] Bidsheet'!$P$35:$U$35,'[2] Bidsheet'!$P$37:$U$37,'[2] Bidsheet'!$P$39:$U$39,'[2] Bidsheet'!$P$43:$U$43,'[2] Bidsheet'!$P$45:$U$45,'[2] Bidsheet'!$P$47:$U$47,'[2] Bidsheet'!$P$49:$U$49,'[2] Bidsheet'!$P$51:$U$51,'[2] Bidsheet'!$P$53:$U$53,'[2] Bidsheet'!$P$55:$U$55,'[2] Bidsheet'!$P$57:$U$57,'[2] Bidsheet'!$P$59:$U$59,'[2] Bidsheet'!$P$61:$U$61,'[2] Bidsheet'!$P$63:$U$63,'[2] Bidsheet'!$P$65:$U$65,'[2] Bidsheet'!$P$67:$U$67,'[2] Bidsheet'!$P$69:$U$69,'[2] Bidsheet'!$P$71:$U$71,'[2] Bidsheet'!$P$75:$V$75,'[2] Bidsheet'!$P$77:$S$77,'[2] Bidsheet'!$T$77:$U$77,'[2] Bidsheet'!$P$79:$U$79,'[2] Bidsheet'!$P$81:$U$81,'[2] Bidsheet'!$P$83:$U$83,'[2] Bidsheet'!$P$85:$U$85,'[2] Bidsheet'!$P$87:$U$87,'[2] Bidsheet'!$P$91:$U$91,'[2] Bidsheet'!$P$93:$U$93,'[2] Bidsheet'!$P$95:$U$95,'[2] Bidsheet'!$P$97:$U$97,'[2] Bidsheet'!$P$99:$U$99,'[2] Bidsheet'!$P$101:$U$101,'[2] Bidsheet'!$P$103:$U$103,'[2] Bidsheet'!$P$105:$U$105,'[2] Bidsheet'!$P$107:$U$107,'[2] Bidsheet'!$P$109:$U$109,'[2] Bidsheet'!$P$111:$U$111,'[2] Bidsheet'!$P$113:$U$113,'[2] Bidsheet'!$P$115:$U$115,'[2] Bidsheet'!$P$117:$U$117,'[2] Bidsheet'!$P$119:$U$119,'[2] Bidsheet'!$P$121:$U$121,'[2] Bidsheet'!$P$125:$U$125,'[2] Bidsheet'!$P$127:$U$127,'[2] Bidsheet'!$P$129:$U$129,'[2] Bidsheet'!$P$131:$U$131,'[2] Bidsheet'!$P$133:$U$133</definedName>
    <definedName name="SUB_NAME_BIDSHEET">#REF!,#REF!,#REF!,#REF!,#REF!,#REF!,#REF!,#REF!,#REF!,#REF!,#REF!,#REF!,#REF!,#REF!,#REF!,#REF!,#REF!,#REF!,#REF!,#REF!,#REF!,#REF!,#REF!,#REF!,#REF!,#REF!,#REF!,#REF!,#REF!,#REF!,#REF!,#REF!,#REF!,#REF!,#REF!,#REF!,#REF!,#REF!,#REF!,#REF!,#REF!,#REF!,#REF!,#REF!,#REF!,#REF!,#REF!,#REF!,#REF!,#REF!,#REF!,#REF!,#REF!,#REF!,#REF!,#REF!</definedName>
    <definedName name="SUBNAME" localSheetId="4">'[2] Bidsheet'!$P$15:$W$15,'[2] Bidsheet'!$P$17:$W$17,'[2] Bidsheet'!$P$19:$W$19,'[2] Bidsheet'!$P$21:$W$21,'[2] Bidsheet'!$P$25:$W$25,'[2] Bidsheet'!$P$27:$W$27,'[2] Bidsheet'!$P$29:$W$29,'[2] Bidsheet'!$P$31:$W$31,'[2] Bidsheet'!$P$33:$W$33,'[2] Bidsheet'!$P$35:$W$35,'[2] Bidsheet'!$P$37:$W$37,'[2] Bidsheet'!$P$39:$W$39,'[2] Bidsheet'!$P$43:$W$43,'[2] Bidsheet'!$P$45:$W$45,'[2] Bidsheet'!$P$47:$W$47,'[2] Bidsheet'!$P$49:$W$49,'[2] Bidsheet'!$P$51:$W$51,'[2] Bidsheet'!$P$53:$W$53,'[2] Bidsheet'!$P$55:$W$55,'[2] Bidsheet'!$P$57:$W$57,'[2] Bidsheet'!$P$59:$W$59,'[2] Bidsheet'!$P$61:$W$61,'[2] Bidsheet'!$P$63:$W$63,'[2] Bidsheet'!$P$65:$W$65,'[2] Bidsheet'!$P$67:$W$67,'[2] Bidsheet'!$P$69:$W$69,'[2] Bidsheet'!#REF!,'[2] Bidsheet'!#REF!,'[2] Bidsheet'!#REF!,'[2] Bidsheet'!#REF!,'[2] Bidsheet'!$P$71:$W$71,'[2] Bidsheet'!$P$75:$W$75,'[2] Bidsheet'!$P$77:$W$77,'[2] Bidsheet'!$P$79:$W$79,'[2] Bidsheet'!$P$81:$W$81,'[2] Bidsheet'!$P$83:$W$83,'[2] Bidsheet'!$P$85:$W$85,'[2] Bidsheet'!$P$87:$W$87,'[2] Bidsheet'!$P$91:$W$91,'[2] Bidsheet'!$P$93:$W$93,'[2] Bidsheet'!$P$95:$W$95,'[2] Bidsheet'!$P$97:$W$97,'[2] Bidsheet'!$P$99:$W$99,'[2] Bidsheet'!$P$101:$W$101,'[2] Bidsheet'!$P$103:$W$103,'[2] Bidsheet'!$P$105:$W$105,'[2] Bidsheet'!$P$107:$W$107,'[2] Bidsheet'!$P$109:$W$109,'[2] Bidsheet'!$P$111:$W$111,'[2] Bidsheet'!$P$113:$W$113,'[2] Bidsheet'!$P$115:$W$115,'[2] Bidsheet'!$P$117:$W$117,'[2] Bidsheet'!$P$119:$W$119,'[2] Bidsheet'!$P$121:$W$121,'[2] Bidsheet'!$P$125:$W$125,'[2] Bidsheet'!$P$127:$W$127,'[2] Bidsheet'!$P$129:$W$129,'[2] Bidsheet'!$P$131:$W$131,'[2] Bidsheet'!$P$133:$W$133,'[2] Bidsheet'!$P$135:$W$135</definedName>
    <definedName name="SUBNAME">#REF!,#REF!,#REF!,#REF!,#REF!,#REF!,#REF!,#REF!,#REF!,#REF!,#REF!,#REF!,#REF!,#REF!,#REF!,#REF!,#REF!,#REF!,#REF!,#REF!,#REF!,#REF!,#REF!,#REF!,#REF!,#REF!,#REF!,#REF!,#REF!,#REF!,#REF!,#REF!,#REF!,#REF!,#REF!,#REF!,#REF!,#REF!,#REF!,#REF!,#REF!,#REF!,#REF!,#REF!,#REF!,#REF!,#REF!,#REF!,#REF!,#REF!,#REF!,#REF!,#REF!,#REF!,#REF!,#REF!,#REF!,#REF!,#REF!,#REF!</definedName>
    <definedName name="SURVEY" localSheetId="4">[3]Budget!$C$128</definedName>
    <definedName name="T" localSheetId="4">'[2] Bidsheet'!#REF!</definedName>
    <definedName name="TERMITE" localSheetId="4">[3]Budget!$C$675</definedName>
    <definedName name="THERMO">'[1]Estimate Summary'!#REF!</definedName>
    <definedName name="TimeUnits" localSheetId="4">'[2]Dropdown lists'!$G$3:$G$4</definedName>
    <definedName name="TUCK1" localSheetId="4">'[1]Estimate Summary'!$R$106</definedName>
    <definedName name="unit_text" localSheetId="4">'[2]Unit Prices'!$F$61,'[2]Unit Prices'!$D$61,'[2]Unit Prices'!$D$63,'[2]Unit Prices'!$F$63,'[2]Unit Prices'!$F$65,'[2]Unit Prices'!$D$65,'[2]Unit Prices'!$D$67,'[2]Unit Prices'!$F$67,'[2]Unit Prices'!$F$69,'[2]Unit Prices'!$D$69,'[2]Unit Prices'!$D$71,'[2]Unit Prices'!$F$71,'[2]Unit Prices'!$F$73,'[2]Unit Prices'!$D$73,'[2]Unit Prices'!$D$75,'[2]Unit Prices'!$F$75,'[2]Unit Prices'!$F$77,'[2]Unit Prices'!$D$77,'[2]Unit Prices'!$D$79,'[2]Unit Prices'!$F$79,'[2]Unit Prices'!$D$81,'[2]Unit Prices'!$F$81,'[2]Unit Prices'!$D$83,'[2]Unit Prices'!$F$83,'[2]Unit Prices'!$F$85,'[2]Unit Prices'!$D$85,'[2]Unit Prices'!$D$87,'[2]Unit Prices'!$F$87,'[2]Unit Prices'!$F$89,'[2]Unit Prices'!$D$89,'[2]Unit Prices'!$F$91,'[2]Unit Prices'!$D$91,'[2]Unit Prices'!$D$93,'[2]Unit Prices'!$F$93,'[2]Unit Prices'!$D$95,'[2]Unit Prices'!$F$95,'[2]Unit Prices'!$D$97,'[2]Unit Prices'!$F$97,'[2]Unit Prices'!$D$99,'[2]Unit Prices'!$F$99,'[2]Unit Prices'!$D$101,'[2]Unit Prices'!$F$101</definedName>
    <definedName name="unit_text">#REF!,#REF!,#REF!,#REF!,#REF!,#REF!,#REF!,#REF!,#REF!,#REF!,#REF!,#REF!,#REF!,#REF!,#REF!,#REF!,#REF!,#REF!,#REF!,#REF!,#REF!,#REF!,#REF!,#REF!,#REF!,#REF!,#REF!,#REF!,#REF!,#REF!,#REF!,#REF!,#REF!,#REF!,#REF!,#REF!,#REF!,#REF!,#REF!,#REF!,#REF!,#REF!</definedName>
    <definedName name="unitp_input" localSheetId="4">'[2]Unit Prices'!$F$107,'[2]Unit Prices'!$D$107,'[2]Unit Prices'!$D$105:$F$105,'[2]Unit Prices'!$D$103:$F$103,'[2]Unit Prices'!$D$101:$F$101,'[2]Unit Prices'!$D$99:$F$99,'[2]Unit Prices'!$D$97:$F$97,'[2]Unit Prices'!$D$95:$F$95,'[2]Unit Prices'!$D$93:$F$93,'[2]Unit Prices'!$D$91:$F$91,'[2]Unit Prices'!$D$89:$F$89,'[2]Unit Prices'!$D$87:$F$87,'[2]Unit Prices'!$D$85:$F$85,'[2]Unit Prices'!$D$83:$F$83,'[2]Unit Prices'!$D$81:$F$81,'[2]Unit Prices'!$D$79:$F$79,'[2]Unit Prices'!$D$77:$F$77,'[2]Unit Prices'!$D$75:$F$75,'[2]Unit Prices'!$D$73:$F$73,'[2]Unit Prices'!$D$71:$F$71,'[2]Unit Prices'!$D$69:$F$69,'[2]Unit Prices'!$F$67</definedName>
    <definedName name="unitp_input">#REF!,#REF!,#REF!,#REF!,#REF!,#REF!,#REF!,#REF!,#REF!,#REF!,#REF!,#REF!,#REF!,#REF!,#REF!,#REF!,#REF!,#REF!,#REF!,#REF!,#REF!,#REF!</definedName>
    <definedName name="UNITP_SPACES" localSheetId="4">'[2]Unit Prices'!$56:$56,'[2]Unit Prices'!$54:$54,'[2]Unit Prices'!$52:$52,'[2]Unit Prices'!$50:$50,'[2]Unit Prices'!$48:$48,'[2]Unit Prices'!$46:$46,'[2]Unit Prices'!$44:$44,'[2]Unit Prices'!$42:$42,'[2]Unit Prices'!$40:$40,'[2]Unit Prices'!$38:$38,'[2]Unit Prices'!$34:$34,'[2]Unit Prices'!$36:$36,'[2]Unit Prices'!$32:$32,'[2]Unit Prices'!$30:$30,'[2]Unit Prices'!$28:$28,'[2]Unit Prices'!$26:$26,'[2]Unit Prices'!$24:$24,'[2]Unit Prices'!$22:$22,'[2]Unit Prices'!$20:$20,'[2]Unit Prices'!$18:$18,'[2]Unit Prices'!$16:$16,'[2]Unit Prices'!$14:$14,'[2]Unit Prices'!$12:$12,'[2]Unit Prices'!$10:$10,'[2]Unit Prices'!$8:$8</definedName>
    <definedName name="UNITP_SPACES">#REF!,#REF!,#REF!,#REF!,#REF!,#REF!,#REF!,#REF!,#REF!,#REF!,#REF!,#REF!,#REF!,#REF!,#REF!,#REF!,#REF!,#REF!,#REF!,#REF!,#REF!,#REF!,#REF!,#REF!,#REF!</definedName>
    <definedName name="utilities" localSheetId="4">[3]Budget!$C$183</definedName>
    <definedName name="VA" localSheetId="4">[2]!Table2[VA Countys]</definedName>
    <definedName name="WINDOW1" localSheetId="4">'[1]Estimate Summary'!#REF!</definedName>
    <definedName name="WINDOW2">'[1]Estimate Summary'!#REF!</definedName>
    <definedName name="GARAGE_SDOORS">#REF!</definedName>
    <definedName name="DEWATER">#REF!</definedName>
    <definedName name="GARAGE_PRECAST">#REF!</definedName>
    <definedName name="TERMITE">#REF!</definedName>
    <definedName name="LANDSCAPE">#REF!</definedName>
    <definedName name="GARAGE_RAILS">#REF!</definedName>
    <definedName name="g">#REF!</definedName>
    <definedName name="GARAGE_MASON">#REF!</definedName>
    <definedName name="garage_electrical">#REF!</definedName>
    <definedName name="CABINET2">#REF!</definedName>
    <definedName name="GARAGE_PANELS">#REF!</definedName>
    <definedName name="SILVERLINE">#REF!</definedName>
    <definedName name="f">#REF!</definedName>
    <definedName name="SITE_CONTINGENCY">#REF!</definedName>
    <definedName name="Carpet">#REF!</definedName>
    <definedName name="garage_hvac">#REF!</definedName>
    <definedName name="Option2">#REF!</definedName>
    <definedName name="SITE_PREP">#REF!</definedName>
    <definedName name="PLYGEM">#REF!</definedName>
    <definedName name="EARTH_RET">#REF!</definedName>
    <definedName name="amenity_w_fitout">#REF!</definedName>
    <definedName name="HVAC2">#REF!</definedName>
    <definedName name="enabling">#REF!</definedName>
    <definedName name="Markups">#REF!</definedName>
    <definedName name="STATE">#REF!</definedName>
    <definedName name="SOLAR1">#REF!</definedName>
    <definedName name="Summary">#REF!</definedName>
    <definedName name="PEXOPTION">#REF!</definedName>
    <definedName name="GEN_EXCAV">#REF!</definedName>
    <definedName name="GARAGE_GLAZING">#REF!</definedName>
    <definedName name="Resi_specialties">#REF!</definedName>
    <definedName name="Option1a">#REF!</definedName>
    <definedName name="GARAGE_DRYWALL">#REF!</definedName>
    <definedName name="TUCK1">#REF!</definedName>
    <definedName name="GARAGE_PAINT">#REF!</definedName>
    <definedName name="INSULADD3">#REF!</definedName>
    <definedName name="sitework">#REF!</definedName>
    <definedName name="INTERIOR">#REF!</definedName>
    <definedName name="Estimator">#REF!</definedName>
    <definedName name="T">#REF!</definedName>
    <definedName name="resi_elect">#REF!</definedName>
    <definedName name="GARAGE_HARD_TILE">#REF!</definedName>
    <definedName name="site_elect">#REF!</definedName>
    <definedName name="GARAGE_FINISH_ALLOW">#REF!</definedName>
    <definedName name="WINDOW1">#REF!</definedName>
    <definedName name="garage_WP">#REF!</definedName>
    <definedName name="CABINET1">#REF!</definedName>
    <definedName name="GARAGE_DFH">#REF!</definedName>
    <definedName name="Millwork">#REF!</definedName>
    <definedName name="Mechanical">#REF!</definedName>
    <definedName name="garage_convey">#REF!</definedName>
    <definedName name="GARAGE_CONCRETE">#REF!</definedName>
    <definedName name="HELICAL1">#REF!</definedName>
    <definedName name="Retail">#REF!</definedName>
    <definedName name="GARAGE_METAL">#REF!</definedName>
    <definedName name="GARAGE_CAULKING">#REF!</definedName>
    <definedName name="HVAC1A">#REF!</definedName>
    <definedName name="GARAGE_FIREPROOF">#REF!</definedName>
    <definedName name="Demolition">#REF!</definedName>
    <definedName name="Drywall">#REF!</definedName>
    <definedName name="Doors">#REF!</definedName>
    <definedName name="INSULADD2">#REF!</definedName>
    <definedName name="DEEP_FND">#REF!</definedName>
    <definedName name="Ornamental">#REF!</definedName>
    <definedName name="Print_Titles_MI">#REF!</definedName>
    <definedName name="GARAGE_EQ">#REF!</definedName>
    <definedName name="Option1">#REF!</definedName>
    <definedName name="Residential">#REF!</definedName>
    <definedName name="MechType">#REF!</definedName>
    <definedName name="GARAGE_STR_STL">#REF!</definedName>
    <definedName name="GARAGE_CANOPIES">#REF!</definedName>
    <definedName name="Qualifications">#REF!</definedName>
    <definedName name="TimeUnits">#REF!</definedName>
    <definedName name="GARAGE_FP">#REF!</definedName>
    <definedName name="Ceramic">#REF!</definedName>
    <definedName name="PLUMB01B">#REF!</definedName>
    <definedName name="GARAGE_TRIM">#REF!</definedName>
    <definedName name="SITE_DEMO">#REF!</definedName>
    <definedName name="MILLOVERLAY">#REF!</definedName>
    <definedName name="INSULADD1">#REF!</definedName>
    <definedName name="DC">#REF!</definedName>
    <definedName name="Electrical">#REF!</definedName>
    <definedName name="GARAGE_CARP">#REF!</definedName>
    <definedName name="DCSHIT">#REF!</definedName>
    <definedName name="SURVEY">#REF!</definedName>
    <definedName name="EXSTORM">#REF!</definedName>
    <definedName name="SITE_CONC_PAVERS">#REF!</definedName>
    <definedName name="MOLD1">#REF!</definedName>
    <definedName name="resi_carp">#REF!</definedName>
    <definedName name="Garage">#REF!</definedName>
    <definedName name="GARAGE_EIFS_STUCCO">#REF!</definedName>
    <definedName name="utilities">#REF!</definedName>
    <definedName name="Sprinkler">#REF!</definedName>
    <definedName name="Glass">#REF!</definedName>
    <definedName name="HVAC1">#REF!</definedName>
    <definedName name="BUILD_ENHANCE">#REF!</definedName>
    <definedName name="GARAGE_MISC">#REF!</definedName>
    <definedName name="GARAGE_FURNISH">#REF!</definedName>
    <definedName name="MTLPNL">#REF!</definedName>
    <definedName name="Painting">#REF!</definedName>
    <definedName name="garage_specialties">#REF!</definedName>
    <definedName name="MD">#REF!</definedName>
    <definedName name="site_amenities">#REF!</definedName>
    <definedName name="GARAGE_STONE">#REF!</definedName>
    <definedName name="SITE_DEV_LOGISTICS">#REF!</definedName>
    <definedName name="HVAC1.1">#REF!</definedName>
    <definedName name="PRIME1">#REF!</definedName>
    <definedName name="GARAGE_MILLWORK">#REF!</definedName>
    <definedName name="bitum_paving">#REF!</definedName>
    <definedName name="VA">#REF!</definedName>
    <definedName name="GARAGE_FLOORING">#REF!</definedName>
    <definedName name="GARAGE_QC">#REF!</definedName>
    <definedName name="resi_plumbing">#REF!</definedName>
    <definedName name="GARAGE_ROOF">#REF!</definedName>
    <definedName name="GARAGE_PLUMB">#REF!</definedName>
    <definedName name="GARAGE_AIR_BARR">#REF!</definedName>
  </definedNames>
</workbook>
</file>

<file path=xl/comments2.xml><?xml version="1.0" encoding="utf-8"?>
<comments xmlns="http://schemas.openxmlformats.org/spreadsheetml/2006/main">
  <authors>
    <author>sheetjsghost</author>
  </authors>
  <commentList>
    <comment ref="F2" authorId="0">
      <text>
        <t xml:space="preserve">======
ID#AAABvrwZJv4
tc={BCCE8DA8-05A7-401A-8A0D-2A30E17A4D1E}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 @Vaibhav Jain Please read for coordination</t>
      </text>
    </comment>
    <comment ref="F3" authorId="0">
      <text>
        <t xml:space="preserve">======
ID#AAABvrwZJvs
tc={830C4971-DC8F-4F8E-9034-5BC826219014}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 @Vaibhav Jain please see for coordination</t>
      </text>
    </comment>
    <comment ref="F4" authorId="0">
      <text>
        <t xml:space="preserve">======
ID#AAABvrwZJwA
tc={8357F848-6F14-4528-B546-3957D2F3A28E}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t>
      </text>
    </comment>
    <comment ref="F5" authorId="0">
      <text>
        <t xml:space="preserve">======
ID#AAABvrwZJv8
tc={8455FEB1-C79F-4FD9-AA5F-9A748448F5C0}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t>
      </text>
    </comment>
    <comment ref="F6" authorId="0">
      <text>
        <t xml:space="preserve">======
ID#AAABvrwZJvI
tc={FA053873-2E4F-42A8-8AF4-7C08DBC68320}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ref="F7" authorId="0">
      <text>
        <t xml:space="preserve">======
ID#AAABvrwZJv0
tc={DD8A14A0-292F-48CB-B766-11F8E87FEC18}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ref="F8" authorId="0">
      <text>
        <t xml:space="preserve">======
ID#AAABvrwZJvY
tc={97EAD315-3E1B-42C7-90D9-B29BEE4E51AE}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ref="F9" authorId="0">
      <text>
        <t xml:space="preserve">======
ID#AAABvrwZJvo
tc={13ADB7B5-EE62-4FDE-8D6B-9FA16CFC2322}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t>
      </text>
    </comment>
    <comment ref="F10" authorId="0">
      <text>
        <t xml:space="preserve">======
ID#AAABvrwZJvA
tc={B67111AE-3915-45AE-9D53-5DB447698254}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ref="F11" authorId="0">
      <text>
        <t xml:space="preserve">======
ID#AAABvrwZJvc
tc={5F18FEE5-4C19-4E4D-B75A-F0CEC59DF280}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ref="F12" authorId="0">
      <text>
        <t xml:space="preserve">======
ID#AAABvrwZJvw
tc={B7F90C6A-3E69-44E3-9647-876D5D802D35}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ref="F13" authorId="0">
      <text>
        <t xml:space="preserve">======
ID#AAABvrwZJvM
tc={E9DBF7F9-8E30-4BAC-B486-5C42C0D81ABC}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@Nija Thomas</t>
      </text>
    </comment>
    <comment ref="F14" authorId="0">
      <text>
        <t xml:space="preserve">======
ID#AAABvrwZJvU
tc={B022F3CF-82F1-44E0-A15F-37035A2A19BE}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Crowle</t>
      </text>
    </comment>
    <comment ref="F15" authorId="0">
      <text>
        <t xml:space="preserve">======
ID#AAABvrwZJvg
tc={EA4204DE-2C90-4DB1-A66B-549C5C17C8CD}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Crowle</t>
      </text>
    </comment>
    <comment ref="F16" authorId="0">
      <text>
        <t xml:space="preserve">======
ID#AAABvrwZJu8
tc={CEDB600D-1AB6-40C5-86E2-2AD7CF8B3EFE}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@Walid Salhab</t>
      </text>
    </comment>
    <comment ref="F17" authorId="0">
      <text>
        <t xml:space="preserve">======
ID#AAABvrwZJwE
tc={12154D45-918E-40E4-84FD-3ADAD640BDFC}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 @James Crowle 
Reply:
    @James Crowle</t>
      </text>
    </comment>
    <comment ref="F18" authorId="0">
      <text>
        <t xml:space="preserve">======
ID#AAABvrwZJvk
tc={051166C8-EEBA-43F1-A742-6AD76C02D620}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@Walid Salhab Have you seen heat trace before on geo laterals ? Want to see who usually does those.
Reply:
    @Marcel El Khoury  nope haven't seen that before, aren't the laterals deep enough to not require heat trace?
Reply:
    That was my thought, will look into it, thank you @Walid Salhab</t>
      </text>
    </comment>
    <comment ref="F19" authorId="0">
      <text>
        <t xml:space="preserve">======
ID#AAABvrwZJvQ
tc={E2B4C86F-3FF5-43F2-A1AA-E059A58CA6CD}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@Walid Salhab</t>
      </text>
    </comment>
  </commentList>
</comments>
</file>

<file path=xl/comments35.xml><?xml version="1.0" encoding="utf-8"?>
<comments xmlns="http://schemas.openxmlformats.org/spreadsheetml/2006/main">
  <authors>
    <author>sheetjsghost</author>
  </authors>
  <commentList>
    <comment ref="L40" authorId="0">
      <text>
        <t xml:space="preserve">======
ID#AAABvrwZJwI
tc={B81A8A02-4308-46B7-9A9A-5ECC953D19E5}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@Marcel El Khoury those are *not* reflected in his back-up. Let’s talk if you need to submit his proposal, before you do!</t>
      </text>
    </comment>
  </commentList>
</comments>
</file>

<file path=xl/comments36.xml><?xml version="1.0" encoding="utf-8"?>
<comments xmlns="http://schemas.openxmlformats.org/spreadsheetml/2006/main">
  <authors>
    <author>sheetjsghost</author>
  </authors>
  <commentList>
    <comment ref="L25" authorId="0">
      <text>
        <t xml:space="preserve">======
ID#AAABvrwZJvE
tc={D3B745E4-300E-40D0-9332-C8EEEB8A89E6}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@Marcel El Khoury Same here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4">
    <numFmt numFmtId="56" formatCode="&quot;上午/下午 &quot;hh&quot;時&quot;mm&quot;分&quot;ss&quot;秒 &quot;"/>
    <numFmt numFmtId="164" formatCode="#,###&quot; gsf&quot;"/>
    <numFmt numFmtId="165" formatCode="0.0"/>
    <numFmt numFmtId="166" formatCode="_(&quot;$&quot;* #,##0.00_);_(&quot;$&quot;* \(#,##0.00\);_(&quot;$&quot;* &quot;-&quot;??_);_(@_)"/>
    <numFmt numFmtId="167" formatCode="_(&quot;$&quot;* #,##0_);_(&quot;$&quot;* \(#,##0\);_(&quot;$&quot;* &quot;-&quot;??_);_(@_)"/>
    <numFmt numFmtId="168" formatCode="[$-409]mmmm\ d\,\ yyyy"/>
    <numFmt numFmtId="169" formatCode="&quot;$&quot;#,##0"/>
    <numFmt numFmtId="170" formatCode="&quot;$&quot;#,##0.00"/>
    <numFmt numFmtId="171" formatCode="&quot;$&quot;#,##0_);\(&quot;$&quot;#,##0\)"/>
    <numFmt numFmtId="172" formatCode="00\ 00\ 00"/>
    <numFmt numFmtId="173" formatCode="_(* #,##0.00_);_(* \(#,##0.00\);_(* &quot;-&quot;??_);_(@_)"/>
    <numFmt numFmtId="174" formatCode="&quot;#&quot;0#&quot;:&quot;;\-###,###,###;0"/>
    <numFmt numFmtId="175" formatCode="General_)"/>
    <numFmt numFmtId="17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xf numFmtId="14" fontId="0" fillId="0" borderId="0" xfId="0" applyNumberFormat="1"/>
    <xf numFmtId="168" fontId="0" fillId="0" borderId="0" xfId="0" applyNumberFormat="1"/>
    <xf numFmtId="169" fontId="0" fillId="0" borderId="0" xfId="0" applyNumberFormat="1"/>
    <xf numFmtId="170" fontId="0" fillId="0" borderId="0" xfId="0" applyNumberFormat="1"/>
    <xf numFmtId="10" fontId="0" fillId="0" borderId="0" xfId="0" applyNumberFormat="1"/>
    <xf numFmtId="49" fontId="0" fillId="0" borderId="0" xfId="0" applyNumberFormat="1"/>
    <xf numFmtId="171" fontId="0" fillId="0" borderId="0" xfId="0" applyNumberFormat="1"/>
    <xf numFmtId="172" fontId="0" fillId="0" borderId="0" xfId="0" applyNumberFormat="1"/>
    <xf numFmtId="3"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hyperlink" Target="mailto:mstocker@acecoworld.com" TargetMode="External"/><Relationship Id="rId2" Type="http://schemas.openxmlformats.org/officeDocument/2006/relationships/hyperlink" Target="mailto:Alex@celticdemo.com" TargetMode="External"/><Relationship Id="rId3" Type="http://schemas.openxmlformats.org/officeDocument/2006/relationships/hyperlink" Target="mailto:marc@marcsdemolitions.com" TargetMode="External"/><Relationship Id="rId4" Type="http://schemas.openxmlformats.org/officeDocument/2006/relationships/hyperlink" Target="mailto:safi.khan@mcnbuild.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lahowardconstruction@msn.com" TargetMode="External"/><Relationship Id="rId2" Type="http://schemas.openxmlformats.org/officeDocument/2006/relationships/hyperlink" Target="mailto:lahowardconstruction@msn.com" TargetMode="External"/><Relationship Id="rId3" Type="http://schemas.openxmlformats.org/officeDocument/2006/relationships/hyperlink" Target="mailto:damaro@blackwood-dc.com%20" TargetMode="External"/><Relationship Id="rId4" Type="http://schemas.openxmlformats.org/officeDocument/2006/relationships/hyperlink" Target="mailto:rahi@alcoacm.com" TargetMode="External"/><Relationship Id="rId5" Type="http://schemas.openxmlformats.org/officeDocument/2006/relationships/hyperlink" Target="mailto:vaibhav.jain@mcnbuild.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zach@forsytheinc.net" TargetMode="External"/><Relationship Id="rId2" Type="http://schemas.openxmlformats.org/officeDocument/2006/relationships/hyperlink" Target="mailto:nancy@hammermasonry.com" TargetMode="External"/><Relationship Id="rId3" Type="http://schemas.openxmlformats.org/officeDocument/2006/relationships/hyperlink" Target="mailto:oguevara@jpnmasonry.com" TargetMode="External"/><Relationship Id="rId4" Type="http://schemas.openxmlformats.org/officeDocument/2006/relationships/hyperlink" Target="mailto:nija.thomas@mcnbuild.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samy@boldmarksi.com%20" TargetMode="External"/><Relationship Id="rId2" Type="http://schemas.openxmlformats.org/officeDocument/2006/relationships/hyperlink" Target="mailto:steven@eastcoastironmd.com" TargetMode="External"/><Relationship Id="rId3" Type="http://schemas.openxmlformats.org/officeDocument/2006/relationships/hyperlink" Target="mailto:l.ji@ironfs.com" TargetMode="External"/><Relationship Id="rId4" Type="http://schemas.openxmlformats.org/officeDocument/2006/relationships/hyperlink" Target="mailto:vaibhav.jain@mcnbuild.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afernandez@biltco.com" TargetMode="External"/><Relationship Id="rId2" Type="http://schemas.openxmlformats.org/officeDocument/2006/relationships/hyperlink" Target="mailto:jay@cwwcorp.com" TargetMode="External"/><Relationship Id="rId3" Type="http://schemas.openxmlformats.org/officeDocument/2006/relationships/hyperlink" Target="mailto:woosterbeek@arcwoodwv.com" TargetMode="External"/><Relationship Id="rId4" Type="http://schemas.openxmlformats.org/officeDocument/2006/relationships/hyperlink" Target="mailto:nija.thomas@mcnbuild.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william.rego@truteam.com" TargetMode="External"/><Relationship Id="rId2" Type="http://schemas.openxmlformats.org/officeDocument/2006/relationships/hyperlink" Target="mailto:john@hrgm.com" TargetMode="External"/><Relationship Id="rId3" Type="http://schemas.openxmlformats.org/officeDocument/2006/relationships/hyperlink" Target="mailto:dan@lproofingllc.com" TargetMode="External"/><Relationship Id="rId4" Type="http://schemas.openxmlformats.org/officeDocument/2006/relationships/hyperlink" Target="mailto:zach@forsytheinc.ne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rawad@rkinternational.com" TargetMode="External"/><Relationship Id="rId2" Type="http://schemas.openxmlformats.org/officeDocument/2006/relationships/hyperlink" Target="mailto:seankim@chucontracting.com" TargetMode="External"/><Relationship Id="rId3" Type="http://schemas.openxmlformats.org/officeDocument/2006/relationships/hyperlink" Target="mailto:david@prestigefacades.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zach@forsytheinc.net" TargetMode="External"/><Relationship Id="rId2" Type="http://schemas.openxmlformats.org/officeDocument/2006/relationships/hyperlink" Target="mailto:seankim@chucontracting.com" TargetMode="External"/><Relationship Id="rId3" Type="http://schemas.openxmlformats.org/officeDocument/2006/relationships/hyperlink" Target="mailto:john@hrgm.com" TargetMode="External"/><Relationship Id="rId4" Type="http://schemas.openxmlformats.org/officeDocument/2006/relationships/hyperlink" Target="mailto:dan@lproofingllc.com" TargetMode="External"/><Relationship Id="rId5" Type="http://schemas.openxmlformats.org/officeDocument/2006/relationships/hyperlink" Target="mailto:James.Crowle@MCNBuild.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bids@aorbis.com" TargetMode="External"/><Relationship Id="rId2" Type="http://schemas.openxmlformats.org/officeDocument/2006/relationships/hyperlink" Target="mailto:ron.caldwell@integratedopenings.com" TargetMode="External"/><Relationship Id="rId3" Type="http://schemas.openxmlformats.org/officeDocument/2006/relationships/hyperlink" Target="mailto:bobieyost@alleganydoor.com" TargetMode="External"/><Relationship Id="rId4" Type="http://schemas.openxmlformats.org/officeDocument/2006/relationships/hyperlink" Target="mailto:nija.thomas@mcnbuild.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doug.luman@minercorp.com" TargetMode="External"/><Relationship Id="rId2" Type="http://schemas.openxmlformats.org/officeDocument/2006/relationships/hyperlink" Target="mailto:mescribano@mckeondoor.com" TargetMode="External"/><Relationship Id="rId3" Type="http://schemas.openxmlformats.org/officeDocument/2006/relationships/hyperlink" Target="mailto:coestimating@overheaddoors.com" TargetMode="External"/><Relationship Id="rId4" Type="http://schemas.openxmlformats.org/officeDocument/2006/relationships/hyperlink" Target="mailto:carolinedsi@verizon.net" TargetMode="External"/><Relationship Id="rId5" Type="http://schemas.openxmlformats.org/officeDocument/2006/relationships/hyperlink" Target="mailto:nija.thomas@mcnbuild.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mailto:david@prestigefacades.com" TargetMode="External"/><Relationship Id="rId2" Type="http://schemas.openxmlformats.org/officeDocument/2006/relationships/hyperlink" Target="mailto:chip@rangerglass.com" TargetMode="External"/><Relationship Id="rId3" Type="http://schemas.openxmlformats.org/officeDocument/2006/relationships/hyperlink" Target="mailto:isabellah@innovoconstruction.com" TargetMode="External"/><Relationship Id="rId4" Type="http://schemas.openxmlformats.org/officeDocument/2006/relationships/hyperlink" Target="mailto:john@agmcontract.com"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mailto:estimating@jpcontinc.com" TargetMode="External"/><Relationship Id="rId3" Type="http://schemas.openxmlformats.org/officeDocument/2006/relationships/hyperlink" Target="mailto:melvin@districtconstruction.com" TargetMode="External"/><Relationship Id="rId4" Type="http://schemas.openxmlformats.org/officeDocument/2006/relationships/hyperlink" Target="mailto:nija.thomas@mcnbuild.com"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mailto:arad@floors-etc.com" TargetMode="External"/><Relationship Id="rId2" Type="http://schemas.openxmlformats.org/officeDocument/2006/relationships/hyperlink" Target="mailto:fred@admiraldc.com" TargetMode="External"/><Relationship Id="rId3" Type="http://schemas.openxmlformats.org/officeDocument/2006/relationships/hyperlink" Target="mailto:nija.thomas@mcnbuild.com%20"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mailto:arad@floors-etc.com" TargetMode="External"/><Relationship Id="rId2" Type="http://schemas.openxmlformats.org/officeDocument/2006/relationships/hyperlink" Target="mailto:fred@admiraldc.com" TargetMode="External"/><Relationship Id="rId3" Type="http://schemas.openxmlformats.org/officeDocument/2006/relationships/hyperlink" Target="mailto:ken@mastercarefloors.com" TargetMode="External"/><Relationship Id="rId4" Type="http://schemas.openxmlformats.org/officeDocument/2006/relationships/hyperlink" Target="mailto:nija.thomas@mcnbuild.com"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mailto:nazim@districtcontruction.com" TargetMode="External"/><Relationship Id="rId2" Type="http://schemas.openxmlformats.org/officeDocument/2006/relationships/hyperlink" Target="mailto:kstevens@precisionwall.com" TargetMode="External"/><Relationship Id="rId3" Type="http://schemas.openxmlformats.org/officeDocument/2006/relationships/hyperlink" Target="mailto:roy@uniconstruyiongroup.com" TargetMode="External"/><Relationship Id="rId4" Type="http://schemas.openxmlformats.org/officeDocument/2006/relationships/hyperlink" Target="mailto:nija.thomas@mcnbuild.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dyoung@gelbergsigns.com" TargetMode="External"/><Relationship Id="rId2" Type="http://schemas.openxmlformats.org/officeDocument/2006/relationships/hyperlink" Target="mailto:tom.stacey@modulex.com" TargetMode="External"/><Relationship Id="rId3" Type="http://schemas.openxmlformats.org/officeDocument/2006/relationships/hyperlink" Target="mailto:nija.thomas@mcnbuild.com"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mailto:itb@aorbis.com" TargetMode="External"/><Relationship Id="rId2" Type="http://schemas.openxmlformats.org/officeDocument/2006/relationships/hyperlink" Target="mailto:sam.richards@integratedopenings.com" TargetMode="External"/><Relationship Id="rId3" Type="http://schemas.openxmlformats.org/officeDocument/2006/relationships/hyperlink" Target="mailto:john@nelson-spec.com" TargetMode="External"/><Relationship Id="rId4" Type="http://schemas.openxmlformats.org/officeDocument/2006/relationships/hyperlink" Target="mailto:john@newtondistributing.com" TargetMode="External"/><Relationship Id="rId5" Type="http://schemas.openxmlformats.org/officeDocument/2006/relationships/hyperlink" Target="mailto:nija.thomas@mcnbuild.com"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mailto:jlocke@singerequipment.com" TargetMode="External"/><Relationship Id="rId2" Type="http://schemas.openxmlformats.org/officeDocument/2006/relationships/hyperlink" Target="mailto:jerisman@11400llc.com"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mailto:andrew@deglerwhiting.com%20" TargetMode="External"/><Relationship Id="rId2" Type="http://schemas.openxmlformats.org/officeDocument/2006/relationships/hyperlink" Target="mailto:jason@tjdistributors.com%20"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mailto:marcel.el-khoury@mcnbuild.com"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mailto:marcel.el-khoury@mcnbuild.com"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mailto:marcel.el-khoury@mcnbuild.com" TargetMode="Externa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8.xml.rels><?xml version="1.0" encoding="UTF-8" standalone="yes"?>
<Relationships xmlns="http://schemas.openxmlformats.org/package/2006/relationships"><Relationship Id="rId1" Type="http://schemas.openxmlformats.org/officeDocument/2006/relationships/hyperlink" Target="mailto:max.mcmanus@rustonpaving.com" TargetMode="External"/><Relationship Id="rId2" Type="http://schemas.openxmlformats.org/officeDocument/2006/relationships/hyperlink" Target="mailto:safi.khan@mcnbuild.com"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mailto:justin@amaconstruction.net" TargetMode="External"/><Relationship Id="rId2" Type="http://schemas.openxmlformats.org/officeDocument/2006/relationships/hyperlink" Target="mailto:safi.khan@mcnbuild.com"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mailto:safi.khan@mcnbuild.com"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mailto:Tom.Sheehan@completelandscapingservice.com" TargetMode="External"/><Relationship Id="rId2" Type="http://schemas.openxmlformats.org/officeDocument/2006/relationships/hyperlink" Target="mailto:bonnie@beechfieldlandscaping.com" TargetMode="External"/><Relationship Id="rId3" Type="http://schemas.openxmlformats.org/officeDocument/2006/relationships/hyperlink" Target="mailto:safi.khan@mcnbuild.com" TargetMode="External"/></Relationships>
</file>

<file path=xl/worksheets/sheet1.xml><?xml version="1.0" encoding="utf-8"?>
<worksheet xmlns="http://schemas.openxmlformats.org/spreadsheetml/2006/main" xmlns:r="http://schemas.openxmlformats.org/officeDocument/2006/relationships">
  <dimension ref="A1:J1000"/>
  <sheetViews>
    <sheetView workbookViewId="0" rightToLeft="0"/>
  </sheetViews>
  <cols>
    <col min="1" max="1" customWidth="1" width="11"/>
    <col min="2" max="2" customWidth="1" width="37.14"/>
    <col min="3" max="3" customWidth="1" width="8.71"/>
    <col min="4" max="4" customWidth="1" width="14.43"/>
    <col min="5" max="5" customWidth="1" width="11.57"/>
    <col min="6" max="6" customWidth="1" width="10"/>
    <col min="7" max="7" customWidth="1" width="11.43"/>
    <col min="8" max="8" customWidth="1" width="11.43"/>
    <col min="9" max="9" customWidth="1" width="14.43"/>
    <col min="10" max="10" customWidth="1" width="22.14"/>
    <col min="11" max="11" customWidth="1" width="8.71"/>
    <col min="12" max="12" customWidth="1" width="8.71"/>
    <col min="13" max="13" customWidth="1" width="8.71"/>
    <col min="14" max="14" customWidth="1" width="8.71"/>
    <col min="15" max="15" customWidth="1" width="8.71"/>
    <col min="16" max="16" customWidth="1" width="8.71"/>
    <col min="17" max="17" customWidth="1" width="8.71"/>
    <col min="18" max="18" customWidth="1" width="8.71"/>
    <col min="19" max="19" customWidth="1" width="8.71"/>
    <col min="20" max="20" customWidth="1" width="8.71"/>
    <col min="21" max="21" customWidth="1" width="8.71"/>
    <col min="22" max="22" customWidth="1" width="8.71"/>
    <col min="23" max="23" customWidth="1" width="8.71"/>
    <col min="24" max="24" customWidth="1" width="8.71"/>
    <col min="25" max="25" customWidth="1" width="8.71"/>
    <col min="26" max="26" customWidth="1" width="8.71"/>
  </cols>
  <sheetData>
    <row r="1" ht="14.25" customHeight="1">
      <c r="A1" t="str">
        <v>Client</v>
      </c>
      <c r="B1" t="str">
        <f>'Bid Sheet'!C1</f>
        <v>DPR &amp; DGS</v>
      </c>
      <c r="D1" t="str">
        <v>Total GSF:</v>
      </c>
      <c r="E1" s="1">
        <f>'Bid Sheet'!I1</f>
        <v>20000</v>
      </c>
      <c r="F1" t="str">
        <v>&lt;-- ALL PULLED FROM "BID SHEET"</v>
      </c>
    </row>
    <row r="2" ht="14.25" customHeight="1">
      <c r="A2" t="str">
        <v>Project</v>
      </c>
      <c r="B2" t="str">
        <f>'Bid Sheet'!C2</f>
        <v>Jelleff Recreation Center</v>
      </c>
      <c r="F2" t="str">
        <v>&lt;-- ALL PULLED FROM "BID SHEET"</v>
      </c>
    </row>
    <row r="3" ht="14.25" customHeight="1">
      <c r="A3" t="str">
        <v>Location</v>
      </c>
      <c r="B3" t="str">
        <f>'Bid Sheet'!C3</f>
        <v>3265 S St NW, Washington, DC 20007</v>
      </c>
      <c r="F3" t="str">
        <v>&lt;-- ALL PULLED FROM "BID SHEET"</v>
      </c>
    </row>
    <row r="4" ht="14.25" customHeight="1">
      <c r="A4" t="str">
        <v>Architect</v>
      </c>
      <c r="B4" t="str">
        <f>'Bid Sheet'!C4</f>
        <v>DLR Group</v>
      </c>
      <c r="D4" t="str">
        <v>Weeks:</v>
      </c>
      <c r="E4" s="2">
        <f>'Bid Sheet'!I4</f>
        <v>78</v>
      </c>
      <c r="F4" t="str">
        <v>&lt;-- ALL PULLED FROM "BID SHEET"</v>
      </c>
    </row>
    <row r="5" ht="14.25" customHeight="1">
      <c r="A5" t="str">
        <v>Engineer</v>
      </c>
      <c r="B5" t="str">
        <f>'Bid Sheet'!C5</f>
        <v>Various</v>
      </c>
      <c r="D5" t="str">
        <v>Months:</v>
      </c>
      <c r="E5" s="2">
        <f>'Bid Sheet'!I5</f>
        <v>18</v>
      </c>
      <c r="F5" t="str">
        <v>&lt;-- ALL PULLED FROM "BID SHEET"</v>
      </c>
    </row>
    <row r="6" ht="14.25" customHeight="1"/>
    <row r="7" ht="14.25" customHeight="1">
      <c r="A7" t="str">
        <v>General Conditions and General Requirements - SUMMARY</v>
      </c>
      <c r="D7" t="str">
        <v>Calculated</v>
      </c>
      <c r="E7" t="str">
        <v>Override</v>
      </c>
      <c r="I7" t="str">
        <v>Total</v>
      </c>
      <c r="J7" t="str">
        <v>Notes</v>
      </c>
    </row>
    <row r="8" ht="14.25" customHeight="1">
      <c r="B8" t="str">
        <f>A25</f>
        <v>Field and Office Personnel</v>
      </c>
      <c r="D8" s="3">
        <f>I64</f>
        <v>1625000</v>
      </c>
      <c r="E8" s="3">
        <v>0</v>
      </c>
      <c r="I8" s="3">
        <f>IF(ISBLANK(E8),D8,E8)</f>
        <v>0</v>
      </c>
    </row>
    <row r="9" ht="14.25" customHeight="1">
      <c r="B9" t="str">
        <f>A66</f>
        <v>Close Out</v>
      </c>
      <c r="D9" s="3">
        <f>I79</f>
        <v>0</v>
      </c>
      <c r="I9" s="3">
        <f>IF(ISBLANK(E9),D9,E9)</f>
        <v>0</v>
      </c>
    </row>
    <row r="10" ht="14.25" customHeight="1">
      <c r="H10" t="str">
        <v>General Conditions - Personnel</v>
      </c>
      <c r="I10" s="3">
        <f>SUM(I8:I9)</f>
        <v>0</v>
      </c>
    </row>
    <row r="11" ht="14.25" customHeight="1">
      <c r="B11" t="str">
        <f>A81</f>
        <v>Building Clean Up</v>
      </c>
      <c r="D11" s="3">
        <f>I105</f>
        <v>0</v>
      </c>
      <c r="I11" s="3">
        <f>IF(ISBLANK(E11),D11,E11)</f>
        <v>0</v>
      </c>
    </row>
    <row r="12" ht="14.25" customHeight="1">
      <c r="B12" t="str">
        <f>A107</f>
        <v>Field Office Expenses</v>
      </c>
      <c r="D12" s="3">
        <f>I126</f>
        <v>0</v>
      </c>
      <c r="I12" s="3">
        <f>IF(ISBLANK(E12),D12,E12)</f>
        <v>0</v>
      </c>
    </row>
    <row r="13" ht="14.25" customHeight="1">
      <c r="B13" t="str">
        <f>A128</f>
        <v>Trailer Expenses</v>
      </c>
      <c r="D13" s="3">
        <f>I143</f>
        <v>0</v>
      </c>
      <c r="I13" s="3">
        <f>IF(ISBLANK(E13),D13,E13)</f>
        <v>0</v>
      </c>
    </row>
    <row r="14" ht="14.25" customHeight="1">
      <c r="B14" t="str">
        <f>A145</f>
        <v>Project Expenses</v>
      </c>
      <c r="D14" s="3">
        <f>I156</f>
        <v>0</v>
      </c>
      <c r="I14" s="3">
        <f>IF(ISBLANK(E14),D14,E14)</f>
        <v>0</v>
      </c>
    </row>
    <row r="15" ht="14.25" customHeight="1">
      <c r="H15" t="str">
        <v>General Conditions - Non-Personnel</v>
      </c>
      <c r="I15" s="3">
        <f>SUM(I11:I14)</f>
        <v>0</v>
      </c>
    </row>
    <row r="16" ht="14.25" customHeight="1">
      <c r="B16" t="str">
        <f>A158</f>
        <v>Temp Constcrution &amp; OSHA</v>
      </c>
      <c r="D16" s="3">
        <f>I338</f>
        <v>924946.2</v>
      </c>
      <c r="E16" s="3">
        <v>0</v>
      </c>
      <c r="I16" s="3">
        <f>IF(ISBLANK(E16),D16,E16)</f>
        <v>0</v>
      </c>
    </row>
    <row r="17" ht="14.25" customHeight="1">
      <c r="B17" t="str">
        <f>A340</f>
        <v>Temporary Building Utilities</v>
      </c>
      <c r="D17" s="3">
        <f>I351</f>
        <v>0</v>
      </c>
      <c r="I17" s="3">
        <f>IF(ISBLANK(E17),D17,E17)</f>
        <v>0</v>
      </c>
    </row>
    <row r="18" ht="14.25" customHeight="1">
      <c r="B18" t="str">
        <f>A353</f>
        <v>Temporary Heat &amp; Weather Protection</v>
      </c>
      <c r="D18" s="3">
        <f>I364</f>
        <v>0</v>
      </c>
      <c r="I18" s="3">
        <f>IF(ISBLANK(E18),D18,E18)</f>
        <v>0</v>
      </c>
    </row>
    <row r="19" ht="14.25" customHeight="1">
      <c r="B19" t="str">
        <f>A366</f>
        <v>Material and Personnel Hoisting</v>
      </c>
      <c r="D19" s="3">
        <f>I387</f>
        <v>0</v>
      </c>
      <c r="I19" s="3">
        <f>IF(ISBLANK(E19),D19,E19)</f>
        <v>0</v>
      </c>
    </row>
    <row r="20" ht="14.25" customHeight="1">
      <c r="B20" t="str">
        <f>A389</f>
        <v>Engineering, testing, Inspection</v>
      </c>
      <c r="D20" s="3">
        <f>I410</f>
        <v>0</v>
      </c>
      <c r="I20" s="3">
        <f>IF(ISBLANK(E20),D20,E20)</f>
        <v>0</v>
      </c>
    </row>
    <row r="21" ht="14.25" customHeight="1">
      <c r="B21" t="str">
        <f>A412</f>
        <v>Miscellaneous Provsions</v>
      </c>
      <c r="D21" s="3">
        <f>I433</f>
        <v>0</v>
      </c>
      <c r="I21" s="3">
        <f>IF(ISBLANK(E21),D21,E21)</f>
        <v>0</v>
      </c>
    </row>
    <row r="22" ht="14.25" customHeight="1">
      <c r="B22" t="str">
        <f>A435</f>
        <v>Insurance, Taxes, Permit</v>
      </c>
      <c r="D22" s="3">
        <f>I456</f>
        <v>0</v>
      </c>
      <c r="I22" s="3">
        <f>IF(ISBLANK(E22),D22,E22)</f>
        <v>0</v>
      </c>
    </row>
    <row r="23" ht="14.25" customHeight="1">
      <c r="H23" t="str">
        <v>General Requirements</v>
      </c>
      <c r="I23" s="3">
        <f>SUM(I16:I22)</f>
        <v>0</v>
      </c>
    </row>
    <row r="24" ht="14.25" customHeight="1"/>
    <row r="25" ht="14.25" customHeight="1">
      <c r="A25" t="str">
        <v>Field and Office Personnel</v>
      </c>
    </row>
    <row r="26" ht="14.25" customHeight="1" outlineLevel="1">
      <c r="A26" t="str">
        <v>Cost Code</v>
      </c>
      <c r="B26" t="str">
        <v>Description</v>
      </c>
      <c r="C26" t="str">
        <v>Hrs/Wk</v>
      </c>
      <c r="D26" t="str">
        <v>Rate</v>
      </c>
      <c r="E26" t="str">
        <v>Unit</v>
      </c>
      <c r="F26" t="str">
        <v>Ext. Rate</v>
      </c>
      <c r="G26" t="str">
        <v>Quantity</v>
      </c>
      <c r="I26" t="str">
        <v>Total</v>
      </c>
      <c r="J26" t="str">
        <v>Notes</v>
      </c>
    </row>
    <row r="27" ht="14.25" customHeight="1" outlineLevel="1">
      <c r="A27" t="str">
        <v>01-005</v>
      </c>
      <c r="B27" t="str">
        <v>Field Superintendent - BWS</v>
      </c>
      <c r="C27">
        <f>0*40</f>
        <v>0</v>
      </c>
      <c r="D27" s="3">
        <v>75</v>
      </c>
      <c r="E27" t="str">
        <v>Weeks</v>
      </c>
      <c r="F27" s="4">
        <f>IF(E27="weeks",D27*C27,D27)</f>
        <v>0</v>
      </c>
      <c r="G27" t="str">
        <f>IF(E27="weeks","wks",IF(E27="months","mos","enter ---&gt;"))</f>
        <v>wks</v>
      </c>
      <c r="I27" s="3">
        <f>IF(G27="wks",F27*$E$4,IF(G27="mos",F27*$E$5,H27*F27))</f>
        <v>0</v>
      </c>
    </row>
    <row r="28" ht="14.25" customHeight="1" outlineLevel="1">
      <c r="A28" t="str">
        <v>01-010</v>
      </c>
      <c r="B28" t="str">
        <v>Assistant Field Superintendent - BWS</v>
      </c>
      <c r="C28">
        <f>0*40</f>
        <v>0</v>
      </c>
      <c r="D28" s="3">
        <v>65</v>
      </c>
      <c r="E28" t="str">
        <v>Weeks</v>
      </c>
      <c r="F28" s="4">
        <f>IF(E28="weeks",D28*C28,D28)</f>
        <v>0</v>
      </c>
      <c r="G28" t="str">
        <f>IF(E28="weeks","wks",IF(E28="months","mos","enter ---&gt;"))</f>
        <v>wks</v>
      </c>
      <c r="I28" s="3">
        <f>IF(G28="wks",F28*$E$4,IF(G28="mos",F28*$E$5,H28*F28))</f>
        <v>0</v>
      </c>
    </row>
    <row r="29" ht="14.25" customHeight="1" outlineLevel="1">
      <c r="A29" t="str">
        <v>01-030</v>
      </c>
      <c r="B29" t="str">
        <v>Project Manager</v>
      </c>
      <c r="C29">
        <f>0*10</f>
        <v>0</v>
      </c>
      <c r="D29" s="3">
        <v>85</v>
      </c>
      <c r="E29" t="str">
        <v>Weeks</v>
      </c>
      <c r="F29" s="4">
        <f>IF(E29="weeks",D29*C29,D29)</f>
        <v>0</v>
      </c>
      <c r="G29" t="str">
        <f>IF(E29="weeks","wks",IF(E29="months","mos","enter ---&gt;"))</f>
        <v>wks</v>
      </c>
      <c r="I29" s="3">
        <f>IF(G29="wks",F29*$E$4,IF(G29="mos",F29*$E$5,H29*F29))</f>
        <v>0</v>
      </c>
    </row>
    <row r="30" ht="14.25" customHeight="1" outlineLevel="1">
      <c r="A30" t="str">
        <v>01-035</v>
      </c>
      <c r="B30" t="str">
        <v>Project Engineer</v>
      </c>
      <c r="C30">
        <f>0*40</f>
        <v>0</v>
      </c>
      <c r="D30" s="3">
        <v>65</v>
      </c>
      <c r="E30" t="str">
        <v>Weeks</v>
      </c>
      <c r="F30" s="4">
        <f>IF(E30="weeks",D30*C30,D30)</f>
        <v>0</v>
      </c>
      <c r="G30" t="str">
        <f>IF(E30="weeks","wks",IF(E30="months","mos","enter ---&gt;"))</f>
        <v>wks</v>
      </c>
      <c r="I30" s="3">
        <f>IF(G30="wks",F30*$E$4,IF(G30="mos",F30*$E$5,H30*F30))</f>
        <v>0</v>
      </c>
    </row>
    <row r="31" ht="14.25" customHeight="1" outlineLevel="1">
      <c r="A31" t="str">
        <v>01-040</v>
      </c>
      <c r="B31" t="str">
        <v>Close Out Engineer</v>
      </c>
      <c r="C31">
        <v>0</v>
      </c>
      <c r="D31" s="3">
        <v>54.36</v>
      </c>
      <c r="E31" t="str">
        <v>Weeks</v>
      </c>
      <c r="F31" s="4">
        <f>IF(E31="weeks",D31*C31,D31)</f>
        <v>0</v>
      </c>
      <c r="G31" t="str">
        <f>IF(E31="weeks","wks",IF(E31="months","mos","enter ---&gt;"))</f>
        <v>wks</v>
      </c>
      <c r="I31" s="3">
        <f>IF(G31="wks",F31*$E$4,IF(G31="mos",F31*$E$5,H31*F31))</f>
        <v>0</v>
      </c>
    </row>
    <row r="32" ht="14.25" customHeight="1" outlineLevel="1">
      <c r="A32" t="str">
        <v>01-045</v>
      </c>
      <c r="B32" t="str">
        <v>Field Accountant</v>
      </c>
      <c r="C32">
        <v>0</v>
      </c>
      <c r="D32" s="3">
        <v>27.65</v>
      </c>
      <c r="E32" t="str">
        <v>Weeks</v>
      </c>
      <c r="F32" s="4">
        <f>IF(E32="weeks",D32*C32,D32)</f>
        <v>0</v>
      </c>
      <c r="G32" t="str">
        <f>IF(E32="weeks","wks",IF(E32="months","mos","enter ---&gt;"))</f>
        <v>wks</v>
      </c>
      <c r="I32" s="3">
        <f>IF(G32="wks",F32*$E$4,IF(G32="mos",F32*$E$5,H32*F32))</f>
        <v>0</v>
      </c>
    </row>
    <row r="33" ht="14.25" customHeight="1" outlineLevel="1">
      <c r="A33" t="str">
        <v>01-048</v>
      </c>
      <c r="B33" t="str">
        <v>Laborer Allowance</v>
      </c>
      <c r="D33" s="3">
        <v>50000</v>
      </c>
      <c r="E33" t="str">
        <v>ls</v>
      </c>
      <c r="F33" s="4">
        <f>IF(E33="weeks",D33*C33,D33)</f>
        <v>50000</v>
      </c>
      <c r="G33" t="str">
        <f>IF(E33="weeks","wks",IF(E33="months","mos","enter ---&gt;"))</f>
        <v>enter ---&gt;</v>
      </c>
      <c r="I33" s="3">
        <f>IF(G33="wks",F33*$E$4,IF(G33="mos",F33*$E$5,H33*F33))</f>
        <v>0</v>
      </c>
    </row>
    <row r="34" ht="14.25" customHeight="1" outlineLevel="1">
      <c r="A34" t="str">
        <v>01-050</v>
      </c>
      <c r="B34" t="str">
        <v>Testing Engineer &amp; Commissiong Agent</v>
      </c>
      <c r="D34" s="3">
        <v>40000</v>
      </c>
      <c r="E34" t="str">
        <v>ls</v>
      </c>
      <c r="F34" s="4">
        <f>IF(E34="weeks",D34*C34,D34)</f>
        <v>40000</v>
      </c>
      <c r="G34" t="str">
        <f>IF(E34="weeks","wks",IF(E34="months","mos","enter ---&gt;"))</f>
        <v>enter ---&gt;</v>
      </c>
      <c r="I34" s="3">
        <f>IF(G34="wks",F34*$E$4,IF(G34="mos",F34*$E$5,H34*F34))</f>
        <v>0</v>
      </c>
    </row>
    <row r="35" ht="14.25" customHeight="1" outlineLevel="1">
      <c r="A35" t="str">
        <v>01-051</v>
      </c>
      <c r="B35" t="str">
        <v>Project Mechanical / Electrical Estimator</v>
      </c>
      <c r="C35">
        <v>0</v>
      </c>
      <c r="D35" s="3">
        <v>2800</v>
      </c>
      <c r="E35" t="str">
        <v>Weeks</v>
      </c>
      <c r="F35" s="4">
        <f>IF(E35="weeks",D35*C35,D35)</f>
        <v>0</v>
      </c>
      <c r="G35" t="str">
        <f>IF(E35="weeks","wks",IF(E35="months","mos","enter ---&gt;"))</f>
        <v>wks</v>
      </c>
      <c r="I35" s="3">
        <f>IF(G35="wks",F35*$E$4,IF(G35="mos",F35*$E$5,H35*F35))</f>
        <v>0</v>
      </c>
    </row>
    <row r="36" ht="14.25" customHeight="1" outlineLevel="1">
      <c r="A36" t="str">
        <v>01-052</v>
      </c>
      <c r="B36" t="str">
        <v>Preconstruction Fee / Expenses</v>
      </c>
      <c r="D36" s="3">
        <v>400</v>
      </c>
      <c r="E36" t="str">
        <v>Lump Sum</v>
      </c>
      <c r="F36" s="4">
        <f>IF(E36="weeks",D36*C36,D36)</f>
        <v>400</v>
      </c>
      <c r="G36" t="str">
        <f>IF(E36="weeks","wks",IF(E36="months","mos","enter ---&gt;"))</f>
        <v>enter ---&gt;</v>
      </c>
      <c r="H36">
        <f>0*1</f>
        <v>0</v>
      </c>
      <c r="I36" s="3">
        <f>IF(G36="wks",F36*$E$4,IF(G36="mos",F36*$E$5,H36*F36))</f>
        <v>0</v>
      </c>
    </row>
    <row r="37" ht="14.25" customHeight="1" outlineLevel="1">
      <c r="A37" t="str">
        <v>01-053</v>
      </c>
      <c r="B37" t="str">
        <v>Scheduling Engineer</v>
      </c>
      <c r="D37" s="3">
        <v>425</v>
      </c>
      <c r="E37" t="str">
        <v>Days</v>
      </c>
      <c r="F37" s="4">
        <f>IF(E37="weeks",D37*C37,D37)</f>
        <v>425</v>
      </c>
      <c r="G37" t="str">
        <f>IF(E37="weeks","wks",IF(E37="months","mos","enter ---&gt;"))</f>
        <v>enter ---&gt;</v>
      </c>
      <c r="I37" s="3">
        <f>IF(G37="wks",F37*$E$4,IF(G37="mos",F37*$E$5,H37*F37))</f>
        <v>0</v>
      </c>
    </row>
    <row r="38" ht="14.25" customHeight="1" outlineLevel="1">
      <c r="A38" t="str">
        <v>01-055</v>
      </c>
      <c r="B38" t="str">
        <v>Safety Manager Meetings</v>
      </c>
      <c r="D38" s="3">
        <v>600</v>
      </c>
      <c r="E38" t="str">
        <v>Days</v>
      </c>
      <c r="F38" s="4">
        <f>IF(E38="weeks",D38*C38,D38)</f>
        <v>600</v>
      </c>
      <c r="G38" t="str">
        <f>IF(E38="weeks","wks",IF(E38="months","mos","enter ---&gt;"))</f>
        <v>enter ---&gt;</v>
      </c>
      <c r="I38" s="3">
        <f>IF(G38="wks",F38*$E$4,IF(G38="mos",F38*$E$5,H38*F38))</f>
        <v>0</v>
      </c>
    </row>
    <row r="39" ht="14.25" customHeight="1" outlineLevel="1">
      <c r="A39" t="str">
        <v>01-060</v>
      </c>
      <c r="B39" t="str">
        <v>Safety Coordinator (On Site)</v>
      </c>
      <c r="C39">
        <v>0</v>
      </c>
      <c r="D39" s="3">
        <v>54.36</v>
      </c>
      <c r="E39" t="str">
        <v>Weeks</v>
      </c>
      <c r="F39" s="4">
        <f>IF(E39="weeks",D39*C39,D39)</f>
        <v>0</v>
      </c>
      <c r="G39" t="str">
        <f>IF(E39="weeks","wks",IF(E39="months","mos","enter ---&gt;"))</f>
        <v>wks</v>
      </c>
      <c r="I39" s="3">
        <f>IF(G39="wks",F39*$E$4,IF(G39="mos",F39*$E$5,H39*F39))</f>
        <v>0</v>
      </c>
    </row>
    <row r="40" ht="14.25" customHeight="1" outlineLevel="1">
      <c r="A40" t="str">
        <v>01-061</v>
      </c>
      <c r="B40" t="str">
        <v>Enviro Management System Auditor</v>
      </c>
      <c r="D40" s="3">
        <v>500</v>
      </c>
      <c r="E40" t="str">
        <v>Days</v>
      </c>
      <c r="F40" s="4">
        <f>IF(E40="weeks",D40*C40,D40)</f>
        <v>500</v>
      </c>
      <c r="G40" t="str">
        <f>IF(E40="weeks","wks",IF(E40="months","mos","enter ---&gt;"))</f>
        <v>enter ---&gt;</v>
      </c>
      <c r="I40" s="3">
        <f>IF(G40="wks",F40*$E$4,IF(G40="mos",F40*$E$5,H40*F40))</f>
        <v>0</v>
      </c>
    </row>
    <row r="41" ht="14.25" customHeight="1" outlineLevel="1">
      <c r="A41" t="str">
        <v>01-065</v>
      </c>
      <c r="B41" t="str">
        <v>Secretary</v>
      </c>
      <c r="C41">
        <f>0*16</f>
        <v>0</v>
      </c>
      <c r="D41" s="3">
        <f>1275/40</f>
        <v>31.875</v>
      </c>
      <c r="E41" t="str">
        <v>Weeks</v>
      </c>
      <c r="F41" s="4">
        <f>IF(E41="weeks",D41*C41,D41)</f>
        <v>0</v>
      </c>
      <c r="G41" t="str">
        <f>IF(E41="weeks","wks",IF(E41="months","mos","enter ---&gt;"))</f>
        <v>wks</v>
      </c>
      <c r="I41" s="3">
        <f>IF(G41="wks",F41*$E$4,IF(G41="mos",F41*$E$5,H41*F41))</f>
        <v>0</v>
      </c>
    </row>
    <row r="42" ht="14.25" customHeight="1" outlineLevel="1">
      <c r="A42" t="str">
        <v>01-070</v>
      </c>
      <c r="B42" t="str">
        <v>Office Clerk</v>
      </c>
      <c r="C42">
        <v>0</v>
      </c>
      <c r="D42" s="3">
        <v>800</v>
      </c>
      <c r="E42" t="str">
        <v>Weeks</v>
      </c>
      <c r="F42" s="4">
        <f>IF(E42="weeks",D42*C42,D42)</f>
        <v>0</v>
      </c>
      <c r="G42" t="str">
        <f>IF(E42="weeks","wks",IF(E42="months","mos","enter ---&gt;"))</f>
        <v>wks</v>
      </c>
      <c r="I42" s="3">
        <f>IF(G42="wks",F42*$E$4,IF(G42="mos",F42*$E$5,H42*F42))</f>
        <v>0</v>
      </c>
    </row>
    <row r="43" ht="14.25" customHeight="1" outlineLevel="1">
      <c r="A43" t="str">
        <v>01-071</v>
      </c>
      <c r="B43" t="str">
        <v>Contract Administrator</v>
      </c>
      <c r="D43" s="3">
        <v>800</v>
      </c>
      <c r="E43" t="str">
        <v>Days</v>
      </c>
      <c r="F43" s="4">
        <f>IF(E43="weeks",D43*C43,D43)</f>
        <v>800</v>
      </c>
      <c r="G43" t="str">
        <f>IF(E43="weeks","wks",IF(E43="months","mos","enter ---&gt;"))</f>
        <v>enter ---&gt;</v>
      </c>
      <c r="I43" s="3">
        <f>IF(G43="wks",F43*$E$4,IF(G43="mos",F43*$E$5,H43*F43))</f>
        <v>0</v>
      </c>
    </row>
    <row r="44" ht="14.25" customHeight="1" outlineLevel="1">
      <c r="A44" t="str">
        <v>01-075</v>
      </c>
      <c r="B44" t="str">
        <v>Travel Allowance</v>
      </c>
      <c r="D44" s="3">
        <v>0</v>
      </c>
      <c r="E44" t="str">
        <v>Weeks</v>
      </c>
      <c r="F44" s="4">
        <f>IF(E44="weeks",D44*C44,D44)</f>
        <v>0</v>
      </c>
      <c r="G44" t="str">
        <f>IF(E44="weeks","wks",IF(E44="months","mos","enter ---&gt;"))</f>
        <v>wks</v>
      </c>
      <c r="I44" s="3">
        <f>IF(G44="wks",F44*$E$4,IF(G44="mos",F44*$E$5,H44*F44))</f>
        <v>0</v>
      </c>
    </row>
    <row r="45" ht="14.25" customHeight="1" outlineLevel="1">
      <c r="A45" t="str">
        <v>01-076</v>
      </c>
      <c r="B45" t="str">
        <v>Truck Allowance</v>
      </c>
      <c r="D45" s="3">
        <f>0*500</f>
        <v>0</v>
      </c>
      <c r="E45" t="str">
        <v>Months</v>
      </c>
      <c r="F45" s="4">
        <f>IF(E45="weeks",D45*C45,D45)</f>
        <v>0</v>
      </c>
      <c r="G45" t="str">
        <f>IF(E45="weeks","wks",IF(E45="months","mos","enter ---&gt;"))</f>
        <v>mos</v>
      </c>
      <c r="I45" s="3">
        <f>IF(G45="wks",F45*$E$4,IF(G45="mos",F45*$E$5,H45*F45))</f>
        <v>0</v>
      </c>
    </row>
    <row r="46" ht="14.25" customHeight="1" outlineLevel="1">
      <c r="A46" t="str">
        <v>01-080</v>
      </c>
      <c r="B46" t="str">
        <v>Out of Town Travel</v>
      </c>
      <c r="D46" s="3">
        <v>0</v>
      </c>
      <c r="E46" t="str">
        <v>Trips</v>
      </c>
      <c r="F46" s="4">
        <f>IF(E46="weeks",D46*C46,D46)</f>
        <v>0</v>
      </c>
      <c r="G46" t="str">
        <f>IF(E46="weeks","wks",IF(E46="months","mos","enter ---&gt;"))</f>
        <v>enter ---&gt;</v>
      </c>
      <c r="I46" s="3">
        <f>IF(G46="wks",F46*$E$4,IF(G46="mos",F46*$E$5,H46*F46))</f>
        <v>0</v>
      </c>
    </row>
    <row r="47" ht="14.25" customHeight="1" outlineLevel="1">
      <c r="A47" t="str">
        <v>01-081</v>
      </c>
      <c r="B47" t="str">
        <v>Out of Town Living Expenses</v>
      </c>
      <c r="D47" s="3">
        <f>0*5000</f>
        <v>0</v>
      </c>
      <c r="E47" t="str">
        <v>MONTHS</v>
      </c>
      <c r="F47" s="4">
        <f>IF(E47="weeks",D47*C47,D47)</f>
        <v>0</v>
      </c>
      <c r="G47" t="str">
        <f>IF(E47="weeks","wks",IF(E47="months","mos","enter ---&gt;"))</f>
        <v>mos</v>
      </c>
      <c r="H47">
        <f>0*3</f>
        <v>0</v>
      </c>
      <c r="I47" s="3">
        <f>IF(G47="wks",F47*$E$4,IF(G47="mos",F47*$E$5,H47*F47))</f>
        <v>0</v>
      </c>
    </row>
    <row r="48" ht="14.25" customHeight="1" outlineLevel="1">
      <c r="A48" t="str">
        <v>01-085</v>
      </c>
      <c r="B48" t="str">
        <v>Project Executive</v>
      </c>
      <c r="D48" s="3">
        <v>4200</v>
      </c>
      <c r="E48" t="str">
        <v>Weeks</v>
      </c>
      <c r="F48" s="4">
        <f>IF(E48="weeks",D48*C48,D48)</f>
        <v>0</v>
      </c>
      <c r="G48" t="str">
        <f>IF(E48="weeks","wks",IF(E48="months","mos","enter ---&gt;"))</f>
        <v>wks</v>
      </c>
      <c r="I48" s="3">
        <f>IF(G48="wks",F48*$E$4,IF(G48="mos",F48*$E$5,H48*F48))</f>
        <v>0</v>
      </c>
    </row>
    <row r="49" ht="14.25" customHeight="1" outlineLevel="1">
      <c r="A49" t="str">
        <v>01-090</v>
      </c>
      <c r="B49" t="str">
        <v>Project Principal</v>
      </c>
      <c r="D49" s="3">
        <v>5000</v>
      </c>
      <c r="E49" t="str">
        <v>Weeks</v>
      </c>
      <c r="F49" s="4">
        <f>IF(E49="weeks",D49*C49,D49)</f>
        <v>0</v>
      </c>
      <c r="G49" t="str">
        <f>IF(E49="weeks","wks",IF(E49="months","mos","enter ---&gt;"))</f>
        <v>wks</v>
      </c>
      <c r="I49" s="3">
        <f>IF(G49="wks",F49*$E$4,IF(G49="mos",F49*$E$5,H49*F49))</f>
        <v>0</v>
      </c>
    </row>
    <row r="50" ht="14.25" customHeight="1" outlineLevel="1">
      <c r="A50" t="str">
        <v>01-095</v>
      </c>
      <c r="B50" t="str">
        <v>Cost Engineer</v>
      </c>
      <c r="D50" s="3">
        <v>300</v>
      </c>
      <c r="E50" t="str">
        <v>Days</v>
      </c>
      <c r="F50" s="4">
        <f>IF(E50="weeks",D50*C50,D50)</f>
        <v>300</v>
      </c>
      <c r="G50" t="str">
        <f>IF(E50="weeks","wks",IF(E50="months","mos","enter ---&gt;"))</f>
        <v>enter ---&gt;</v>
      </c>
      <c r="H50">
        <f>0*10</f>
        <v>0</v>
      </c>
      <c r="I50" s="3">
        <f>IF(G50="wks",F50*$E$4,IF(G50="mos",F50*$E$5,H50*F50))</f>
        <v>0</v>
      </c>
    </row>
    <row r="51" ht="14.25" customHeight="1" outlineLevel="1">
      <c r="A51" t="str">
        <v>01-096</v>
      </c>
      <c r="B51" t="str">
        <v>Main Office Support / M.I.S.</v>
      </c>
      <c r="D51" s="3">
        <v>400</v>
      </c>
      <c r="E51" t="str">
        <v>Days</v>
      </c>
      <c r="F51" s="4">
        <f>IF(E51="weeks",D51*C51,D51)</f>
        <v>400</v>
      </c>
      <c r="G51" t="str">
        <f>IF(E51="weeks","wks",IF(E51="months","mos","enter ---&gt;"))</f>
        <v>enter ---&gt;</v>
      </c>
      <c r="I51" s="3">
        <f>IF(G51="wks",F51*$E$4,IF(G51="mos",F51*$E$5,H51*F51))</f>
        <v>0</v>
      </c>
    </row>
    <row r="52" ht="14.25" customHeight="1" outlineLevel="1">
      <c r="A52" t="str">
        <v>01-099</v>
      </c>
      <c r="B52" t="str">
        <v>Quality Control Manager</v>
      </c>
      <c r="D52" s="3">
        <v>600</v>
      </c>
      <c r="E52" t="str">
        <v>Days</v>
      </c>
      <c r="F52" s="4">
        <f>IF(E52="weeks",D52*C52,D52)</f>
        <v>600</v>
      </c>
      <c r="G52" t="str">
        <f>IF(E52="weeks","wks",IF(E52="months","mos","enter ---&gt;"))</f>
        <v>enter ---&gt;</v>
      </c>
      <c r="I52" s="3">
        <f>IF(G52="wks",F52*$E$4,IF(G52="mos",F52*$E$5,H52*F52))</f>
        <v>0</v>
      </c>
    </row>
    <row r="53" ht="14.25" customHeight="1" outlineLevel="1">
      <c r="G53" t="str">
        <f>IF(E53="weeks","wks",IF(E53="months","mos","enter ---&gt;"))</f>
        <v>enter ---&gt;</v>
      </c>
      <c r="I53" s="3">
        <f>IF(G53="wks",F53*$E$4,IF(G53="mos",F53*$E$5,H53*F53))</f>
        <v>0</v>
      </c>
    </row>
    <row r="54" ht="14.25" customHeight="1" outlineLevel="1">
      <c r="B54" t="str">
        <v>Site from budget</v>
      </c>
      <c r="E54" t="str">
        <v>ls</v>
      </c>
      <c r="F54" s="4">
        <v>150000</v>
      </c>
      <c r="G54" t="str">
        <f>IF(E54="weeks","wks",IF(E54="months","mos","enter ---&gt;"))</f>
        <v>enter ---&gt;</v>
      </c>
      <c r="H54">
        <v>1</v>
      </c>
      <c r="I54" s="3">
        <f>IF(G54="wks",F54*$E$4,IF(G54="mos",F54*$E$5,H54*F54))</f>
        <v>150000</v>
      </c>
    </row>
    <row r="55" ht="14.25" customHeight="1" outlineLevel="1">
      <c r="B55" t="str">
        <v>Historic From Budget</v>
      </c>
      <c r="E55" t="str">
        <v>ls</v>
      </c>
      <c r="F55" s="4">
        <v>325000</v>
      </c>
      <c r="G55" t="str">
        <f>IF(E55="weeks","wks",IF(E55="months","mos","enter ---&gt;"))</f>
        <v>enter ---&gt;</v>
      </c>
      <c r="H55">
        <v>1</v>
      </c>
      <c r="I55" s="3">
        <f>IF(G55="wks",F55*$E$4,IF(G55="mos",F55*$E$5,H55*F55))</f>
        <v>325000</v>
      </c>
    </row>
    <row r="56" ht="14.25" customHeight="1" outlineLevel="1">
      <c r="B56" t="str">
        <v>1950's from Budget</v>
      </c>
      <c r="E56" t="str">
        <v>ls</v>
      </c>
      <c r="F56" s="4">
        <v>250000</v>
      </c>
      <c r="G56" t="str">
        <f>IF(E56="weeks","wks",IF(E56="months","mos","enter ---&gt;"))</f>
        <v>enter ---&gt;</v>
      </c>
      <c r="H56">
        <v>1</v>
      </c>
      <c r="I56" s="3">
        <f>IF(G56="wks",F56*$E$4,IF(G56="mos",F56*$E$5,H56*F56))</f>
        <v>250000</v>
      </c>
    </row>
    <row r="57" ht="14.25" customHeight="1" outlineLevel="1">
      <c r="B57" t="str">
        <v>Addition from Budget</v>
      </c>
      <c r="E57" t="str">
        <v>ls</v>
      </c>
      <c r="F57" s="4">
        <v>789899</v>
      </c>
      <c r="G57" t="str">
        <f>IF(E57="weeks","wks",IF(E57="months","mos","enter ---&gt;"))</f>
        <v>enter ---&gt;</v>
      </c>
      <c r="H57">
        <v>1</v>
      </c>
      <c r="I57" s="3">
        <f>IF(G57="wks",F57*$E$4,IF(G57="mos",F57*$E$5,H57*F57))</f>
        <v>789899</v>
      </c>
    </row>
    <row r="58" ht="14.25" customHeight="1" outlineLevel="1">
      <c r="B58" t="str">
        <v>Letter contract from budget</v>
      </c>
      <c r="E58" t="str">
        <v>ls</v>
      </c>
      <c r="F58" s="4">
        <v>110101</v>
      </c>
      <c r="G58" t="str">
        <f>IF(E58="weeks","wks",IF(E58="months","mos","enter ---&gt;"))</f>
        <v>enter ---&gt;</v>
      </c>
      <c r="H58">
        <v>1</v>
      </c>
      <c r="I58" s="3">
        <f>IF(G58="wks",F58*$E$4,IF(G58="mos",F58*$E$5,H58*F58))</f>
        <v>110101</v>
      </c>
    </row>
    <row r="59" ht="14.25" customHeight="1" outlineLevel="1">
      <c r="G59" t="str">
        <f>IF(E59="weeks","wks",IF(E59="months","mos","enter ---&gt;"))</f>
        <v>enter ---&gt;</v>
      </c>
      <c r="I59" s="3">
        <f>IF(G59="wks",F59*$E$4,IF(G59="mos",F59*$E$5,H59*F59))</f>
        <v>0</v>
      </c>
    </row>
    <row r="60" ht="14.25" customHeight="1" outlineLevel="1">
      <c r="G60" t="str">
        <f>IF(E60="weeks","wks",IF(E60="months","mos","enter ---&gt;"))</f>
        <v>enter ---&gt;</v>
      </c>
      <c r="I60" s="3">
        <f>IF(G60="wks",F60*$E$4,IF(G60="mos",F60*$E$5,H60*F60))</f>
        <v>0</v>
      </c>
    </row>
    <row r="61" ht="14.25" customHeight="1" outlineLevel="1">
      <c r="G61" t="str">
        <f>IF(E61="weeks","wks",IF(E61="months","mos","enter ---&gt;"))</f>
        <v>enter ---&gt;</v>
      </c>
      <c r="I61" s="3">
        <f>IF(G61="wks",F61*$E$4,IF(G61="mos",F61*$E$5,H61*F61))</f>
        <v>0</v>
      </c>
    </row>
    <row r="62" ht="14.25" customHeight="1" outlineLevel="1">
      <c r="G62" t="str">
        <v>Subtotal</v>
      </c>
      <c r="I62" s="3">
        <f>SUM(I26:I61)</f>
        <v>1625000</v>
      </c>
    </row>
    <row r="63" ht="14.25" customHeight="1" outlineLevel="1">
      <c r="G63" t="str">
        <v>Escalation</v>
      </c>
      <c r="H63" s="5">
        <v>0</v>
      </c>
      <c r="I63" s="3">
        <f>H63*I62</f>
        <v>0</v>
      </c>
    </row>
    <row r="64" ht="14.25" customHeight="1">
      <c r="A64" t="str">
        <v>Field and Office Personnel</v>
      </c>
      <c r="G64" t="str">
        <v>Total</v>
      </c>
      <c r="I64" s="3">
        <f>SUM(I62:I63)</f>
        <v>1625000</v>
      </c>
    </row>
    <row r="65" ht="14.25" customHeight="1"/>
    <row r="66" ht="14.25" customHeight="1">
      <c r="A66" t="str">
        <v>Close Out</v>
      </c>
    </row>
    <row r="67" ht="14.25" customHeight="1" outlineLevel="1">
      <c r="A67" t="str">
        <v>Cost Code</v>
      </c>
      <c r="B67" t="str">
        <v>Description</v>
      </c>
      <c r="C67" t="str">
        <v>Hrs/Wk</v>
      </c>
      <c r="D67" t="str">
        <v>Rate</v>
      </c>
      <c r="E67" t="str">
        <v>Unit</v>
      </c>
      <c r="F67" t="str">
        <v>Ext. Rate</v>
      </c>
      <c r="G67" t="str">
        <v>Quantity</v>
      </c>
      <c r="I67" t="str">
        <v>Total</v>
      </c>
      <c r="J67" t="str">
        <v>Notes</v>
      </c>
    </row>
    <row r="68" ht="14.25" customHeight="1" outlineLevel="1">
      <c r="A68" t="str">
        <v>01-005</v>
      </c>
      <c r="B68" t="str">
        <v>Field Superintendent - BWS</v>
      </c>
      <c r="C68">
        <v>0</v>
      </c>
      <c r="D68" s="3">
        <f>L68/40</f>
        <v>0</v>
      </c>
      <c r="E68" t="str">
        <v>Weeks</v>
      </c>
      <c r="F68" s="4">
        <f>IF(E68="weeks",D68*C68,D68)</f>
        <v>0</v>
      </c>
      <c r="G68" t="str">
        <f>IF(E68="weeks","wks",IF(E68="months","mos","enter ---&gt;"))</f>
        <v>wks</v>
      </c>
      <c r="I68" s="3">
        <f>IF(G68="wks",F68*$E$4,IF(G68="mos",F68*$E$5,H68*F68))</f>
        <v>0</v>
      </c>
    </row>
    <row r="69" ht="14.25" customHeight="1" outlineLevel="1">
      <c r="A69" t="str">
        <v>01-030</v>
      </c>
      <c r="B69" t="str">
        <v>Project Manager</v>
      </c>
      <c r="C69">
        <v>0</v>
      </c>
      <c r="D69" s="3">
        <v>65</v>
      </c>
      <c r="E69" t="str">
        <v>Weeks</v>
      </c>
      <c r="F69" s="4">
        <f>IF(E69="weeks",D69*C69,D69)</f>
        <v>0</v>
      </c>
      <c r="G69" t="str">
        <f>IF(E69="weeks","wks",IF(E69="months","mos","enter ---&gt;"))</f>
        <v>wks</v>
      </c>
      <c r="I69" s="3">
        <f>IF(G69="wks",F69*$E$4,IF(G69="mos",F69*$E$5,H69*F69))</f>
        <v>0</v>
      </c>
    </row>
    <row r="70" ht="14.25" customHeight="1" outlineLevel="1">
      <c r="A70" t="str">
        <v>01-035</v>
      </c>
      <c r="B70" t="str">
        <v>Project Engineer</v>
      </c>
      <c r="C70">
        <v>0</v>
      </c>
      <c r="D70" s="3">
        <v>85</v>
      </c>
      <c r="E70" t="str">
        <v>Weeks</v>
      </c>
      <c r="F70" s="4">
        <f>IF(E70="weeks",D70*C70,D70)</f>
        <v>0</v>
      </c>
      <c r="G70" t="str">
        <f>IF(E70="weeks","wks",IF(E70="months","mos","enter ---&gt;"))</f>
        <v>wks</v>
      </c>
      <c r="I70" s="3">
        <f>IF(G70="wks",F70*$E$4,IF(G70="mos",F70*$E$5,H70*F70))</f>
        <v>0</v>
      </c>
    </row>
    <row r="71" ht="14.25" customHeight="1" outlineLevel="1">
      <c r="A71" t="str">
        <v>01-065</v>
      </c>
      <c r="B71" t="str">
        <v>Secretary</v>
      </c>
      <c r="C71">
        <v>0</v>
      </c>
      <c r="D71" s="3">
        <v>65</v>
      </c>
      <c r="E71" t="str">
        <v>Weeks</v>
      </c>
      <c r="F71" s="4">
        <f>IF(E71="weeks",D71*C71,D71)</f>
        <v>0</v>
      </c>
      <c r="G71" t="str">
        <f>IF(E71="weeks","wks",IF(E71="months","mos","enter ---&gt;"))</f>
        <v>wks</v>
      </c>
      <c r="I71" s="3">
        <f>IF(G71="wks",F71*$E$4,IF(G71="mos",F71*$E$5,H71*F71))</f>
        <v>0</v>
      </c>
    </row>
    <row r="72" ht="14.25" customHeight="1" outlineLevel="1">
      <c r="A72" t="str">
        <v>01-085</v>
      </c>
      <c r="B72" t="str">
        <v>Project Executive</v>
      </c>
      <c r="C72">
        <v>0</v>
      </c>
      <c r="D72" s="3">
        <v>54.36</v>
      </c>
      <c r="E72" t="str">
        <v>Weeks</v>
      </c>
      <c r="F72" s="4">
        <f>IF(E72="weeks",D72*C72,D72)</f>
        <v>0</v>
      </c>
      <c r="G72" t="str">
        <f>IF(E72="weeks","wks",IF(E72="months","mos","enter ---&gt;"))</f>
        <v>wks</v>
      </c>
      <c r="I72" s="3">
        <f>IF(G72="wks",F72*$E$4,IF(G72="mos",F72*$E$5,H72*F72))</f>
        <v>0</v>
      </c>
    </row>
    <row r="73" ht="14.25" customHeight="1" outlineLevel="1">
      <c r="A73" t="str">
        <v>01-090</v>
      </c>
      <c r="B73" t="str">
        <v>Project Principal</v>
      </c>
      <c r="C73">
        <v>0</v>
      </c>
      <c r="D73" s="3">
        <v>27.65</v>
      </c>
      <c r="E73" t="str">
        <v>Weeks</v>
      </c>
      <c r="F73" s="4">
        <f>IF(E73="weeks",D73*C73,D73)</f>
        <v>0</v>
      </c>
      <c r="G73" t="str">
        <f>IF(E73="weeks","wks",IF(E73="months","mos","enter ---&gt;"))</f>
        <v>wks</v>
      </c>
      <c r="I73" s="3">
        <f>IF(G73="wks",F73*$E$4,IF(G73="mos",F73*$E$5,H73*F73))</f>
        <v>0</v>
      </c>
    </row>
    <row r="74" ht="14.25" customHeight="1" outlineLevel="1">
      <c r="A74" t="str">
        <v>01-095</v>
      </c>
      <c r="B74" t="str">
        <v>Cost Engineer</v>
      </c>
      <c r="D74" s="3">
        <v>50000</v>
      </c>
      <c r="E74" t="str">
        <v>Days</v>
      </c>
      <c r="F74" s="4">
        <f>IF(E74="weeks",D74*C74,D74)</f>
        <v>50000</v>
      </c>
      <c r="G74" t="str">
        <f>IF(E74="weeks","wks",IF(E74="months","mos","enter ---&gt;"))</f>
        <v>enter ---&gt;</v>
      </c>
      <c r="I74" s="3">
        <f>IF(G74="wks",F74*$E$4,IF(G74="mos",F74*$E$5,H74*F74))</f>
        <v>0</v>
      </c>
    </row>
    <row r="75" ht="14.25" customHeight="1" outlineLevel="1">
      <c r="A75" t="str">
        <v>01-096</v>
      </c>
      <c r="B75" t="str">
        <v>Main Office Support / M.I.S.</v>
      </c>
      <c r="C75">
        <v>0</v>
      </c>
      <c r="D75" s="3">
        <v>40000</v>
      </c>
      <c r="E75" t="str">
        <v>Weeks</v>
      </c>
      <c r="F75" s="4">
        <f>IF(E75="weeks",D75*C75,D75)</f>
        <v>0</v>
      </c>
      <c r="G75" t="str">
        <f>IF(E75="weeks","wks",IF(E75="months","mos","enter ---&gt;"))</f>
        <v>wks</v>
      </c>
      <c r="I75" s="3">
        <f>IF(G75="wks",F75*$E$4,IF(G75="mos",F75*$E$5,H75*F75))</f>
        <v>0</v>
      </c>
    </row>
    <row r="76" ht="14.25" customHeight="1" outlineLevel="1"/>
    <row r="77" ht="14.25" customHeight="1" outlineLevel="1">
      <c r="G77" t="str">
        <v>Subtotal</v>
      </c>
      <c r="I77" s="3">
        <f>SUM(I67:I76)</f>
        <v>0</v>
      </c>
    </row>
    <row r="78" ht="14.25" customHeight="1" outlineLevel="1">
      <c r="G78" t="str">
        <v>Escalation</v>
      </c>
      <c r="H78" s="5">
        <v>0</v>
      </c>
      <c r="I78" s="3">
        <f>H78*I77</f>
        <v>0</v>
      </c>
    </row>
    <row r="79" ht="14.25" customHeight="1">
      <c r="A79" t="str">
        <v>Close Out</v>
      </c>
      <c r="G79" t="str">
        <v>Total</v>
      </c>
      <c r="I79" s="3">
        <f>SUM(I77:I78)</f>
        <v>0</v>
      </c>
    </row>
    <row r="80" ht="14.25" customHeight="1"/>
    <row r="81" ht="14.25" customHeight="1">
      <c r="A81" t="str">
        <v>Building Clean Up</v>
      </c>
    </row>
    <row r="82" ht="14.25" customHeight="1" outlineLevel="1">
      <c r="A82" t="str">
        <v>Cost Code</v>
      </c>
      <c r="B82" t="str">
        <v>Description</v>
      </c>
      <c r="F82" t="str">
        <v>Quantity</v>
      </c>
      <c r="G82" t="str">
        <v>Unit</v>
      </c>
      <c r="H82" t="str">
        <v>Rate</v>
      </c>
      <c r="I82" t="str">
        <v>Total</v>
      </c>
      <c r="J82" t="str">
        <v>Notes</v>
      </c>
    </row>
    <row r="83" ht="14.25" customHeight="1" outlineLevel="1">
      <c r="A83" t="str">
        <v>01-100</v>
      </c>
      <c r="B83" t="str">
        <v>General Clean-Up - Laborer</v>
      </c>
      <c r="F83" s="2">
        <f>$E$4</f>
        <v>78</v>
      </c>
      <c r="G83" t="str">
        <v>Weeks</v>
      </c>
      <c r="H83" s="4">
        <f>0*1600</f>
        <v>0</v>
      </c>
      <c r="I83" s="3">
        <f>F83*H83</f>
        <v>0</v>
      </c>
    </row>
    <row r="84" ht="14.25" customHeight="1" outlineLevel="1">
      <c r="B84" t="str">
        <v>General Clean-Up - Material / Equipment</v>
      </c>
      <c r="F84" s="2">
        <f>$E$5</f>
        <v>18</v>
      </c>
      <c r="G84" t="str">
        <v>Months</v>
      </c>
      <c r="H84" s="4">
        <f>0*250</f>
        <v>0</v>
      </c>
      <c r="I84" s="3">
        <f>F84*H84</f>
        <v>0</v>
      </c>
    </row>
    <row r="85" ht="14.25" customHeight="1" outlineLevel="1">
      <c r="A85" t="str">
        <v>01-105</v>
      </c>
      <c r="B85" t="str">
        <v>Final Clean-Up</v>
      </c>
      <c r="F85" s="1">
        <f>$E$1</f>
        <v>20000</v>
      </c>
      <c r="G85" t="str">
        <v>gsf</v>
      </c>
      <c r="H85" s="3">
        <f>0*0.25</f>
        <v>0</v>
      </c>
      <c r="I85" s="3">
        <f>F85*H85</f>
        <v>0</v>
      </c>
    </row>
    <row r="86" ht="14.25" customHeight="1" outlineLevel="1">
      <c r="A86" t="str">
        <v>01-110</v>
      </c>
      <c r="B86" t="str">
        <v>Window Cleaning</v>
      </c>
      <c r="F86" s="2">
        <v>0</v>
      </c>
      <c r="G86" t="str">
        <v>sf</v>
      </c>
      <c r="H86" s="3">
        <v>0.75</v>
      </c>
      <c r="I86" s="3">
        <f>F86*H86</f>
        <v>0</v>
      </c>
    </row>
    <row r="87" ht="14.25" customHeight="1" outlineLevel="1">
      <c r="A87" t="str">
        <v>01-115</v>
      </c>
      <c r="B87" t="str">
        <v>Trash Containers - (City of Phila.)</v>
      </c>
      <c r="F87" s="2">
        <v>0</v>
      </c>
      <c r="G87" t="str">
        <v>Each</v>
      </c>
      <c r="H87" s="4">
        <v>400</v>
      </c>
      <c r="I87" s="3">
        <f>F87*H87</f>
        <v>0</v>
      </c>
    </row>
    <row r="88" ht="14.25" customHeight="1" outlineLevel="1">
      <c r="B88" t="str">
        <v>Trash Containers - (Phila. Suburbs)</v>
      </c>
      <c r="F88" s="2">
        <v>0</v>
      </c>
      <c r="G88" t="str">
        <v>Each</v>
      </c>
      <c r="H88" s="4">
        <v>450</v>
      </c>
      <c r="I88" s="3">
        <f>F88*H88</f>
        <v>0</v>
      </c>
    </row>
    <row r="89" ht="14.25" customHeight="1" outlineLevel="1">
      <c r="B89" t="str">
        <v>Trash Containers - (South Jersey)</v>
      </c>
      <c r="F89" s="2">
        <v>0</v>
      </c>
      <c r="G89" t="str">
        <v>Each</v>
      </c>
      <c r="H89" s="4">
        <v>800</v>
      </c>
      <c r="I89" s="3">
        <f>F89*H89</f>
        <v>0</v>
      </c>
    </row>
    <row r="90" ht="14.25" customHeight="1" outlineLevel="1">
      <c r="B90" t="str">
        <v>Trash Containers - (Central Jersey)</v>
      </c>
      <c r="F90" s="2">
        <v>0</v>
      </c>
      <c r="G90" t="str">
        <v>Each</v>
      </c>
      <c r="H90" s="4">
        <v>600</v>
      </c>
      <c r="I90" s="3">
        <f>F90*H90</f>
        <v>0</v>
      </c>
    </row>
    <row r="91" ht="14.25" customHeight="1" outlineLevel="1">
      <c r="B91" t="str">
        <v>Trash Containers - (North Jersey)</v>
      </c>
      <c r="F91" s="2">
        <v>0</v>
      </c>
      <c r="G91" t="str">
        <v>Each</v>
      </c>
      <c r="H91" s="4">
        <v>800</v>
      </c>
      <c r="I91" s="3">
        <f>F91*H91</f>
        <v>0</v>
      </c>
    </row>
    <row r="92" ht="14.25" customHeight="1" outlineLevel="1">
      <c r="B92" t="str">
        <v>Trash Containers - (Delaware)</v>
      </c>
      <c r="F92" s="2">
        <v>0</v>
      </c>
      <c r="G92" t="str">
        <v>Each</v>
      </c>
      <c r="H92" s="4">
        <v>800</v>
      </c>
      <c r="I92" s="3">
        <f>F92*H92</f>
        <v>0</v>
      </c>
    </row>
    <row r="93" ht="14.25" customHeight="1" outlineLevel="1">
      <c r="B93" t="str">
        <v>Trash Containers - (Harrisburg)</v>
      </c>
      <c r="F93" s="2">
        <v>0</v>
      </c>
      <c r="G93" t="str">
        <v>Each</v>
      </c>
      <c r="H93" s="4">
        <v>800</v>
      </c>
      <c r="I93" s="3">
        <f>F93*H93</f>
        <v>0</v>
      </c>
    </row>
    <row r="94" ht="14.25" customHeight="1" outlineLevel="1">
      <c r="B94" t="str">
        <v>Trash Containers - (Washington, D.C.)</v>
      </c>
      <c r="F94" s="2">
        <v>0</v>
      </c>
      <c r="G94" t="str">
        <v>Each</v>
      </c>
      <c r="H94" s="4">
        <v>400</v>
      </c>
      <c r="I94" s="3">
        <f>F94*H94</f>
        <v>0</v>
      </c>
    </row>
    <row r="95" ht="14.25" customHeight="1" outlineLevel="1">
      <c r="A95" t="str">
        <v>01-120</v>
      </c>
      <c r="B95" t="str">
        <v>Trash Chutes  (Delivery/Install/Remove)</v>
      </c>
      <c r="F95" s="2">
        <v>0</v>
      </c>
      <c r="G95" t="str">
        <v>Set</v>
      </c>
      <c r="H95" s="4">
        <v>7000</v>
      </c>
      <c r="I95" s="3">
        <f>F95*H95</f>
        <v>0</v>
      </c>
    </row>
    <row r="96" ht="14.25" customHeight="1" outlineLevel="1">
      <c r="A96" t="str">
        <v>01-121</v>
      </c>
      <c r="B96" t="str">
        <v>Trash Chutes  (Rental)</v>
      </c>
      <c r="F96" s="2">
        <v>0</v>
      </c>
      <c r="G96" t="str">
        <v>Months</v>
      </c>
      <c r="H96" s="4">
        <v>750</v>
      </c>
      <c r="I96" s="3">
        <f>F96*H96</f>
        <v>0</v>
      </c>
    </row>
    <row r="97" ht="14.25" customHeight="1" outlineLevel="1">
      <c r="A97" t="str">
        <v>01-125</v>
      </c>
      <c r="B97" t="str">
        <v>Dumpster Enclosure (Labor)</v>
      </c>
      <c r="F97" s="2">
        <v>0</v>
      </c>
      <c r="G97" t="str">
        <v>M.D.</v>
      </c>
      <c r="H97" s="4">
        <v>500</v>
      </c>
      <c r="I97" s="3">
        <f>F97*H97</f>
        <v>0</v>
      </c>
    </row>
    <row r="98" ht="14.25" customHeight="1" outlineLevel="1">
      <c r="B98" t="str">
        <v>Dumpster Enclosure (Material)</v>
      </c>
      <c r="F98" s="2">
        <v>0</v>
      </c>
      <c r="G98" t="str">
        <v>Each</v>
      </c>
      <c r="H98" s="4">
        <v>2500</v>
      </c>
      <c r="I98" s="3">
        <f>F98*H98</f>
        <v>0</v>
      </c>
    </row>
    <row r="99" ht="14.25" customHeight="1" outlineLevel="1">
      <c r="A99" t="str">
        <v>01-127</v>
      </c>
      <c r="B99" t="str">
        <v>Pest Control</v>
      </c>
      <c r="F99" s="2">
        <v>0</v>
      </c>
      <c r="G99" t="str">
        <v>Months</v>
      </c>
      <c r="H99" s="4">
        <v>275</v>
      </c>
      <c r="I99" s="3">
        <f>F99*H99</f>
        <v>0</v>
      </c>
    </row>
    <row r="100" ht="14.25" customHeight="1" outlineLevel="1">
      <c r="A100" t="str">
        <v>01-130</v>
      </c>
      <c r="B100" t="str">
        <v>Street Cleaning</v>
      </c>
      <c r="F100" s="2">
        <v>0</v>
      </c>
      <c r="G100" t="str">
        <v>Days</v>
      </c>
      <c r="H100" s="4">
        <v>1000</v>
      </c>
      <c r="I100" s="3">
        <f>F100*H100</f>
        <v>0</v>
      </c>
    </row>
    <row r="101" ht="14.25" customHeight="1" outlineLevel="1"/>
    <row r="102" ht="14.25" customHeight="1" outlineLevel="1"/>
    <row r="103" ht="14.25" customHeight="1" outlineLevel="1">
      <c r="G103" t="str">
        <v>Subtotal</v>
      </c>
      <c r="I103" s="3">
        <f>SUM(I82:I102)</f>
        <v>0</v>
      </c>
    </row>
    <row r="104" ht="14.25" customHeight="1" outlineLevel="1">
      <c r="G104" t="str">
        <v>Escalation</v>
      </c>
      <c r="H104" s="5">
        <v>0</v>
      </c>
      <c r="I104" s="3">
        <f>H104*I103</f>
        <v>0</v>
      </c>
    </row>
    <row r="105" ht="14.25" customHeight="1">
      <c r="A105" t="str">
        <v>Building Clean Up</v>
      </c>
      <c r="G105" t="str">
        <v>Total</v>
      </c>
      <c r="I105" s="3">
        <f>SUM(I103:I104)</f>
        <v>0</v>
      </c>
    </row>
    <row r="106" ht="14.25" customHeight="1"/>
    <row r="107" ht="14.25" customHeight="1">
      <c r="A107" t="str">
        <v>Field Office Expenses</v>
      </c>
    </row>
    <row r="108" ht="14.25" customHeight="1" outlineLevel="1">
      <c r="A108" t="str">
        <v>Cost Code</v>
      </c>
      <c r="B108" t="str">
        <v>Description</v>
      </c>
      <c r="F108" t="str">
        <v>Quantity</v>
      </c>
      <c r="G108" t="str">
        <v>Unit</v>
      </c>
      <c r="H108" t="str">
        <v>Rate</v>
      </c>
      <c r="I108" t="str">
        <v>Total</v>
      </c>
      <c r="J108" t="str">
        <v>Notes</v>
      </c>
    </row>
    <row r="109" ht="14.25" customHeight="1" outlineLevel="1">
      <c r="A109" t="str">
        <v>01-200</v>
      </c>
      <c r="B109" t="str">
        <v>Office Equipment &amp; Supplies</v>
      </c>
      <c r="F109" s="2">
        <f>$E$5</f>
        <v>18</v>
      </c>
      <c r="G109" t="str">
        <v>Months</v>
      </c>
      <c r="H109" s="4">
        <v>600</v>
      </c>
    </row>
    <row r="110" ht="14.25" customHeight="1" outlineLevel="1">
      <c r="A110" t="str">
        <v>01-205</v>
      </c>
      <c r="B110" t="str">
        <v>Water Cooler</v>
      </c>
      <c r="F110" s="2">
        <f>$E$5</f>
        <v>18</v>
      </c>
      <c r="G110" t="str">
        <v>Months</v>
      </c>
      <c r="H110" s="4">
        <v>200</v>
      </c>
    </row>
    <row r="111" ht="14.25" customHeight="1" outlineLevel="1">
      <c r="A111" t="str">
        <v>01-210</v>
      </c>
      <c r="B111" t="str">
        <v>Telephone Line Connection Fees</v>
      </c>
      <c r="F111" s="2">
        <v>2</v>
      </c>
      <c r="G111" t="str">
        <v>Each</v>
      </c>
      <c r="H111" s="3">
        <v>250</v>
      </c>
    </row>
    <row r="112" ht="14.25" customHeight="1" outlineLevel="1">
      <c r="A112" t="str">
        <v>01-211</v>
      </c>
      <c r="B112" t="str">
        <v>Telephone Rental &amp; Usage Costs</v>
      </c>
      <c r="F112" s="2">
        <f>$E$5</f>
        <v>18</v>
      </c>
      <c r="G112" t="str">
        <v>Months</v>
      </c>
      <c r="H112" s="3">
        <v>600</v>
      </c>
    </row>
    <row r="113" ht="14.25" customHeight="1" outlineLevel="1">
      <c r="A113" t="str">
        <v>01-215</v>
      </c>
      <c r="B113" t="str">
        <v>Fax Line Connection Fees</v>
      </c>
      <c r="F113" s="2">
        <v>2</v>
      </c>
      <c r="G113" t="str">
        <v>Each</v>
      </c>
      <c r="H113" s="4">
        <v>250</v>
      </c>
    </row>
    <row r="114" ht="14.25" customHeight="1" outlineLevel="1">
      <c r="A114" t="str">
        <v>01-216</v>
      </c>
      <c r="B114" t="str">
        <v>Fax Line Rental &amp; Usage Costs</v>
      </c>
      <c r="F114" s="2">
        <f>$E$5</f>
        <v>18</v>
      </c>
      <c r="G114" t="str">
        <v>Months</v>
      </c>
      <c r="H114" s="4">
        <v>200</v>
      </c>
    </row>
    <row r="115" ht="14.25" customHeight="1" outlineLevel="1">
      <c r="A115" t="str">
        <v>01-220</v>
      </c>
      <c r="B115" t="str">
        <v>Public Telephones</v>
      </c>
      <c r="F115" s="2">
        <f>$E$5</f>
        <v>18</v>
      </c>
      <c r="G115" t="str">
        <v>Months</v>
      </c>
      <c r="H115" s="4">
        <v>150</v>
      </c>
    </row>
    <row r="116" ht="14.25" customHeight="1" outlineLevel="1">
      <c r="A116" t="str">
        <v>01-225</v>
      </c>
      <c r="B116" t="str">
        <v>Nextel Phones</v>
      </c>
      <c r="F116" s="2">
        <f>$E$5</f>
        <v>18</v>
      </c>
      <c r="G116" t="str">
        <v>Months</v>
      </c>
      <c r="H116" s="4">
        <v>110</v>
      </c>
    </row>
    <row r="117" ht="14.25" customHeight="1" outlineLevel="1">
      <c r="A117" t="str">
        <v>01-230</v>
      </c>
      <c r="B117" t="str">
        <v>Copy Machine (Small)</v>
      </c>
      <c r="F117" s="2">
        <v>2</v>
      </c>
      <c r="G117" t="str">
        <v>Each</v>
      </c>
      <c r="H117" s="4">
        <v>1200</v>
      </c>
    </row>
    <row r="118" ht="14.25" customHeight="1" outlineLevel="1">
      <c r="A118" t="str">
        <v>01-235</v>
      </c>
      <c r="B118" t="str">
        <v>Copy Machine (Large)</v>
      </c>
      <c r="F118" s="2">
        <f>$E$5</f>
        <v>18</v>
      </c>
      <c r="G118" t="str">
        <v>Months</v>
      </c>
      <c r="H118" s="4">
        <v>250</v>
      </c>
    </row>
    <row r="119" ht="14.25" customHeight="1" outlineLevel="1">
      <c r="A119" t="str">
        <v>01-240</v>
      </c>
      <c r="B119" t="str">
        <v>Computers / Printers</v>
      </c>
      <c r="F119" s="2">
        <v>2</v>
      </c>
      <c r="G119" t="str">
        <v>Each</v>
      </c>
      <c r="H119" s="4">
        <v>1000</v>
      </c>
    </row>
    <row r="120" ht="14.25" customHeight="1" outlineLevel="1">
      <c r="A120" t="str">
        <v>01-241</v>
      </c>
      <c r="B120" t="str">
        <v>Wide Area Network Hardware</v>
      </c>
      <c r="F120" s="2">
        <v>2</v>
      </c>
      <c r="G120" t="str">
        <v>Lump Sum</v>
      </c>
      <c r="H120" s="4">
        <v>3000</v>
      </c>
    </row>
    <row r="121" ht="14.25" customHeight="1" outlineLevel="1">
      <c r="A121" t="str">
        <v>01-242</v>
      </c>
      <c r="B121" t="str">
        <v>Wide Area Network Usage</v>
      </c>
      <c r="F121" s="2">
        <f>$E$5</f>
        <v>18</v>
      </c>
      <c r="G121" t="str">
        <v>Months</v>
      </c>
      <c r="H121" s="4">
        <v>850</v>
      </c>
    </row>
    <row r="122" ht="14.25" customHeight="1" outlineLevel="1">
      <c r="A122" t="str">
        <v>01-243</v>
      </c>
      <c r="B122" t="str">
        <v>Project Talk Costs</v>
      </c>
      <c r="F122" s="2">
        <v>2</v>
      </c>
      <c r="G122" t="str">
        <v>Lump Sum</v>
      </c>
      <c r="H122" s="4">
        <v>2</v>
      </c>
    </row>
    <row r="123" ht="14.25" customHeight="1" outlineLevel="1"/>
    <row r="124" ht="14.25" customHeight="1" outlineLevel="1">
      <c r="G124" t="str">
        <v>Subtotal</v>
      </c>
      <c r="I124" s="3">
        <f>SUM(I108:I123)</f>
        <v>0</v>
      </c>
    </row>
    <row r="125" ht="14.25" customHeight="1" outlineLevel="1">
      <c r="G125" t="str">
        <v>Escalation</v>
      </c>
      <c r="H125" s="5">
        <v>0</v>
      </c>
      <c r="I125" s="3">
        <f>H125*I124</f>
        <v>0</v>
      </c>
    </row>
    <row r="126" ht="14.25" customHeight="1">
      <c r="A126" t="str">
        <v>Field Office Expenses</v>
      </c>
      <c r="G126" t="str">
        <v>Total</v>
      </c>
      <c r="I126" s="3">
        <f>SUM(I124:I125)</f>
        <v>0</v>
      </c>
    </row>
    <row r="127" ht="14.25" customHeight="1"/>
    <row r="128" ht="14.25" customHeight="1">
      <c r="A128" t="str">
        <v>Trailer Expenses</v>
      </c>
    </row>
    <row r="129" ht="14.25" customHeight="1" outlineLevel="1">
      <c r="A129" t="str">
        <v>Cost Code</v>
      </c>
      <c r="B129" t="str">
        <v>Description</v>
      </c>
      <c r="F129" t="str">
        <v>Quantity</v>
      </c>
      <c r="G129" t="str">
        <v>Unit</v>
      </c>
      <c r="H129" t="str">
        <v>Rate</v>
      </c>
      <c r="I129" t="str">
        <v>Total</v>
      </c>
      <c r="J129" t="str">
        <v>Notes</v>
      </c>
    </row>
    <row r="130" ht="14.25" customHeight="1" outlineLevel="1">
      <c r="A130" t="str">
        <v>01-250</v>
      </c>
      <c r="B130" t="str">
        <v>Office Trailer Rental Costs</v>
      </c>
      <c r="F130" s="2">
        <f>$E$5</f>
        <v>18</v>
      </c>
      <c r="G130" t="str">
        <v>Months</v>
      </c>
      <c r="H130" s="4">
        <v>400</v>
      </c>
    </row>
    <row r="131" ht="14.25" customHeight="1" outlineLevel="1">
      <c r="A131" t="str">
        <v>01-251</v>
      </c>
      <c r="B131" t="str">
        <v>Block &amp; Level Trailer</v>
      </c>
      <c r="F131" s="2">
        <v>0</v>
      </c>
      <c r="G131" t="str">
        <v>Each</v>
      </c>
      <c r="H131" s="4">
        <v>175</v>
      </c>
    </row>
    <row r="132" ht="14.25" customHeight="1" outlineLevel="1">
      <c r="B132" t="str">
        <v>Delivery &amp; Pick Up of Trailer</v>
      </c>
      <c r="F132" s="2">
        <v>0</v>
      </c>
      <c r="G132" t="str">
        <v>Each</v>
      </c>
      <c r="H132" s="3">
        <v>250</v>
      </c>
    </row>
    <row r="133" ht="14.25" customHeight="1" outlineLevel="1">
      <c r="B133" t="str">
        <v>Trailer Relocation</v>
      </c>
      <c r="F133" s="2">
        <v>0</v>
      </c>
      <c r="G133" t="str">
        <v>Each</v>
      </c>
      <c r="H133" s="3">
        <v>750</v>
      </c>
    </row>
    <row r="134" ht="14.25" customHeight="1" outlineLevel="1">
      <c r="A134" t="str">
        <v>01-255</v>
      </c>
      <c r="B134" t="str">
        <v>Trailer Set-Up &amp; Furnishings</v>
      </c>
      <c r="F134" s="2">
        <v>0</v>
      </c>
      <c r="G134" t="str">
        <v>Each</v>
      </c>
      <c r="H134" s="4">
        <v>1000</v>
      </c>
    </row>
    <row r="135" ht="14.25" customHeight="1" outlineLevel="1">
      <c r="A135" t="str">
        <v>01-260</v>
      </c>
      <c r="B135" t="str">
        <v>Electrical Service for Trailer</v>
      </c>
      <c r="F135" s="2">
        <v>0</v>
      </c>
      <c r="G135" t="str">
        <v>Each</v>
      </c>
      <c r="H135" s="4">
        <v>2500</v>
      </c>
    </row>
    <row r="136" ht="14.25" customHeight="1" outlineLevel="1">
      <c r="A136" t="str">
        <v>01-265</v>
      </c>
      <c r="B136" t="str">
        <v>Plumbing Service for Trailer</v>
      </c>
      <c r="F136" s="2">
        <v>0</v>
      </c>
      <c r="G136" t="str">
        <v>Each</v>
      </c>
      <c r="H136" s="4">
        <v>2500</v>
      </c>
    </row>
    <row r="137" ht="14.25" customHeight="1" outlineLevel="1">
      <c r="A137" t="str">
        <v>01-270</v>
      </c>
      <c r="B137" t="str">
        <v>Storage Trailers</v>
      </c>
      <c r="F137" s="2">
        <f>$E$5</f>
        <v>18</v>
      </c>
      <c r="G137" t="str">
        <v>Months</v>
      </c>
      <c r="H137" s="4">
        <v>150</v>
      </c>
    </row>
    <row r="138" ht="14.25" customHeight="1" outlineLevel="1">
      <c r="A138" t="str">
        <v>01-275</v>
      </c>
      <c r="B138" t="str">
        <v>Trailer Alarm System - Monthly Cost</v>
      </c>
      <c r="F138" s="2">
        <f>$E$5</f>
        <v>18</v>
      </c>
      <c r="G138" t="str">
        <v>Months</v>
      </c>
      <c r="H138" s="4">
        <v>250</v>
      </c>
    </row>
    <row r="139" ht="14.25" customHeight="1" outlineLevel="1">
      <c r="A139" t="str">
        <v>01-276</v>
      </c>
      <c r="B139" t="str">
        <v>Trailer Alarm System - Installation</v>
      </c>
      <c r="F139" s="2">
        <v>0</v>
      </c>
      <c r="G139" t="str">
        <v>Each</v>
      </c>
      <c r="H139" s="4">
        <v>7500</v>
      </c>
    </row>
    <row r="140" ht="14.25" customHeight="1" outlineLevel="1"/>
    <row r="141" ht="14.25" customHeight="1" outlineLevel="1">
      <c r="G141" t="str">
        <v>Subtotal</v>
      </c>
      <c r="I141" s="3">
        <f>SUM(I129:I140)</f>
        <v>0</v>
      </c>
    </row>
    <row r="142" ht="14.25" customHeight="1" outlineLevel="1">
      <c r="G142" t="str">
        <v>Escalation</v>
      </c>
      <c r="H142" s="5">
        <v>0</v>
      </c>
      <c r="I142" s="3">
        <f>H142*I141</f>
        <v>0</v>
      </c>
    </row>
    <row r="143" ht="14.25" customHeight="1">
      <c r="A143" t="str">
        <v>Trailer Expenses</v>
      </c>
      <c r="G143" t="str">
        <v>Total</v>
      </c>
      <c r="I143" s="3">
        <f>SUM(I141:I142)</f>
        <v>0</v>
      </c>
    </row>
    <row r="144" ht="14.25" customHeight="1"/>
    <row r="145" ht="14.25" customHeight="1">
      <c r="A145" t="str">
        <v>Project Expenses</v>
      </c>
    </row>
    <row r="146" ht="14.25" customHeight="1" outlineLevel="1">
      <c r="A146" t="str">
        <v>Cost Code</v>
      </c>
      <c r="B146" t="str">
        <v>Description</v>
      </c>
      <c r="F146" t="str">
        <v>Quantity</v>
      </c>
      <c r="G146" t="str">
        <v>Unit</v>
      </c>
      <c r="H146" t="str">
        <v>Rate</v>
      </c>
      <c r="I146" t="str">
        <v>Total</v>
      </c>
      <c r="J146" t="str">
        <v>Notes</v>
      </c>
    </row>
    <row r="147" ht="14.25" customHeight="1" outlineLevel="1">
      <c r="A147" t="str">
        <v>01-300</v>
      </c>
      <c r="B147" t="str">
        <v>U. S. Postage</v>
      </c>
      <c r="F147" s="2">
        <v>0</v>
      </c>
      <c r="G147" t="str">
        <v>Months</v>
      </c>
      <c r="H147" s="4">
        <v>175</v>
      </c>
    </row>
    <row r="148" ht="14.25" customHeight="1" outlineLevel="1">
      <c r="A148" t="str">
        <v>01-305</v>
      </c>
      <c r="B148" t="str">
        <v>Federal Express</v>
      </c>
      <c r="F148" s="2">
        <f>$E$5</f>
        <v>18</v>
      </c>
      <c r="G148" t="str">
        <v>Months</v>
      </c>
      <c r="H148" s="4">
        <v>400</v>
      </c>
    </row>
    <row r="149" ht="14.25" customHeight="1" outlineLevel="1">
      <c r="A149" t="str">
        <v>01-315</v>
      </c>
      <c r="B149" t="str">
        <v>Reproduction Costs - Allowance</v>
      </c>
      <c r="F149" s="2">
        <v>0</v>
      </c>
      <c r="G149" t="str">
        <v>ls</v>
      </c>
      <c r="H149" s="3">
        <v>20000</v>
      </c>
    </row>
    <row r="150" ht="14.25" customHeight="1" outlineLevel="1">
      <c r="A150" t="str">
        <v>01-316</v>
      </c>
      <c r="B150" t="str">
        <v xml:space="preserve">Reproduction Costs - Construction </v>
      </c>
      <c r="F150" s="2">
        <v>0</v>
      </c>
      <c r="G150" t="str">
        <v>Months</v>
      </c>
      <c r="H150" s="3">
        <v>750</v>
      </c>
    </row>
    <row r="151" ht="14.25" customHeight="1" outlineLevel="1">
      <c r="A151" t="str">
        <v>01-320</v>
      </c>
      <c r="B151" t="str">
        <v>Temporary Toilets</v>
      </c>
      <c r="F151" s="2">
        <v>0</v>
      </c>
      <c r="G151" t="str">
        <v>Months</v>
      </c>
      <c r="H151" s="4">
        <v>150</v>
      </c>
    </row>
    <row r="152" ht="14.25" customHeight="1" outlineLevel="1">
      <c r="A152" t="str">
        <v>01-325</v>
      </c>
      <c r="B152" t="str">
        <v>Rental Equipment</v>
      </c>
      <c r="F152" s="2">
        <f>$E$5</f>
        <v>18</v>
      </c>
      <c r="G152" t="str">
        <v>Months</v>
      </c>
      <c r="H152" s="4">
        <v>750</v>
      </c>
    </row>
    <row r="153" ht="14.25" customHeight="1" outlineLevel="1"/>
    <row r="154" ht="14.25" customHeight="1" outlineLevel="1">
      <c r="G154" t="str">
        <v>Subtotal</v>
      </c>
      <c r="I154" s="3">
        <f>SUM(I146:I153)</f>
        <v>0</v>
      </c>
    </row>
    <row r="155" ht="14.25" customHeight="1" outlineLevel="1">
      <c r="G155" t="str">
        <v>Escalation</v>
      </c>
      <c r="H155" s="5">
        <v>0</v>
      </c>
      <c r="I155" s="3">
        <f>H155*I154</f>
        <v>0</v>
      </c>
    </row>
    <row r="156" ht="14.25" customHeight="1">
      <c r="A156" t="str">
        <v>Project Expenses</v>
      </c>
      <c r="G156" t="str">
        <v>Total</v>
      </c>
      <c r="I156" s="3">
        <f>SUM(I154:I155)</f>
        <v>0</v>
      </c>
    </row>
    <row r="157" ht="14.25" customHeight="1"/>
    <row r="158" ht="14.25" customHeight="1">
      <c r="A158" t="str">
        <v>Temp Constcrution &amp; OSHA</v>
      </c>
    </row>
    <row r="159" ht="14.25" customHeight="1" outlineLevel="1">
      <c r="A159" t="str">
        <v>Cost Code</v>
      </c>
      <c r="B159" t="str">
        <v>Description</v>
      </c>
      <c r="F159" t="str">
        <v>Quantity</v>
      </c>
      <c r="G159" t="str">
        <v>Unit</v>
      </c>
      <c r="H159" t="str">
        <v>Rate</v>
      </c>
      <c r="I159" t="str">
        <v>Total</v>
      </c>
      <c r="J159" t="str">
        <v>Notes</v>
      </c>
    </row>
    <row r="160" ht="14.25" customHeight="1" outlineLevel="1">
      <c r="A160" t="str">
        <v>01-400</v>
      </c>
      <c r="B160" t="str">
        <v>Temporary Stairs</v>
      </c>
      <c r="F160" s="2">
        <v>405</v>
      </c>
      <c r="G160" t="str">
        <v>Riser</v>
      </c>
      <c r="H160" s="4">
        <v>100</v>
      </c>
      <c r="J160" t="str">
        <v>W/Trades</v>
      </c>
    </row>
    <row r="161" ht="14.25" customHeight="1" outlineLevel="1">
      <c r="A161" t="str">
        <v>01-405</v>
      </c>
      <c r="B161" t="str">
        <v>Temporary Railings</v>
      </c>
      <c r="F161" s="2">
        <v>300</v>
      </c>
      <c r="G161" t="str">
        <v>L. Ft.</v>
      </c>
      <c r="H161" s="4">
        <v>5</v>
      </c>
      <c r="J161" t="str">
        <v>W/Trades</v>
      </c>
    </row>
    <row r="162" ht="14.25" customHeight="1" outlineLevel="1">
      <c r="A162" t="str">
        <v>01-410</v>
      </c>
      <c r="B162" t="str">
        <v>Temporary Toe Guards</v>
      </c>
      <c r="F162" s="2">
        <v>2500</v>
      </c>
      <c r="G162" t="str">
        <v>L. Ft.</v>
      </c>
      <c r="H162" s="3">
        <v>6.5</v>
      </c>
      <c r="J162" t="str">
        <v>W/Trades</v>
      </c>
    </row>
    <row r="163" ht="14.25" customHeight="1" outlineLevel="1">
      <c r="A163" t="str">
        <v>01-415</v>
      </c>
      <c r="B163" t="str">
        <v>Temporary Floor Enclosures</v>
      </c>
      <c r="F163" s="2">
        <v>50</v>
      </c>
      <c r="G163" t="str">
        <v>Each</v>
      </c>
      <c r="H163" s="3">
        <v>125</v>
      </c>
      <c r="J163" t="str">
        <v>W/Trades</v>
      </c>
    </row>
    <row r="164" ht="14.25" customHeight="1" outlineLevel="1">
      <c r="A164" t="str">
        <v>01-420</v>
      </c>
      <c r="B164" t="str">
        <v>Temporary Floor Protection</v>
      </c>
      <c r="F164" s="2">
        <v>59617</v>
      </c>
      <c r="G164" t="str">
        <v>Sq. Ft.</v>
      </c>
      <c r="H164" s="3">
        <v>1.5</v>
      </c>
      <c r="J164" t="str">
        <v>W/Trades</v>
      </c>
    </row>
    <row r="165" ht="14.25" customHeight="1" outlineLevel="1">
      <c r="A165" t="str">
        <v>01-425</v>
      </c>
      <c r="B165" t="str">
        <v>Temporary Tread Protection</v>
      </c>
      <c r="F165" s="2">
        <v>405</v>
      </c>
      <c r="G165" t="str">
        <v>Riser</v>
      </c>
      <c r="H165" s="3">
        <v>25</v>
      </c>
      <c r="J165" t="str">
        <v>W/Trades</v>
      </c>
    </row>
    <row r="166" ht="14.25" customHeight="1" outlineLevel="1">
      <c r="A166" t="str">
        <v>01-430</v>
      </c>
      <c r="B166" t="str">
        <v>Temporary Fencing</v>
      </c>
      <c r="F166" s="2">
        <v>650</v>
      </c>
      <c r="G166" t="str">
        <v>L. Ft.</v>
      </c>
      <c r="H166" s="3">
        <v>8</v>
      </c>
      <c r="J166" t="str">
        <v>W/Trades</v>
      </c>
    </row>
    <row r="167" ht="14.25" customHeight="1" outlineLevel="1">
      <c r="B167" t="str">
        <v>Temporary Gate for Fence</v>
      </c>
      <c r="F167" s="2">
        <v>4</v>
      </c>
      <c r="G167" t="str">
        <v>Each</v>
      </c>
      <c r="H167" s="3">
        <v>1750</v>
      </c>
      <c r="J167" t="str">
        <v>W/Trades</v>
      </c>
    </row>
    <row r="168" ht="14.25" customHeight="1" outlineLevel="1">
      <c r="A168" t="str">
        <v>01-435</v>
      </c>
      <c r="B168" t="str">
        <v>Temporary Dust Protection</v>
      </c>
      <c r="F168" s="2">
        <v>0</v>
      </c>
      <c r="G168" t="str">
        <v>L. Ft.</v>
      </c>
      <c r="H168" s="3">
        <v>0</v>
      </c>
    </row>
    <row r="169" ht="14.25" customHeight="1" outlineLevel="1">
      <c r="A169" t="str">
        <v>01-440</v>
      </c>
      <c r="B169" t="str">
        <v>Temporary Tunnel (Interior)</v>
      </c>
      <c r="F169" s="2">
        <v>0</v>
      </c>
      <c r="G169" t="str">
        <v>L. Ft.</v>
      </c>
      <c r="H169" s="3">
        <v>200</v>
      </c>
    </row>
    <row r="170" ht="14.25" customHeight="1" outlineLevel="1">
      <c r="A170" t="str">
        <v>01-445</v>
      </c>
      <c r="B170" t="str">
        <v>Temporary Sidewalk Protection - Overhead</v>
      </c>
      <c r="F170" s="2">
        <v>100</v>
      </c>
      <c r="G170" t="str">
        <v>L. Ft.</v>
      </c>
      <c r="H170" s="3">
        <v>125</v>
      </c>
      <c r="J170" t="str">
        <v>W/Trades</v>
      </c>
    </row>
    <row r="171" ht="14.25" customHeight="1" outlineLevel="1">
      <c r="A171" t="str">
        <v>01-450</v>
      </c>
      <c r="B171" t="str">
        <v>Temporary Window Protection</v>
      </c>
      <c r="F171" s="2">
        <v>0</v>
      </c>
      <c r="G171" t="str">
        <v>Sq. Ft.</v>
      </c>
      <c r="H171" s="3">
        <v>5</v>
      </c>
      <c r="J171" t="str">
        <v>W/Trades</v>
      </c>
    </row>
    <row r="172" ht="14.25" customHeight="1" outlineLevel="1">
      <c r="A172" t="str">
        <v>01-455</v>
      </c>
      <c r="B172" t="str">
        <v>Temporary Drywall Partitions</v>
      </c>
      <c r="F172" s="2">
        <v>0</v>
      </c>
      <c r="G172" t="str">
        <v>L. Ft.</v>
      </c>
      <c r="H172" s="3">
        <v>75</v>
      </c>
    </row>
    <row r="173" ht="14.25" customHeight="1" outlineLevel="1">
      <c r="A173" t="str">
        <v>01-465</v>
      </c>
      <c r="B173" t="str">
        <v>Temporary Fire Protection</v>
      </c>
      <c r="F173" s="2">
        <v>0</v>
      </c>
      <c r="G173" t="str">
        <v>Months</v>
      </c>
      <c r="H173" s="3">
        <v>250</v>
      </c>
    </row>
    <row r="174" ht="14.25" customHeight="1" outlineLevel="1">
      <c r="A174" t="str">
        <v>01-470</v>
      </c>
      <c r="B174" t="str">
        <v>Temporary Road Stone</v>
      </c>
      <c r="F174" s="2">
        <v>0</v>
      </c>
      <c r="G174" t="str">
        <v>Sq. Ft.</v>
      </c>
      <c r="H174" s="3">
        <v>0.75</v>
      </c>
      <c r="J174" t="str">
        <v>W/Trades</v>
      </c>
    </row>
    <row r="175" ht="14.25" customHeight="1" outlineLevel="1">
      <c r="A175" t="str">
        <v>01-475</v>
      </c>
      <c r="B175" t="str">
        <v>Safety Issues (Labor)</v>
      </c>
      <c r="F175" s="2">
        <v>0</v>
      </c>
      <c r="G175" t="str">
        <v>M.D.</v>
      </c>
      <c r="H175" s="3">
        <v>500</v>
      </c>
      <c r="J175" t="str">
        <v>W/Trades</v>
      </c>
    </row>
    <row r="176" ht="14.25" customHeight="1" outlineLevel="1">
      <c r="A176" t="str">
        <v>01-476</v>
      </c>
      <c r="B176" t="str">
        <v>Safety Supplies (Material)</v>
      </c>
      <c r="F176" s="2">
        <v>0</v>
      </c>
      <c r="G176" t="str">
        <v>Lump Sum</v>
      </c>
      <c r="H176" s="3">
        <v>4000</v>
      </c>
    </row>
    <row r="177" ht="14.25" customHeight="1" outlineLevel="1">
      <c r="A177" t="str">
        <v>01-480</v>
      </c>
      <c r="B177" t="str">
        <v>Miscellaneous OSHA Requirements (Labor)</v>
      </c>
      <c r="F177" s="2">
        <v>0</v>
      </c>
      <c r="G177" t="str">
        <v>M.D.</v>
      </c>
      <c r="H177" s="3">
        <v>500</v>
      </c>
      <c r="J177" t="str">
        <v>W/Trades</v>
      </c>
    </row>
    <row r="178" ht="14.25" customHeight="1" outlineLevel="1">
      <c r="A178" t="str">
        <v>01-481</v>
      </c>
      <c r="B178" t="str">
        <v>Miscellaneous OSHA Requirements (Material)</v>
      </c>
      <c r="F178" s="2">
        <v>0</v>
      </c>
      <c r="G178" t="str">
        <v>Lump Sum</v>
      </c>
      <c r="H178" s="3">
        <v>2000</v>
      </c>
    </row>
    <row r="179" ht="14.25" customHeight="1" outlineLevel="1">
      <c r="A179" t="str">
        <v>01-485</v>
      </c>
      <c r="B179" t="str">
        <v>Pumping</v>
      </c>
      <c r="F179" s="2">
        <v>0</v>
      </c>
      <c r="G179" t="str">
        <v>Days</v>
      </c>
      <c r="H179" s="3">
        <v>0</v>
      </c>
    </row>
    <row r="180" ht="14.25" customHeight="1" outlineLevel="1">
      <c r="A180" t="str">
        <v>01-490</v>
      </c>
      <c r="B180" t="str">
        <v>Safety Netting</v>
      </c>
      <c r="F180" s="2">
        <v>0</v>
      </c>
      <c r="G180" t="str">
        <v>Lump Sum</v>
      </c>
      <c r="H180" s="3">
        <v>0</v>
      </c>
    </row>
    <row r="181" ht="14.25" customHeight="1" outlineLevel="1">
      <c r="A181" t="str">
        <v>01-495</v>
      </c>
      <c r="B181" t="str">
        <v>Temporary Elevator Use</v>
      </c>
      <c r="F181" s="2">
        <v>0</v>
      </c>
      <c r="G181" t="str">
        <v>Each</v>
      </c>
      <c r="H181" s="4">
        <v>0</v>
      </c>
      <c r="J181" t="str">
        <v>See Below</v>
      </c>
    </row>
    <row r="182" ht="14.25" customHeight="1" outlineLevel="1">
      <c r="B182" t="str">
        <v>Site:</v>
      </c>
      <c r="I182" s="3">
        <f>F182*H182</f>
        <v>0</v>
      </c>
    </row>
    <row r="183" ht="14.25" customHeight="1" outlineLevel="1">
      <c r="B183" t="str">
        <v>Security Cameras for Project Site</v>
      </c>
      <c r="F183" s="2">
        <v>12</v>
      </c>
      <c r="G183" t="str">
        <v>months</v>
      </c>
      <c r="H183" s="4">
        <v>2300</v>
      </c>
      <c r="I183" s="3">
        <f>F183*H183</f>
        <v>27600</v>
      </c>
    </row>
    <row r="184" ht="14.25" customHeight="1" outlineLevel="1">
      <c r="B184" t="str">
        <v xml:space="preserve">  - Personnel security - EXCLUDED</v>
      </c>
      <c r="G184" t="str">
        <v>Excluded</v>
      </c>
      <c r="I184" s="3">
        <f>F184*H184</f>
        <v>0</v>
      </c>
    </row>
    <row r="185" ht="14.25" customHeight="1" outlineLevel="1">
      <c r="I185" s="3">
        <f>F185*H185</f>
        <v>0</v>
      </c>
    </row>
    <row r="186" ht="14.25" customHeight="1" outlineLevel="1">
      <c r="B186" t="str">
        <v>Temporary Toilets (13 months)</v>
      </c>
      <c r="F186" s="2">
        <v>13</v>
      </c>
      <c r="G186" t="str">
        <v>months</v>
      </c>
      <c r="H186" s="4">
        <v>2500</v>
      </c>
      <c r="I186" s="3">
        <f>F186*H186</f>
        <v>32500</v>
      </c>
    </row>
    <row r="187" ht="14.25" customHeight="1" outlineLevel="1">
      <c r="I187" s="3">
        <f>F187*H187</f>
        <v>0</v>
      </c>
    </row>
    <row r="188" ht="14.25" customHeight="1" outlineLevel="1">
      <c r="B188" t="str">
        <v>Temporary Heat (2 months)</v>
      </c>
      <c r="F188" s="2">
        <v>2</v>
      </c>
      <c r="G188" t="str">
        <v>months</v>
      </c>
      <c r="H188" s="4">
        <v>15000</v>
      </c>
      <c r="I188" s="3">
        <f>F188*H188</f>
        <v>30000</v>
      </c>
    </row>
    <row r="189" ht="14.25" customHeight="1" outlineLevel="1">
      <c r="I189" s="3">
        <f>F189*H189</f>
        <v>0</v>
      </c>
    </row>
    <row r="190" ht="14.25" customHeight="1" outlineLevel="1">
      <c r="B190" t="str">
        <v>Video/Photo Documentation of Existing Conditions / Progress</v>
      </c>
      <c r="F190" s="2">
        <v>1</v>
      </c>
      <c r="G190" t="str">
        <v>ls</v>
      </c>
      <c r="H190" s="4">
        <v>9500</v>
      </c>
      <c r="I190" s="3">
        <f>F190*H190</f>
        <v>9500</v>
      </c>
    </row>
    <row r="191" ht="14.25" customHeight="1" outlineLevel="1">
      <c r="I191" s="3">
        <f>F191*H191</f>
        <v>0</v>
      </c>
    </row>
    <row r="192" ht="14.25" customHeight="1" outlineLevel="1">
      <c r="B192" t="str">
        <v xml:space="preserve">Temporary Protection / Weathertight During Construction </v>
      </c>
      <c r="F192" s="2">
        <v>1</v>
      </c>
      <c r="G192" t="str">
        <v>ls</v>
      </c>
      <c r="H192" s="4">
        <v>30000</v>
      </c>
      <c r="I192" s="3">
        <f>F192*H192</f>
        <v>30000</v>
      </c>
    </row>
    <row r="193" ht="14.25" customHeight="1" outlineLevel="1">
      <c r="I193" s="3">
        <f>F193*H193</f>
        <v>0</v>
      </c>
    </row>
    <row r="194" ht="14.25" customHeight="1" outlineLevel="1">
      <c r="B194" t="str">
        <v>Miscellaneous Layout for the Work</v>
      </c>
      <c r="F194" s="2">
        <v>1</v>
      </c>
      <c r="G194" t="str">
        <v>ls</v>
      </c>
      <c r="H194" s="4">
        <v>13210</v>
      </c>
      <c r="I194" s="3">
        <f>F194*H194</f>
        <v>13210</v>
      </c>
    </row>
    <row r="195" ht="14.25" customHeight="1" outlineLevel="1">
      <c r="B195" t="str">
        <v xml:space="preserve">  - Building footprint and setbacks, multiple mobilizations for rework</v>
      </c>
      <c r="G195" t="str">
        <v>Included</v>
      </c>
      <c r="I195" s="3">
        <f>F195*H195</f>
        <v>0</v>
      </c>
    </row>
    <row r="196" ht="14.25" customHeight="1" outlineLevel="1">
      <c r="B196" t="str">
        <v xml:space="preserve">  - Grading and regrading, depths for footins, slab on grade, etc.</v>
      </c>
      <c r="G196" t="str">
        <v>Included</v>
      </c>
      <c r="I196" s="3">
        <f>F196*H196</f>
        <v>0</v>
      </c>
    </row>
    <row r="197" ht="14.25" customHeight="1" outlineLevel="1">
      <c r="B197" t="str">
        <v xml:space="preserve">  - Utility layout</v>
      </c>
      <c r="G197" t="str">
        <v>Included</v>
      </c>
      <c r="I197" s="3">
        <f>F197*H197</f>
        <v>0</v>
      </c>
    </row>
    <row r="198" ht="14.25" customHeight="1" outlineLevel="1">
      <c r="I198" s="3">
        <f>F198*H198</f>
        <v>0</v>
      </c>
    </row>
    <row r="199" ht="14.25" customHeight="1" outlineLevel="1">
      <c r="B199" t="str">
        <v>Archealogical Investigation and Excavation - Allowance</v>
      </c>
      <c r="F199" s="2">
        <v>1</v>
      </c>
      <c r="G199" t="str">
        <v>Allow</v>
      </c>
      <c r="H199" s="4">
        <v>20000</v>
      </c>
      <c r="I199" s="3">
        <f>F199*H199</f>
        <v>20000</v>
      </c>
    </row>
    <row r="200" ht="14.25" customHeight="1" outlineLevel="1">
      <c r="B200" t="str">
        <v>Additional Geotechnical Investigation - Allowance</v>
      </c>
      <c r="F200" s="2">
        <v>1</v>
      </c>
      <c r="G200" t="str">
        <v>Allow</v>
      </c>
      <c r="H200" s="4">
        <v>22000</v>
      </c>
      <c r="I200" s="3">
        <f>F200*H200</f>
        <v>22000</v>
      </c>
    </row>
    <row r="201" ht="14.25" customHeight="1" outlineLevel="1">
      <c r="I201" s="3">
        <f>F201*H201</f>
        <v>0</v>
      </c>
    </row>
    <row r="202" ht="14.25" customHeight="1" outlineLevel="1">
      <c r="B202" t="str">
        <v>Flush and Cam Existing Sanitary Main - Excluded - Assume New</v>
      </c>
      <c r="G202" t="str">
        <v>Excluded</v>
      </c>
      <c r="I202" s="3">
        <f>F202*H202</f>
        <v>0</v>
      </c>
    </row>
    <row r="203" ht="14.25" customHeight="1" outlineLevel="1">
      <c r="I203" s="3">
        <f>F203*H203</f>
        <v>0</v>
      </c>
    </row>
    <row r="204" ht="14.25" customHeight="1" outlineLevel="1">
      <c r="B204" t="str">
        <v>Temporary Requirements</v>
      </c>
      <c r="F204" s="2">
        <v>1</v>
      </c>
      <c r="G204" t="str">
        <v>ls</v>
      </c>
      <c r="H204" s="4">
        <v>40000</v>
      </c>
      <c r="I204" s="3">
        <f>F204*H204</f>
        <v>40000</v>
      </c>
    </row>
    <row r="205" ht="14.25" customHeight="1" outlineLevel="1">
      <c r="B205" t="str">
        <v xml:space="preserve">  - Temporary Site Construction Fencing</v>
      </c>
      <c r="G205" t="str">
        <v>Included</v>
      </c>
      <c r="I205" s="3">
        <f>F205*H205</f>
        <v>0</v>
      </c>
    </row>
    <row r="206" ht="14.25" customHeight="1" outlineLevel="1">
      <c r="B206" t="str">
        <v xml:space="preserve">  - Gates</v>
      </c>
      <c r="G206" t="str">
        <v>Included</v>
      </c>
      <c r="I206" s="3">
        <f>F206*H206</f>
        <v>0</v>
      </c>
    </row>
    <row r="207" ht="14.25" customHeight="1" outlineLevel="1">
      <c r="I207" s="3">
        <f>F207*H207</f>
        <v>0</v>
      </c>
    </row>
    <row r="208" ht="14.25" customHeight="1" outlineLevel="1">
      <c r="B208" t="str">
        <v>Temporary Trailers for Construction</v>
      </c>
      <c r="F208" s="2">
        <v>12</v>
      </c>
      <c r="G208" t="str">
        <v>months</v>
      </c>
      <c r="H208" s="4">
        <v>4250</v>
      </c>
      <c r="I208" s="3">
        <f>F208*H208</f>
        <v>51000</v>
      </c>
    </row>
    <row r="209" ht="14.25" customHeight="1" outlineLevel="1">
      <c r="I209" s="3">
        <f>F209*H209</f>
        <v>0</v>
      </c>
    </row>
    <row r="210" ht="14.25" customHeight="1" outlineLevel="1">
      <c r="B210" t="str">
        <v>Casual Dewatering (Permanent Dewatering Excluded)</v>
      </c>
      <c r="F210" s="2">
        <v>1</v>
      </c>
      <c r="G210" t="str">
        <v>ls</v>
      </c>
      <c r="H210" s="4">
        <v>15000</v>
      </c>
      <c r="I210" s="3">
        <f>F210*H210</f>
        <v>15000</v>
      </c>
    </row>
    <row r="211" ht="14.25" customHeight="1" outlineLevel="1">
      <c r="B211" t="str">
        <v xml:space="preserve">  - Temporary water removal for rain water events, ponding at excavations</v>
      </c>
      <c r="G211" t="str">
        <v>Included</v>
      </c>
      <c r="I211" s="3">
        <f>F211*H211</f>
        <v>0</v>
      </c>
    </row>
    <row r="212" ht="14.25" customHeight="1" outlineLevel="1">
      <c r="B212" t="str">
        <v xml:space="preserve">Site Winterization/Snow Removal </v>
      </c>
      <c r="F212" s="2">
        <v>1</v>
      </c>
      <c r="G212" t="str">
        <v>ls</v>
      </c>
      <c r="H212" s="4">
        <v>20000</v>
      </c>
      <c r="I212" s="3">
        <f>F212*H212</f>
        <v>20000</v>
      </c>
    </row>
    <row r="213" ht="14.25" customHeight="1" outlineLevel="1">
      <c r="B213" t="str">
        <v>Traffic Control Plan Including Maintenance/Removal</v>
      </c>
      <c r="F213" s="2">
        <v>1</v>
      </c>
      <c r="G213" t="str">
        <v>ls</v>
      </c>
      <c r="H213" s="4">
        <v>30000</v>
      </c>
      <c r="I213" s="3">
        <f>F213*H213</f>
        <v>30000</v>
      </c>
    </row>
    <row r="214" ht="14.25" customHeight="1" outlineLevel="1">
      <c r="B214" t="str">
        <v xml:space="preserve">  - Signage, permits, personnel for lane and sidewalk closures at public areas</v>
      </c>
      <c r="G214" t="str">
        <v>Included</v>
      </c>
      <c r="I214" s="3">
        <f>F214*H214</f>
        <v>0</v>
      </c>
    </row>
    <row r="215" ht="14.25" customHeight="1" outlineLevel="1">
      <c r="I215" s="3">
        <f>F215*H215</f>
        <v>0</v>
      </c>
    </row>
    <row r="216" ht="14.25" customHeight="1" outlineLevel="1">
      <c r="B216" t="str">
        <v>ADDITIONAL ITEMS:</v>
      </c>
      <c r="I216" s="3">
        <f>F216*H216</f>
        <v>0</v>
      </c>
    </row>
    <row r="217" ht="14.25" customHeight="1" outlineLevel="1">
      <c r="B217" t="str">
        <v xml:space="preserve">  - ADD ALTERNATE for WELL GOLD</v>
      </c>
      <c r="G217" t="str">
        <v>ADD</v>
      </c>
      <c r="H217" s="4">
        <v>175000</v>
      </c>
      <c r="I217" s="3">
        <f>F217*H217</f>
        <v>0</v>
      </c>
    </row>
    <row r="218" ht="14.25" customHeight="1" outlineLevel="1">
      <c r="B218" t="str">
        <v xml:space="preserve">    * Design Fees, excludes modeling</v>
      </c>
      <c r="G218" t="str">
        <v>ADD</v>
      </c>
      <c r="H218" s="4">
        <v>55000</v>
      </c>
      <c r="I218" s="3">
        <f>F218*H218</f>
        <v>0</v>
      </c>
    </row>
    <row r="219" ht="14.25" customHeight="1" outlineLevel="1">
      <c r="B219" t="str">
        <v xml:space="preserve">    * Increased scope for water testing and increased air capacity (30%)</v>
      </c>
      <c r="G219" t="str">
        <v>Included</v>
      </c>
      <c r="I219" s="3">
        <f>F219*H219</f>
        <v>0</v>
      </c>
    </row>
    <row r="220" ht="14.25" customHeight="1" outlineLevel="1">
      <c r="B220" t="str">
        <v>Bond</v>
      </c>
      <c r="F220" s="2">
        <f>SUM(I183:I219)</f>
        <v>340810</v>
      </c>
      <c r="G220" t="str">
        <v>%</v>
      </c>
      <c r="H220" s="4">
        <v>0.02</v>
      </c>
      <c r="I220" s="3">
        <f>F220*H220</f>
        <v>6816.2</v>
      </c>
    </row>
    <row r="221" ht="14.25" customHeight="1" outlineLevel="1">
      <c r="B221" t="str">
        <v>Historiuc</v>
      </c>
      <c r="I221" s="3">
        <f>F221*H221</f>
        <v>0</v>
      </c>
    </row>
    <row r="222" ht="14.25" customHeight="1" outlineLevel="1">
      <c r="B222" t="str">
        <v>Trash Chute</v>
      </c>
      <c r="F222" s="2">
        <v>1</v>
      </c>
      <c r="G222" t="str">
        <v>ea</v>
      </c>
      <c r="H222" s="4">
        <v>10000</v>
      </c>
      <c r="I222" s="3">
        <f>F222*H222</f>
        <v>10000</v>
      </c>
    </row>
    <row r="223" ht="14.25" customHeight="1" outlineLevel="1">
      <c r="I223" s="3">
        <f>F223*H223</f>
        <v>0</v>
      </c>
    </row>
    <row r="224" ht="14.25" customHeight="1" outlineLevel="1">
      <c r="B224" t="str">
        <v>Material / Man Hoist - included with Addition</v>
      </c>
      <c r="G224" t="str">
        <v>w/ Addition</v>
      </c>
      <c r="I224" s="3">
        <f>F224*H224</f>
        <v>0</v>
      </c>
    </row>
    <row r="225" ht="14.25" customHeight="1" outlineLevel="1">
      <c r="I225" s="3">
        <f>F225*H225</f>
        <v>0</v>
      </c>
    </row>
    <row r="226" ht="14.25" customHeight="1" outlineLevel="1">
      <c r="B226" t="str">
        <v>Additional BIM Requirements - 2" and bigger included</v>
      </c>
      <c r="G226" t="str">
        <v>Included</v>
      </c>
      <c r="I226" s="3">
        <f>F226*H226</f>
        <v>0</v>
      </c>
    </row>
    <row r="227" ht="14.25" customHeight="1" outlineLevel="1">
      <c r="I227" s="3">
        <f>F227*H227</f>
        <v>0</v>
      </c>
    </row>
    <row r="228" ht="14.25" customHeight="1" outlineLevel="1">
      <c r="B228" t="str">
        <v>Tower Crane Requirements - N/A - Not required for this project</v>
      </c>
      <c r="G228" t="str">
        <v>N/A</v>
      </c>
      <c r="I228" s="3">
        <f>F228*H228</f>
        <v>0</v>
      </c>
    </row>
    <row r="229" ht="14.25" customHeight="1" outlineLevel="1">
      <c r="B229" t="str">
        <v xml:space="preserve">  - Mobilization and Demobilization</v>
      </c>
      <c r="G229" t="str">
        <v>N/A</v>
      </c>
      <c r="I229" s="3">
        <f>F229*H229</f>
        <v>0</v>
      </c>
    </row>
    <row r="230" ht="14.25" customHeight="1" outlineLevel="1">
      <c r="B230" t="str">
        <v xml:space="preserve">  - Power Requirements</v>
      </c>
      <c r="G230" t="str">
        <v>N/A</v>
      </c>
      <c r="I230" s="3">
        <f>F230*H230</f>
        <v>0</v>
      </c>
    </row>
    <row r="231" ht="14.25" customHeight="1" outlineLevel="1">
      <c r="B231" t="str">
        <v xml:space="preserve">  - Man-hours for Operation</v>
      </c>
      <c r="G231" t="str">
        <v>N/A</v>
      </c>
      <c r="I231" s="3">
        <f>F231*H231</f>
        <v>0</v>
      </c>
    </row>
    <row r="232" ht="14.25" customHeight="1" outlineLevel="1">
      <c r="I232" s="3">
        <f>F232*H232</f>
        <v>0</v>
      </c>
    </row>
    <row r="233" ht="14.25" customHeight="1" outlineLevel="1">
      <c r="B233" t="str">
        <v>Interior Scaffolding at Double Height Spaces</v>
      </c>
      <c r="F233" s="2">
        <v>1</v>
      </c>
      <c r="G233" t="str">
        <v>ls</v>
      </c>
      <c r="H233" s="4">
        <v>8500</v>
      </c>
      <c r="I233" s="3">
        <f>F233*H233</f>
        <v>8500</v>
      </c>
    </row>
    <row r="234" ht="14.25" customHeight="1" outlineLevel="1">
      <c r="B234" t="str">
        <v xml:space="preserve">  - Dance Floors and Shared Scaffolding</v>
      </c>
      <c r="G234" t="str">
        <v>Included</v>
      </c>
      <c r="I234" s="3">
        <f>F234*H234</f>
        <v>0</v>
      </c>
    </row>
    <row r="235" ht="14.25" customHeight="1" outlineLevel="1">
      <c r="B235" t="str">
        <v xml:space="preserve">  - Erection and Dismantling, Maintenance While Onsite</v>
      </c>
      <c r="G235" t="str">
        <v>Included</v>
      </c>
      <c r="I235" s="3">
        <f>F235*H235</f>
        <v>0</v>
      </c>
    </row>
    <row r="236" ht="14.25" customHeight="1" outlineLevel="1">
      <c r="I236" s="3">
        <f>F236*H236</f>
        <v>0</v>
      </c>
    </row>
    <row r="237" ht="14.25" customHeight="1" outlineLevel="1">
      <c r="B237" t="str">
        <v xml:space="preserve">Additional Consulting Costs </v>
      </c>
      <c r="G237" t="str">
        <v>Included with Design Fees</v>
      </c>
      <c r="I237" s="3">
        <f>F237*H237</f>
        <v>0</v>
      </c>
    </row>
    <row r="238" ht="14.25" customHeight="1" outlineLevel="1">
      <c r="B238" t="str">
        <v xml:space="preserve">  - Geotechnical investigations, achealogical investigations, etc.</v>
      </c>
      <c r="I238" s="3">
        <f>F238*H238</f>
        <v>0</v>
      </c>
    </row>
    <row r="239" ht="14.25" customHeight="1" outlineLevel="1">
      <c r="I239" s="3">
        <f>F239*H239</f>
        <v>0</v>
      </c>
    </row>
    <row r="240" ht="14.25" customHeight="1" outlineLevel="1">
      <c r="B240" t="str">
        <v>Temporary Roofing Systems</v>
      </c>
      <c r="F240" s="2">
        <v>1</v>
      </c>
      <c r="G240" t="str">
        <v>ls</v>
      </c>
      <c r="H240" s="4">
        <v>5500</v>
      </c>
      <c r="I240" s="3">
        <f>F240*H240</f>
        <v>5500</v>
      </c>
    </row>
    <row r="241" ht="14.25" customHeight="1" outlineLevel="1">
      <c r="B241" t="str">
        <v xml:space="preserve">  - Temporary enclosures for weathertight, vertical and horizontal openings</v>
      </c>
      <c r="G241" t="str">
        <v>Included</v>
      </c>
      <c r="I241" s="3">
        <f>F241*H241</f>
        <v>0</v>
      </c>
    </row>
    <row r="242" ht="14.25" customHeight="1" outlineLevel="1">
      <c r="B242" t="str">
        <v xml:space="preserve">  - Temporary roofing system at critical areas, electrical room, mechanical rooms, etc.</v>
      </c>
      <c r="G242" t="str">
        <v>Included</v>
      </c>
      <c r="I242" s="3">
        <f>F242*H242</f>
        <v>0</v>
      </c>
    </row>
    <row r="243" ht="14.25" customHeight="1" outlineLevel="1">
      <c r="I243" s="3">
        <f>F243*H243</f>
        <v>0</v>
      </c>
    </row>
    <row r="244" ht="14.25" customHeight="1" outlineLevel="1">
      <c r="B244" t="str">
        <v>Miscellaneous</v>
      </c>
      <c r="I244" s="3">
        <f>F244*H244</f>
        <v>0</v>
      </c>
    </row>
    <row r="245" ht="14.25" customHeight="1" outlineLevel="1">
      <c r="B245" t="str">
        <v xml:space="preserve">  - Dumpsters</v>
      </c>
      <c r="F245" s="2">
        <v>18</v>
      </c>
      <c r="G245" t="str">
        <v>ea</v>
      </c>
      <c r="H245" s="4">
        <v>650</v>
      </c>
      <c r="I245" s="3">
        <f>F245*H245</f>
        <v>11700</v>
      </c>
    </row>
    <row r="246" ht="14.25" customHeight="1" outlineLevel="1">
      <c r="B246" t="str">
        <v xml:space="preserve">  - Final Building Clean</v>
      </c>
      <c r="F246" s="2">
        <v>30250</v>
      </c>
      <c r="G246" t="str">
        <v>sf</v>
      </c>
      <c r="H246" s="4">
        <v>0.35</v>
      </c>
      <c r="I246" s="3">
        <f>F246*H246</f>
        <v>10587.5</v>
      </c>
    </row>
    <row r="247" ht="14.25" customHeight="1" outlineLevel="1">
      <c r="B247" t="str">
        <v xml:space="preserve">  - Window Cleaning</v>
      </c>
      <c r="F247" s="2">
        <v>1</v>
      </c>
      <c r="G247" t="str">
        <v>ls</v>
      </c>
      <c r="H247" s="4">
        <v>8500</v>
      </c>
      <c r="I247" s="3">
        <f>F247*H247</f>
        <v>8500</v>
      </c>
    </row>
    <row r="248" ht="14.25" customHeight="1" outlineLevel="1">
      <c r="B248" t="str">
        <v xml:space="preserve">  - Course of Construction Labor/Clean-Up</v>
      </c>
      <c r="F248" s="2">
        <v>25</v>
      </c>
      <c r="G248" t="str">
        <v>wks</v>
      </c>
      <c r="H248" s="4">
        <v>1250</v>
      </c>
      <c r="I248" s="3">
        <f>F248*H248</f>
        <v>31250</v>
      </c>
    </row>
    <row r="249" ht="14.25" customHeight="1" outlineLevel="1">
      <c r="B249" t="str">
        <v xml:space="preserve">     * One (1) man for 25 weeks ($1,200 per wee per man) or approximately $30/hr</v>
      </c>
      <c r="I249" s="3">
        <f>F249*H249</f>
        <v>0</v>
      </c>
    </row>
    <row r="250" ht="14.25" customHeight="1" outlineLevel="1">
      <c r="B250" t="str">
        <v xml:space="preserve">     * Overtime hours excluded</v>
      </c>
      <c r="I250" s="3">
        <f>F250*H250</f>
        <v>0</v>
      </c>
    </row>
    <row r="251" ht="14.25" customHeight="1" outlineLevel="1">
      <c r="I251" s="3">
        <f>F251*H251</f>
        <v>0</v>
      </c>
    </row>
    <row r="252" ht="14.25" customHeight="1" outlineLevel="1">
      <c r="B252" t="str">
        <v>Additional testing and inspections to meet Netzero requirements</v>
      </c>
      <c r="F252" s="2">
        <v>1</v>
      </c>
      <c r="G252" t="str">
        <v>ls</v>
      </c>
      <c r="H252" s="4">
        <v>18000</v>
      </c>
      <c r="I252" s="3">
        <f>F252*H252</f>
        <v>18000</v>
      </c>
    </row>
    <row r="253" ht="14.25" customHeight="1" outlineLevel="1">
      <c r="B253" t="str">
        <v xml:space="preserve">  - Façade testing, inspections, air tests, etc.</v>
      </c>
      <c r="I253" s="3">
        <f>F253*H253</f>
        <v>0</v>
      </c>
    </row>
    <row r="254" ht="14.25" customHeight="1" outlineLevel="1">
      <c r="I254" s="3">
        <f>F254*H254</f>
        <v>0</v>
      </c>
    </row>
    <row r="255" ht="14.25" customHeight="1" outlineLevel="1">
      <c r="B255" t="str">
        <v>Owner Moving Costs - w/ below line items</v>
      </c>
      <c r="G255" t="str">
        <v>w/ below line</v>
      </c>
      <c r="I255" s="3">
        <f>F255*H255</f>
        <v>0</v>
      </c>
    </row>
    <row r="256" ht="14.25" customHeight="1" outlineLevel="1">
      <c r="I256" s="3">
        <f>F256*H256</f>
        <v>0</v>
      </c>
    </row>
    <row r="257" ht="14.25" customHeight="1" outlineLevel="1">
      <c r="B257" t="str">
        <v>Custodial Equipment - Excluded</v>
      </c>
      <c r="G257" t="str">
        <v>Excluded</v>
      </c>
      <c r="I257" s="3">
        <f>F257*H257</f>
        <v>0</v>
      </c>
    </row>
    <row r="258" ht="14.25" customHeight="1" outlineLevel="1">
      <c r="B258" t="str">
        <v>Bond</v>
      </c>
      <c r="F258" s="2">
        <f>SUM(I221:I257)</f>
        <v>104037.5</v>
      </c>
      <c r="G258" t="str">
        <v>%</v>
      </c>
      <c r="H258" s="4">
        <v>0.02</v>
      </c>
      <c r="I258" s="3">
        <f>F258*H258</f>
        <v>2080.75</v>
      </c>
    </row>
    <row r="259" ht="14.25" customHeight="1" outlineLevel="1">
      <c r="B259">
        <v>1950</v>
      </c>
      <c r="I259" s="3">
        <f>F259*H259</f>
        <v>0</v>
      </c>
    </row>
    <row r="260" ht="14.25" customHeight="1" outlineLevel="1">
      <c r="B260" t="str">
        <v>Trash Chute</v>
      </c>
      <c r="F260" s="2">
        <v>1</v>
      </c>
      <c r="G260" t="str">
        <v>ea</v>
      </c>
      <c r="H260" s="4">
        <v>5000</v>
      </c>
      <c r="I260" s="3">
        <f>F260*H260</f>
        <v>5000</v>
      </c>
    </row>
    <row r="261" ht="14.25" customHeight="1" outlineLevel="1">
      <c r="I261" s="3">
        <f>F261*H261</f>
        <v>0</v>
      </c>
    </row>
    <row r="262" ht="14.25" customHeight="1" outlineLevel="1">
      <c r="B262" t="str">
        <v>Material / Man Hoist - included with Addition</v>
      </c>
      <c r="G262" t="str">
        <v>w/ Addition</v>
      </c>
      <c r="I262" s="3">
        <f>F262*H262</f>
        <v>0</v>
      </c>
    </row>
    <row r="263" ht="14.25" customHeight="1" outlineLevel="1">
      <c r="I263" s="3">
        <f>F263*H263</f>
        <v>0</v>
      </c>
    </row>
    <row r="264" ht="14.25" customHeight="1" outlineLevel="1">
      <c r="B264" t="str">
        <v>Additional BIM Requirements - 2" and bigger included</v>
      </c>
      <c r="G264" t="str">
        <v>Included</v>
      </c>
      <c r="I264" s="3">
        <f>F264*H264</f>
        <v>0</v>
      </c>
    </row>
    <row r="265" ht="14.25" customHeight="1" outlineLevel="1">
      <c r="I265" s="3">
        <f>F265*H265</f>
        <v>0</v>
      </c>
    </row>
    <row r="266" ht="14.25" customHeight="1" outlineLevel="1">
      <c r="B266" t="str">
        <v>Tower Crane Requirements - N/A - Not required for this project</v>
      </c>
      <c r="G266" t="str">
        <v>N/A</v>
      </c>
      <c r="I266" s="3">
        <f>F266*H266</f>
        <v>0</v>
      </c>
    </row>
    <row r="267" ht="14.25" customHeight="1" outlineLevel="1">
      <c r="B267" t="str">
        <v xml:space="preserve">  - Mobilization and Demobilization</v>
      </c>
      <c r="G267" t="str">
        <v>N/A</v>
      </c>
      <c r="I267" s="3">
        <f>F267*H267</f>
        <v>0</v>
      </c>
    </row>
    <row r="268" ht="14.25" customHeight="1" outlineLevel="1">
      <c r="B268" t="str">
        <v xml:space="preserve">  - Power Requirements</v>
      </c>
      <c r="G268" t="str">
        <v>N/A</v>
      </c>
      <c r="I268" s="3">
        <f>F268*H268</f>
        <v>0</v>
      </c>
    </row>
    <row r="269" ht="14.25" customHeight="1" outlineLevel="1">
      <c r="B269" t="str">
        <v xml:space="preserve">  - Man-hours for Operation</v>
      </c>
      <c r="G269" t="str">
        <v>N/A</v>
      </c>
      <c r="I269" s="3">
        <f>F269*H269</f>
        <v>0</v>
      </c>
    </row>
    <row r="270" ht="14.25" customHeight="1" outlineLevel="1">
      <c r="I270" s="3">
        <f>F270*H270</f>
        <v>0</v>
      </c>
    </row>
    <row r="271" ht="14.25" customHeight="1" outlineLevel="1">
      <c r="B271" t="str">
        <v>Interior Scaffolding at Double Height Spaces</v>
      </c>
      <c r="F271" s="2">
        <v>1</v>
      </c>
      <c r="G271" t="str">
        <v>ls</v>
      </c>
      <c r="H271" s="4">
        <v>5000</v>
      </c>
      <c r="I271" s="3">
        <f>F271*H271</f>
        <v>5000</v>
      </c>
    </row>
    <row r="272" ht="14.25" customHeight="1" outlineLevel="1">
      <c r="B272" t="str">
        <v xml:space="preserve">  - Dance Floors and Shared Scaffolding</v>
      </c>
      <c r="G272" t="str">
        <v>Included</v>
      </c>
      <c r="I272" s="3">
        <f>F272*H272</f>
        <v>0</v>
      </c>
    </row>
    <row r="273" ht="14.25" customHeight="1" outlineLevel="1">
      <c r="B273" t="str">
        <v xml:space="preserve">  - Erection and Dismantling, Maintenance While Onsite</v>
      </c>
      <c r="G273" t="str">
        <v>Included</v>
      </c>
      <c r="I273" s="3">
        <f>F273*H273</f>
        <v>0</v>
      </c>
    </row>
    <row r="274" ht="14.25" customHeight="1" outlineLevel="1">
      <c r="I274" s="3">
        <f>F274*H274</f>
        <v>0</v>
      </c>
    </row>
    <row r="275" ht="14.25" customHeight="1" outlineLevel="1">
      <c r="B275" t="str">
        <v xml:space="preserve">Additional Consulting Costs </v>
      </c>
      <c r="G275" t="str">
        <v>Included with Design Fees</v>
      </c>
      <c r="I275" s="3">
        <f>F275*H275</f>
        <v>0</v>
      </c>
    </row>
    <row r="276" ht="14.25" customHeight="1" outlineLevel="1">
      <c r="B276" t="str">
        <v xml:space="preserve">  - Geotechnical investigations, achealogical investigations, etc.</v>
      </c>
      <c r="I276" s="3">
        <f>F276*H276</f>
        <v>0</v>
      </c>
    </row>
    <row r="277" ht="14.25" customHeight="1" outlineLevel="1">
      <c r="I277" s="3">
        <f>F277*H277</f>
        <v>0</v>
      </c>
    </row>
    <row r="278" ht="14.25" customHeight="1" outlineLevel="1">
      <c r="B278" t="str">
        <v>Temporary Roofing Systems</v>
      </c>
      <c r="F278" s="2">
        <v>1</v>
      </c>
      <c r="G278" t="str">
        <v>ls</v>
      </c>
      <c r="H278" s="4">
        <v>5500</v>
      </c>
      <c r="I278" s="3">
        <f>F278*H278</f>
        <v>5500</v>
      </c>
    </row>
    <row r="279" ht="14.25" customHeight="1" outlineLevel="1">
      <c r="B279" t="str">
        <v xml:space="preserve">  - Temporary enclosures for weathertight, vertical and horizontal openings</v>
      </c>
      <c r="G279" t="str">
        <v>Included</v>
      </c>
      <c r="I279" s="3">
        <f>F279*H279</f>
        <v>0</v>
      </c>
    </row>
    <row r="280" ht="14.25" customHeight="1" outlineLevel="1">
      <c r="B280" t="str">
        <v xml:space="preserve">  - Temporary roofing system at critical areas, electrical room, mechanical rooms, etc.</v>
      </c>
      <c r="G280" t="str">
        <v>Included</v>
      </c>
      <c r="I280" s="3">
        <f>F280*H280</f>
        <v>0</v>
      </c>
    </row>
    <row r="281" ht="14.25" customHeight="1" outlineLevel="1">
      <c r="I281" s="3">
        <f>F281*H281</f>
        <v>0</v>
      </c>
    </row>
    <row r="282" ht="14.25" customHeight="1" outlineLevel="1">
      <c r="B282" t="str">
        <v>Miscellaneous</v>
      </c>
      <c r="I282" s="3">
        <f>F282*H282</f>
        <v>0</v>
      </c>
    </row>
    <row r="283" ht="14.25" customHeight="1" outlineLevel="1">
      <c r="B283" t="str">
        <v xml:space="preserve">  - Dumpsters</v>
      </c>
      <c r="F283" s="2">
        <v>10</v>
      </c>
      <c r="G283" t="str">
        <v>ea</v>
      </c>
      <c r="H283" s="4">
        <v>650</v>
      </c>
      <c r="I283" s="3">
        <f>F283*H283</f>
        <v>6500</v>
      </c>
    </row>
    <row r="284" ht="14.25" customHeight="1" outlineLevel="1">
      <c r="B284" t="str">
        <v xml:space="preserve">  - Final Building Clean</v>
      </c>
      <c r="F284" s="2">
        <v>22875</v>
      </c>
      <c r="G284" t="str">
        <v>sf</v>
      </c>
      <c r="H284" s="4">
        <v>0.35</v>
      </c>
      <c r="I284" s="3">
        <f>F284*H284</f>
        <v>8006.25</v>
      </c>
    </row>
    <row r="285" ht="14.25" customHeight="1" outlineLevel="1">
      <c r="B285" t="str">
        <v xml:space="preserve">  - Window Cleaning</v>
      </c>
      <c r="F285" s="2">
        <v>1</v>
      </c>
      <c r="G285" t="str">
        <v>ls</v>
      </c>
      <c r="H285" s="4">
        <v>5500</v>
      </c>
      <c r="I285" s="3">
        <f>F285*H285</f>
        <v>5500</v>
      </c>
    </row>
    <row r="286" ht="14.25" customHeight="1" outlineLevel="1">
      <c r="B286" t="str">
        <v xml:space="preserve">  - Course of Construction Labor/Clean-Up</v>
      </c>
      <c r="F286" s="2">
        <v>20</v>
      </c>
      <c r="G286" t="str">
        <v>wks</v>
      </c>
      <c r="H286" s="4">
        <v>1250</v>
      </c>
      <c r="I286" s="3">
        <f>F286*H286</f>
        <v>25000</v>
      </c>
    </row>
    <row r="287" ht="14.25" customHeight="1" outlineLevel="1">
      <c r="B287" t="str">
        <v xml:space="preserve">     * One (1) man for 40 weeks ($1,200 per wee per man) or approximately $30/hr</v>
      </c>
      <c r="I287" s="3">
        <f>F287*H287</f>
        <v>0</v>
      </c>
    </row>
    <row r="288" ht="14.25" customHeight="1" outlineLevel="1">
      <c r="B288" t="str">
        <v xml:space="preserve">     * Overtime hours excluded</v>
      </c>
      <c r="I288" s="3">
        <f>F288*H288</f>
        <v>0</v>
      </c>
    </row>
    <row r="289" ht="14.25" customHeight="1" outlineLevel="1">
      <c r="I289" s="3">
        <f>F289*H289</f>
        <v>0</v>
      </c>
    </row>
    <row r="290" ht="14.25" customHeight="1" outlineLevel="1">
      <c r="B290" t="str">
        <v>Additional testing and inspections to meet Netzero requirements</v>
      </c>
      <c r="F290" s="2">
        <v>1</v>
      </c>
      <c r="G290" t="str">
        <v>ls</v>
      </c>
      <c r="H290" s="4">
        <v>15000</v>
      </c>
      <c r="I290" s="3">
        <f>F290*H290</f>
        <v>15000</v>
      </c>
    </row>
    <row r="291" ht="14.25" customHeight="1" outlineLevel="1">
      <c r="B291" t="str">
        <v xml:space="preserve">  - Façade testing, inspections, air tests, etc.</v>
      </c>
      <c r="I291" s="3">
        <f>F291*H291</f>
        <v>0</v>
      </c>
    </row>
    <row r="292" ht="14.25" customHeight="1" outlineLevel="1">
      <c r="I292" s="3">
        <f>F292*H292</f>
        <v>0</v>
      </c>
    </row>
    <row r="293" ht="14.25" customHeight="1" outlineLevel="1">
      <c r="B293" t="str">
        <v>Owner Moving Costs - w/ below line items</v>
      </c>
      <c r="G293" t="str">
        <v>w/ below line</v>
      </c>
      <c r="I293" s="3">
        <f>F293*H293</f>
        <v>0</v>
      </c>
    </row>
    <row r="294" ht="14.25" customHeight="1" outlineLevel="1">
      <c r="I294" s="3">
        <f>F294*H294</f>
        <v>0</v>
      </c>
    </row>
    <row r="295" ht="14.25" customHeight="1" outlineLevel="1">
      <c r="B295" t="str">
        <v>Custodial Equipment - Excluded</v>
      </c>
      <c r="G295" t="str">
        <v>Excluded</v>
      </c>
      <c r="I295" s="3">
        <f>F295*H295</f>
        <v>0</v>
      </c>
    </row>
    <row r="296" ht="14.25" customHeight="1" outlineLevel="1">
      <c r="B296" t="str">
        <v>Bond</v>
      </c>
      <c r="F296" s="2">
        <f>SUM(I259:I295)</f>
        <v>75506.25</v>
      </c>
      <c r="G296" t="str">
        <v>%</v>
      </c>
      <c r="H296" s="4">
        <v>0.02</v>
      </c>
      <c r="I296" s="3">
        <f>F296*H296</f>
        <v>1510.125</v>
      </c>
    </row>
    <row r="297" ht="14.25" customHeight="1" outlineLevel="1">
      <c r="B297" t="str">
        <v>ADDITION</v>
      </c>
      <c r="I297" s="3">
        <f>F297*H297</f>
        <v>0</v>
      </c>
    </row>
    <row r="298" ht="14.25" customHeight="1" outlineLevel="1">
      <c r="B298" t="str">
        <v>Trash Chute</v>
      </c>
      <c r="F298" s="2">
        <v>1</v>
      </c>
      <c r="G298" t="str">
        <v>ea</v>
      </c>
      <c r="H298" s="4">
        <v>10000</v>
      </c>
      <c r="I298" s="3">
        <f>F298*H298</f>
        <v>10000</v>
      </c>
    </row>
    <row r="299" ht="14.25" customHeight="1" outlineLevel="1">
      <c r="I299" s="3">
        <f>F299*H299</f>
        <v>0</v>
      </c>
    </row>
    <row r="300" ht="14.25" customHeight="1" outlineLevel="1">
      <c r="B300" t="str">
        <v>Material / Man Hoist</v>
      </c>
      <c r="F300" s="2">
        <v>1</v>
      </c>
      <c r="G300" t="str">
        <v>ea</v>
      </c>
      <c r="H300" s="4">
        <v>20000</v>
      </c>
      <c r="I300" s="3">
        <f>F300*H300</f>
        <v>20000</v>
      </c>
    </row>
    <row r="301" ht="14.25" customHeight="1" outlineLevel="1">
      <c r="I301" s="3">
        <f>F301*H301</f>
        <v>0</v>
      </c>
    </row>
    <row r="302" ht="14.25" customHeight="1" outlineLevel="1">
      <c r="B302" t="str">
        <v>Additional BIM Requirements - 2" and bigger included</v>
      </c>
      <c r="G302" t="str">
        <v>Included</v>
      </c>
      <c r="I302" s="3">
        <f>F302*H302</f>
        <v>0</v>
      </c>
    </row>
    <row r="303" ht="14.25" customHeight="1" outlineLevel="1">
      <c r="I303" s="3">
        <f>F303*H303</f>
        <v>0</v>
      </c>
    </row>
    <row r="304" ht="14.25" customHeight="1" outlineLevel="1">
      <c r="B304" t="str">
        <v>Tower Crane Requirements - N/A - Not required for this project</v>
      </c>
      <c r="G304" t="str">
        <v>N/A</v>
      </c>
      <c r="I304" s="3">
        <f>F304*H304</f>
        <v>0</v>
      </c>
    </row>
    <row r="305" ht="14.25" customHeight="1" outlineLevel="1">
      <c r="B305" t="str">
        <v xml:space="preserve">  - Mobilization and Demobilization</v>
      </c>
      <c r="G305" t="str">
        <v>N/A</v>
      </c>
      <c r="I305" s="3">
        <f>F305*H305</f>
        <v>0</v>
      </c>
    </row>
    <row r="306" ht="14.25" customHeight="1" outlineLevel="1">
      <c r="B306" t="str">
        <v xml:space="preserve">  - Power Requirements</v>
      </c>
      <c r="G306" t="str">
        <v>N/A</v>
      </c>
      <c r="I306" s="3">
        <f>F306*H306</f>
        <v>0</v>
      </c>
    </row>
    <row r="307" ht="14.25" customHeight="1" outlineLevel="1">
      <c r="B307" t="str">
        <v xml:space="preserve">  - Man-hours for Operation</v>
      </c>
      <c r="G307" t="str">
        <v>N/A</v>
      </c>
      <c r="I307" s="3">
        <f>F307*H307</f>
        <v>0</v>
      </c>
    </row>
    <row r="308" ht="14.25" customHeight="1" outlineLevel="1">
      <c r="I308" s="3">
        <f>F308*H308</f>
        <v>0</v>
      </c>
    </row>
    <row r="309" ht="14.25" customHeight="1" outlineLevel="1">
      <c r="B309" t="str">
        <v>Interior Scaffolding at Double Height Spaces</v>
      </c>
      <c r="F309" s="2">
        <v>1</v>
      </c>
      <c r="G309" t="str">
        <v>ls</v>
      </c>
      <c r="H309" s="4">
        <v>30000</v>
      </c>
      <c r="I309" s="3">
        <f>F309*H309</f>
        <v>30000</v>
      </c>
    </row>
    <row r="310" ht="14.25" customHeight="1" outlineLevel="1">
      <c r="B310" t="str">
        <v xml:space="preserve">  - Dance Floors and Shared Scaffolding</v>
      </c>
      <c r="G310" t="str">
        <v>Included</v>
      </c>
      <c r="I310" s="3">
        <f>F310*H310</f>
        <v>0</v>
      </c>
    </row>
    <row r="311" ht="14.25" customHeight="1" outlineLevel="1">
      <c r="B311" t="str">
        <v xml:space="preserve">  - Erection and Dismantling, Maintenance While Onsite</v>
      </c>
      <c r="G311" t="str">
        <v>Included</v>
      </c>
      <c r="I311" s="3">
        <f>F311*H311</f>
        <v>0</v>
      </c>
    </row>
    <row r="312" ht="14.25" customHeight="1" outlineLevel="1">
      <c r="I312" s="3">
        <f>F312*H312</f>
        <v>0</v>
      </c>
    </row>
    <row r="313" ht="14.25" customHeight="1" outlineLevel="1">
      <c r="B313" t="str">
        <v xml:space="preserve">Additional Consulting Costs </v>
      </c>
      <c r="G313" t="str">
        <v>Included with Design Fees</v>
      </c>
      <c r="I313" s="3">
        <f>F313*H313</f>
        <v>0</v>
      </c>
    </row>
    <row r="314" ht="14.25" customHeight="1" outlineLevel="1">
      <c r="B314" t="str">
        <v xml:space="preserve">  - Geotechnical investigations, achealogical investigations, etc.</v>
      </c>
      <c r="I314" s="3">
        <f>F314*H314</f>
        <v>0</v>
      </c>
    </row>
    <row r="315" ht="14.25" customHeight="1" outlineLevel="1">
      <c r="I315" s="3">
        <f>F315*H315</f>
        <v>0</v>
      </c>
    </row>
    <row r="316" ht="14.25" customHeight="1" outlineLevel="1">
      <c r="B316" t="str">
        <v>Temporary Roofing Systems</v>
      </c>
      <c r="F316" s="2">
        <v>1</v>
      </c>
      <c r="G316" t="str">
        <v>ls</v>
      </c>
      <c r="H316" s="4">
        <v>10000</v>
      </c>
      <c r="I316" s="3">
        <f>F316*H316</f>
        <v>10000</v>
      </c>
    </row>
    <row r="317" ht="14.25" customHeight="1" outlineLevel="1">
      <c r="B317" t="str">
        <v xml:space="preserve">  - Temporary enclosures for weathertight, vertical and horizontal openings</v>
      </c>
      <c r="G317" t="str">
        <v>Included</v>
      </c>
      <c r="I317" s="3">
        <f>F317*H317</f>
        <v>0</v>
      </c>
    </row>
    <row r="318" ht="14.25" customHeight="1" outlineLevel="1">
      <c r="B318" t="str">
        <v xml:space="preserve">  - Temporary roofing system at critical areas, electrical room, mechanical rooms, etc.</v>
      </c>
      <c r="G318" t="str">
        <v>Included</v>
      </c>
      <c r="I318" s="3">
        <f>F318*H318</f>
        <v>0</v>
      </c>
    </row>
    <row r="319" ht="14.25" customHeight="1" outlineLevel="1">
      <c r="I319" s="3">
        <f>F319*H319</f>
        <v>0</v>
      </c>
    </row>
    <row r="320" ht="14.25" customHeight="1" outlineLevel="1">
      <c r="B320" t="str">
        <v>Miscellaneous</v>
      </c>
      <c r="I320" s="3">
        <f>F320*H320</f>
        <v>0</v>
      </c>
    </row>
    <row r="321" ht="14.25" customHeight="1" outlineLevel="1">
      <c r="B321" t="str">
        <v xml:space="preserve">  - Dumpsters</v>
      </c>
      <c r="F321" s="2">
        <v>30</v>
      </c>
      <c r="G321" t="str">
        <v>ea</v>
      </c>
      <c r="H321" s="4">
        <v>650</v>
      </c>
      <c r="I321" s="3">
        <f>F321*H321</f>
        <v>19500</v>
      </c>
    </row>
    <row r="322" ht="14.25" customHeight="1" outlineLevel="1">
      <c r="B322" t="str">
        <v xml:space="preserve">  - Final Building Clean</v>
      </c>
      <c r="F322" s="2">
        <v>19875</v>
      </c>
      <c r="G322" t="str">
        <v>sf</v>
      </c>
      <c r="H322" s="4">
        <v>0.35</v>
      </c>
      <c r="I322" s="3">
        <f>F322*H322</f>
        <v>6956.25</v>
      </c>
    </row>
    <row r="323" ht="14.25" customHeight="1" outlineLevel="1">
      <c r="B323" t="str">
        <v xml:space="preserve">  - Window Cleaning</v>
      </c>
      <c r="F323" s="2">
        <v>1</v>
      </c>
      <c r="G323" t="str">
        <v>ls</v>
      </c>
      <c r="H323" s="4">
        <v>12500</v>
      </c>
      <c r="I323" s="3">
        <f>F323*H323</f>
        <v>12500</v>
      </c>
    </row>
    <row r="324" ht="14.25" customHeight="1" outlineLevel="1">
      <c r="B324" t="str">
        <v xml:space="preserve">  - Course of Construction Labor/Clean-Up</v>
      </c>
      <c r="F324" s="2">
        <v>50</v>
      </c>
      <c r="G324" t="str">
        <v>wks</v>
      </c>
      <c r="H324" s="4">
        <v>2350</v>
      </c>
      <c r="I324" s="3">
        <f>F324*H324</f>
        <v>117500</v>
      </c>
    </row>
    <row r="325" ht="14.25" customHeight="1" outlineLevel="1">
      <c r="B325" t="str">
        <v xml:space="preserve">     * Two (2) men for 40 weeks ($1,200 per wee per man) or approximately $30/hr</v>
      </c>
      <c r="I325" s="3">
        <f>F325*H325</f>
        <v>0</v>
      </c>
    </row>
    <row r="326" ht="14.25" customHeight="1" outlineLevel="1">
      <c r="B326" t="str">
        <v xml:space="preserve">     * Overtime hours excluded</v>
      </c>
      <c r="I326" s="3">
        <f>F326*H326</f>
        <v>0</v>
      </c>
    </row>
    <row r="327" ht="14.25" customHeight="1" outlineLevel="1">
      <c r="I327" s="3">
        <f>F327*H327</f>
        <v>0</v>
      </c>
    </row>
    <row r="328" ht="14.25" customHeight="1" outlineLevel="1">
      <c r="B328" t="str">
        <v>Additional testing and inspections to meet Netzero requirements</v>
      </c>
      <c r="F328" s="2">
        <v>1</v>
      </c>
      <c r="G328" t="str">
        <v>ls</v>
      </c>
      <c r="H328" s="4">
        <v>160000</v>
      </c>
      <c r="I328" s="3">
        <f>F328*H328</f>
        <v>160000</v>
      </c>
    </row>
    <row r="329" ht="14.25" customHeight="1" outlineLevel="1">
      <c r="B329" t="str">
        <v xml:space="preserve">  - Façade testing, inspections, air tests, etc.</v>
      </c>
      <c r="I329" s="3">
        <f>F329*H329</f>
        <v>0</v>
      </c>
    </row>
    <row r="330" ht="14.25" customHeight="1" outlineLevel="1">
      <c r="I330" s="3">
        <f>F330*H330</f>
        <v>0</v>
      </c>
    </row>
    <row r="331" ht="14.25" customHeight="1" outlineLevel="1">
      <c r="B331" t="str">
        <v>Owner Moving Costs - w/ below line items</v>
      </c>
      <c r="G331" t="str">
        <v>w/ below line</v>
      </c>
      <c r="I331" s="3">
        <f>F331*H331</f>
        <v>0</v>
      </c>
    </row>
    <row r="332" ht="14.25" customHeight="1" outlineLevel="1">
      <c r="I332" s="3">
        <f>F332*H332</f>
        <v>0</v>
      </c>
    </row>
    <row r="333" ht="14.25" customHeight="1" outlineLevel="1">
      <c r="B333" t="str">
        <v>Custodial Equipment - Excluded</v>
      </c>
      <c r="G333" t="str">
        <v>Excluded</v>
      </c>
      <c r="I333" s="3">
        <f>F333*H333</f>
        <v>0</v>
      </c>
    </row>
    <row r="334" ht="14.25" customHeight="1" outlineLevel="1">
      <c r="B334" t="str">
        <v>Bond</v>
      </c>
      <c r="F334" s="2">
        <f>SUM(I297:I333)</f>
        <v>386456.25</v>
      </c>
      <c r="G334" t="str">
        <v>%</v>
      </c>
      <c r="H334" s="4">
        <v>0.02</v>
      </c>
      <c r="I334" s="3">
        <f>F334*H334</f>
        <v>7729.125</v>
      </c>
    </row>
    <row r="335" ht="14.25" customHeight="1" outlineLevel="1"/>
    <row r="336" ht="14.25" customHeight="1" outlineLevel="1">
      <c r="G336" t="str">
        <v>Subtotal</v>
      </c>
      <c r="I336" s="3">
        <f>SUM(I159:I335)</f>
        <v>924946.2</v>
      </c>
    </row>
    <row r="337" ht="14.25" customHeight="1" outlineLevel="1">
      <c r="G337" t="str">
        <v>Escalation</v>
      </c>
      <c r="H337" s="5">
        <v>0</v>
      </c>
      <c r="I337" s="3">
        <f>H337*I336</f>
        <v>0</v>
      </c>
    </row>
    <row r="338" ht="14.25" customHeight="1">
      <c r="A338" t="str">
        <v>Temp Constcrution &amp; OSHA</v>
      </c>
      <c r="G338" t="str">
        <v>Total</v>
      </c>
      <c r="I338" s="3">
        <f>SUM(I336:I337)</f>
        <v>924946.2</v>
      </c>
    </row>
    <row r="339" ht="14.25" customHeight="1"/>
    <row r="340" ht="14.25" customHeight="1">
      <c r="A340" t="str">
        <v>Temporary Building Utilities</v>
      </c>
    </row>
    <row r="341" ht="14.25" customHeight="1" outlineLevel="1">
      <c r="A341" t="str">
        <v>Cost Code</v>
      </c>
      <c r="B341" t="str">
        <v>Description</v>
      </c>
      <c r="F341" t="str">
        <v>Quantity</v>
      </c>
      <c r="G341" t="str">
        <v>Unit</v>
      </c>
      <c r="H341" t="str">
        <v>Rate</v>
      </c>
      <c r="I341" t="str">
        <v>Total</v>
      </c>
      <c r="J341" t="str">
        <v>Notes</v>
      </c>
    </row>
    <row r="342" ht="14.25" customHeight="1" outlineLevel="1">
      <c r="A342" t="str">
        <v>01-500</v>
      </c>
      <c r="B342" t="str">
        <v>Temporary Building Electrical Service</v>
      </c>
      <c r="F342" s="2">
        <v>0</v>
      </c>
      <c r="G342" t="str">
        <v>Each</v>
      </c>
      <c r="H342" s="4">
        <v>2500</v>
      </c>
      <c r="I342" s="3">
        <f>F342*H342</f>
        <v>0</v>
      </c>
    </row>
    <row r="343" ht="14.25" customHeight="1" outlineLevel="1">
      <c r="A343" t="str">
        <v>01-501</v>
      </c>
      <c r="B343" t="str">
        <v>Electric Consumption Costs</v>
      </c>
      <c r="F343" s="2">
        <v>0</v>
      </c>
      <c r="G343" t="str">
        <v>Months</v>
      </c>
      <c r="H343" s="4">
        <v>3500</v>
      </c>
      <c r="I343" s="3">
        <f>F343*H343</f>
        <v>0</v>
      </c>
    </row>
    <row r="344" ht="14.25" customHeight="1" outlineLevel="1">
      <c r="A344" t="str">
        <v>01-505</v>
      </c>
      <c r="B344" t="str">
        <v>Temporary Building Water Service</v>
      </c>
      <c r="F344" s="2">
        <v>0</v>
      </c>
      <c r="G344" t="str">
        <v>Each</v>
      </c>
      <c r="H344" s="3">
        <v>500</v>
      </c>
      <c r="I344" s="3">
        <f>F344*H344</f>
        <v>0</v>
      </c>
    </row>
    <row r="345" ht="14.25" customHeight="1" outlineLevel="1">
      <c r="A345" t="str">
        <v>01-506</v>
      </c>
      <c r="B345" t="str">
        <v>Water Consumption Costs</v>
      </c>
      <c r="F345" s="2">
        <v>0</v>
      </c>
      <c r="G345" t="str">
        <v>Months</v>
      </c>
      <c r="H345" s="3">
        <v>350</v>
      </c>
      <c r="I345" s="3">
        <f>F345*H345</f>
        <v>0</v>
      </c>
    </row>
    <row r="346" ht="14.25" customHeight="1" outlineLevel="1">
      <c r="I346" s="3">
        <f>F346*H346</f>
        <v>0</v>
      </c>
    </row>
    <row r="347" ht="14.25" customHeight="1" outlineLevel="1">
      <c r="I347" s="3">
        <f>F347*H347</f>
        <v>0</v>
      </c>
    </row>
    <row r="348" ht="14.25" customHeight="1" outlineLevel="1"/>
    <row r="349" ht="14.25" customHeight="1" outlineLevel="1">
      <c r="G349" t="str">
        <v>Subtotal</v>
      </c>
      <c r="I349" s="3">
        <f>SUM(I341:I348)</f>
        <v>0</v>
      </c>
    </row>
    <row r="350" ht="14.25" customHeight="1" outlineLevel="1">
      <c r="G350" t="str">
        <v>Escalation</v>
      </c>
      <c r="H350" s="5">
        <v>0</v>
      </c>
      <c r="I350" s="3">
        <f>H350*I349</f>
        <v>0</v>
      </c>
    </row>
    <row r="351" ht="14.25" customHeight="1">
      <c r="A351" t="str">
        <v>Temporary Building Utilities</v>
      </c>
      <c r="G351" t="str">
        <v>Total</v>
      </c>
      <c r="I351" s="3">
        <f>SUM(I349:I350)</f>
        <v>0</v>
      </c>
    </row>
    <row r="352" ht="14.25" customHeight="1"/>
    <row r="353" ht="14.25" customHeight="1">
      <c r="A353" t="str">
        <v>Temporary Heat &amp; Weather Protection</v>
      </c>
    </row>
    <row r="354" ht="14.25" customHeight="1" outlineLevel="1">
      <c r="A354" t="str">
        <v>Cost Code</v>
      </c>
      <c r="B354" t="str">
        <v>Description</v>
      </c>
      <c r="F354" t="str">
        <v>Quantity</v>
      </c>
      <c r="G354" t="str">
        <v>Unit</v>
      </c>
      <c r="H354" t="str">
        <v>Rate</v>
      </c>
      <c r="I354" t="str">
        <v>Total</v>
      </c>
      <c r="J354" t="str">
        <v>Notes</v>
      </c>
    </row>
    <row r="355" ht="14.25" customHeight="1" outlineLevel="1">
      <c r="A355" t="str">
        <v>01-515</v>
      </c>
      <c r="B355" t="str">
        <v>Temporary Heat (Set Up &amp; Equipment Rental)</v>
      </c>
      <c r="F355" s="2">
        <v>0</v>
      </c>
      <c r="G355" t="str">
        <v>Months</v>
      </c>
      <c r="H355" s="4">
        <v>10000</v>
      </c>
      <c r="I355" s="3">
        <f>F355*H355</f>
        <v>0</v>
      </c>
    </row>
    <row r="356" ht="14.25" customHeight="1" outlineLevel="1">
      <c r="A356" t="str">
        <v>01-516</v>
      </c>
      <c r="B356" t="str">
        <v>Fuel Consumption</v>
      </c>
      <c r="F356" s="2">
        <v>0</v>
      </c>
      <c r="G356" t="str">
        <v>Gallons</v>
      </c>
      <c r="H356" s="4">
        <v>0.75</v>
      </c>
      <c r="I356" s="3">
        <f>F356*H356</f>
        <v>0</v>
      </c>
    </row>
    <row r="357" ht="14.25" customHeight="1" outlineLevel="1">
      <c r="A357" t="str">
        <v>01-517</v>
      </c>
      <c r="B357" t="str">
        <v>Temporary Gas Setup</v>
      </c>
      <c r="F357" s="2">
        <v>0</v>
      </c>
      <c r="G357" t="str">
        <v>Each</v>
      </c>
      <c r="H357" s="3">
        <v>10000</v>
      </c>
      <c r="I357" s="3">
        <f>F357*H357</f>
        <v>0</v>
      </c>
    </row>
    <row r="358" ht="14.25" customHeight="1" outlineLevel="1">
      <c r="A358" t="str">
        <v>01-520</v>
      </c>
      <c r="B358" t="str">
        <v>Standby Personnel</v>
      </c>
      <c r="F358" s="2">
        <v>0</v>
      </c>
      <c r="G358" t="str">
        <v>Weeks</v>
      </c>
      <c r="H358" s="3">
        <v>0</v>
      </c>
      <c r="I358" s="3">
        <f>F358*H358</f>
        <v>0</v>
      </c>
    </row>
    <row r="359" ht="14.25" customHeight="1" outlineLevel="1">
      <c r="A359" t="str">
        <v>01-525</v>
      </c>
      <c r="B359" t="str">
        <v>Building Enclosure</v>
      </c>
      <c r="F359" s="2">
        <v>0</v>
      </c>
      <c r="G359" t="str">
        <v>Lump Sum</v>
      </c>
      <c r="H359" s="4">
        <v>0</v>
      </c>
      <c r="I359" s="3">
        <f>F359*H359</f>
        <v>0</v>
      </c>
    </row>
    <row r="360" ht="14.25" customHeight="1" outlineLevel="1">
      <c r="A360" t="str">
        <v>01-530</v>
      </c>
      <c r="B360" t="str">
        <v>Snow Removal</v>
      </c>
      <c r="F360" s="2">
        <v>0</v>
      </c>
      <c r="G360" t="str">
        <v>Each</v>
      </c>
      <c r="H360" s="4">
        <v>750</v>
      </c>
      <c r="I360" s="3">
        <f>F360*H360</f>
        <v>0</v>
      </c>
    </row>
    <row r="361" ht="14.25" customHeight="1" outlineLevel="1"/>
    <row r="362" ht="14.25" customHeight="1" outlineLevel="1">
      <c r="G362" t="str">
        <v>Subtotal</v>
      </c>
      <c r="I362" s="3">
        <f>SUM(I354:I361)</f>
        <v>0</v>
      </c>
    </row>
    <row r="363" ht="14.25" customHeight="1" outlineLevel="1">
      <c r="G363" t="str">
        <v>Escalation</v>
      </c>
      <c r="H363" s="5">
        <v>0</v>
      </c>
      <c r="I363" s="3">
        <f>H363*I362</f>
        <v>0</v>
      </c>
    </row>
    <row r="364" ht="14.25" customHeight="1">
      <c r="A364" t="str">
        <v>Temporary Heat &amp; Weather Protection</v>
      </c>
      <c r="G364" t="str">
        <v>Total</v>
      </c>
      <c r="I364" s="3">
        <f>SUM(I362:I363)</f>
        <v>0</v>
      </c>
    </row>
    <row r="365" ht="14.25" customHeight="1"/>
    <row r="366" ht="14.25" customHeight="1">
      <c r="A366" t="str">
        <v>Material and Personnel Hoisting</v>
      </c>
    </row>
    <row r="367" ht="14.25" customHeight="1" outlineLevel="1">
      <c r="A367" t="str">
        <v>Cost Code</v>
      </c>
      <c r="B367" t="str">
        <v>Description</v>
      </c>
      <c r="F367" t="str">
        <v>Quantity</v>
      </c>
      <c r="G367" t="str">
        <v>Unit</v>
      </c>
      <c r="H367" t="str">
        <v>Rate</v>
      </c>
      <c r="I367" t="str">
        <v>Total</v>
      </c>
      <c r="J367" t="str">
        <v>Notes</v>
      </c>
    </row>
    <row r="368" ht="14.25" customHeight="1" outlineLevel="1">
      <c r="A368" t="str">
        <v>01-600</v>
      </c>
      <c r="B368" t="str">
        <v>Material/Personnel Hoist</v>
      </c>
      <c r="F368" s="2">
        <v>0</v>
      </c>
      <c r="G368" t="str">
        <v>Lump Sum</v>
      </c>
      <c r="H368" s="4">
        <v>75000</v>
      </c>
      <c r="I368" s="3">
        <f>F368*H368</f>
        <v>0</v>
      </c>
    </row>
    <row r="369" ht="14.25" customHeight="1" outlineLevel="1">
      <c r="A369" t="str">
        <v>01-601</v>
      </c>
      <c r="B369" t="str">
        <v>Hoist Set-up</v>
      </c>
      <c r="F369" s="2">
        <v>0</v>
      </c>
      <c r="G369" t="str">
        <v>Lump Sum</v>
      </c>
      <c r="H369" s="4">
        <v>5000</v>
      </c>
      <c r="I369" s="3">
        <f>F369*H369</f>
        <v>0</v>
      </c>
    </row>
    <row r="370" ht="14.25" customHeight="1" outlineLevel="1">
      <c r="A370" t="str">
        <v>01-602</v>
      </c>
      <c r="B370" t="str">
        <v>Hoist Removal</v>
      </c>
      <c r="F370" s="2">
        <v>0</v>
      </c>
      <c r="G370" t="str">
        <v>Lump Sum</v>
      </c>
      <c r="H370" s="3">
        <v>5000</v>
      </c>
      <c r="I370" s="3">
        <f>F370*H370</f>
        <v>0</v>
      </c>
    </row>
    <row r="371" ht="14.25" customHeight="1" outlineLevel="1">
      <c r="A371" t="str">
        <v>01-605</v>
      </c>
      <c r="B371" t="str">
        <v>Rooftop Hoist</v>
      </c>
      <c r="F371" s="2">
        <v>0</v>
      </c>
      <c r="G371" t="str">
        <v>Months</v>
      </c>
      <c r="H371" s="3">
        <v>0</v>
      </c>
      <c r="I371" s="3">
        <f>F371*H371</f>
        <v>0</v>
      </c>
    </row>
    <row r="372" ht="14.25" customHeight="1" outlineLevel="1">
      <c r="A372" t="str">
        <v>01-610</v>
      </c>
      <c r="B372" t="str">
        <v>Hoist Platform</v>
      </c>
      <c r="F372" s="2">
        <v>0</v>
      </c>
      <c r="G372" t="str">
        <v>Each</v>
      </c>
      <c r="H372" s="4">
        <v>2500</v>
      </c>
      <c r="I372" s="3">
        <f>F372*H372</f>
        <v>0</v>
      </c>
    </row>
    <row r="373" ht="14.25" customHeight="1" outlineLevel="1">
      <c r="A373" t="str">
        <v>01-615</v>
      </c>
      <c r="B373" t="str">
        <v>Hoist Operator</v>
      </c>
      <c r="F373" s="2">
        <v>0</v>
      </c>
      <c r="G373" t="str">
        <v>Weeks</v>
      </c>
      <c r="H373" s="4">
        <v>2800</v>
      </c>
      <c r="I373" s="3">
        <f>F373*H373</f>
        <v>0</v>
      </c>
    </row>
    <row r="374" ht="14.25" customHeight="1" outlineLevel="1">
      <c r="A374" t="str">
        <v>01-620</v>
      </c>
      <c r="B374" t="str">
        <v>Elevator Operator</v>
      </c>
      <c r="F374" s="2">
        <v>0</v>
      </c>
      <c r="G374" t="str">
        <v>Weeks</v>
      </c>
      <c r="H374" s="4">
        <v>2800</v>
      </c>
      <c r="I374" s="3">
        <f>F374*H374</f>
        <v>0</v>
      </c>
    </row>
    <row r="375" ht="14.25" customHeight="1" outlineLevel="1">
      <c r="A375" t="str">
        <v>01-625</v>
      </c>
      <c r="B375" t="str">
        <v>Hanging Scaffold</v>
      </c>
      <c r="F375" s="2">
        <v>0</v>
      </c>
      <c r="G375" t="str">
        <v>Months</v>
      </c>
      <c r="H375" s="3">
        <v>1000</v>
      </c>
      <c r="I375" s="3">
        <f>F375*H375</f>
        <v>0</v>
      </c>
    </row>
    <row r="376" ht="14.25" customHeight="1" outlineLevel="1">
      <c r="A376" t="str">
        <v>01-630</v>
      </c>
      <c r="B376" t="str">
        <v>Crane Rental (80-Ton)</v>
      </c>
      <c r="F376" s="2">
        <v>0</v>
      </c>
      <c r="G376" t="str">
        <v>Days</v>
      </c>
      <c r="H376" s="3">
        <v>2000</v>
      </c>
      <c r="I376" s="3">
        <f>F376*H376</f>
        <v>0</v>
      </c>
    </row>
    <row r="377" ht="14.25" customHeight="1" outlineLevel="1">
      <c r="A377" t="str">
        <v>01-630</v>
      </c>
      <c r="B377" t="str">
        <v>Crane Rental (30-Ton)</v>
      </c>
      <c r="F377" s="2">
        <v>0</v>
      </c>
      <c r="G377" t="str">
        <v>Days</v>
      </c>
      <c r="H377" s="4">
        <v>1000</v>
      </c>
      <c r="I377" s="3">
        <f>F377*H377</f>
        <v>0</v>
      </c>
    </row>
    <row r="378" ht="14.25" customHeight="1" outlineLevel="1">
      <c r="A378" t="str">
        <v>01-640</v>
      </c>
      <c r="B378" t="str">
        <v>Elevator Usage</v>
      </c>
      <c r="F378" s="2">
        <v>0</v>
      </c>
      <c r="G378" t="str">
        <v>Hours</v>
      </c>
      <c r="H378" s="4">
        <v>75</v>
      </c>
      <c r="I378" s="3">
        <f>F378*H378</f>
        <v>0</v>
      </c>
    </row>
    <row r="379" ht="14.25" customHeight="1" outlineLevel="1">
      <c r="A379" t="str">
        <v>01-641</v>
      </c>
      <c r="B379" t="str">
        <v>Master Mechanic</v>
      </c>
      <c r="F379" s="2">
        <v>0</v>
      </c>
      <c r="G379" t="str">
        <v>Weeks</v>
      </c>
      <c r="H379" s="4">
        <v>3000</v>
      </c>
      <c r="I379" s="3">
        <f>F379*H379</f>
        <v>0</v>
      </c>
    </row>
    <row r="380" ht="14.25" customHeight="1" outlineLevel="1">
      <c r="I380" s="3">
        <f>F380*H380</f>
        <v>0</v>
      </c>
    </row>
    <row r="381" ht="14.25" customHeight="1" outlineLevel="1">
      <c r="I381" s="3">
        <f>F381*H381</f>
        <v>0</v>
      </c>
    </row>
    <row r="382" ht="14.25" customHeight="1" outlineLevel="1">
      <c r="I382" s="3">
        <f>F382*H382</f>
        <v>0</v>
      </c>
    </row>
    <row r="383" ht="14.25" customHeight="1" outlineLevel="1">
      <c r="I383" s="3">
        <f>F383*H383</f>
        <v>0</v>
      </c>
    </row>
    <row r="384" ht="14.25" customHeight="1" outlineLevel="1"/>
    <row r="385" ht="14.25" customHeight="1" outlineLevel="1">
      <c r="G385" t="str">
        <v>Subtotal</v>
      </c>
      <c r="I385" s="3">
        <f>SUM(I367:I384)</f>
        <v>0</v>
      </c>
    </row>
    <row r="386" ht="14.25" customHeight="1" outlineLevel="1">
      <c r="G386" t="str">
        <v>Escalation</v>
      </c>
      <c r="H386" s="5">
        <v>0</v>
      </c>
      <c r="I386" s="3">
        <f>H386*I385</f>
        <v>0</v>
      </c>
    </row>
    <row r="387" ht="14.25" customHeight="1">
      <c r="A387" t="str">
        <v>Material and Personnel Hoisting</v>
      </c>
      <c r="G387" t="str">
        <v>Total</v>
      </c>
      <c r="I387" s="3">
        <f>SUM(I385:I386)</f>
        <v>0</v>
      </c>
    </row>
    <row r="388" ht="14.25" customHeight="1"/>
    <row r="389" ht="14.25" customHeight="1">
      <c r="A389" t="str">
        <v>Engineering, testing, Inspection</v>
      </c>
    </row>
    <row r="390" ht="14.25" customHeight="1" outlineLevel="1">
      <c r="A390" t="str">
        <v>Cost Code</v>
      </c>
      <c r="B390" t="str">
        <v>Description</v>
      </c>
      <c r="F390" t="str">
        <v>Quantity</v>
      </c>
      <c r="G390" t="str">
        <v>Unit</v>
      </c>
      <c r="H390" t="str">
        <v>Rate</v>
      </c>
      <c r="I390" t="str">
        <v>Total</v>
      </c>
      <c r="J390" t="str">
        <v>Notes</v>
      </c>
    </row>
    <row r="391" ht="14.25" customHeight="1" outlineLevel="1">
      <c r="A391" t="str">
        <v>01-700</v>
      </c>
      <c r="B391" t="str">
        <v>Testing (Concrete)</v>
      </c>
      <c r="F391" s="2">
        <v>0</v>
      </c>
      <c r="G391" t="str">
        <v>CY</v>
      </c>
      <c r="H391" s="4">
        <v>0</v>
      </c>
      <c r="I391" s="3">
        <f>F391*H391</f>
        <v>0</v>
      </c>
      <c r="J391" t="str">
        <v>By Owner</v>
      </c>
    </row>
    <row r="392" ht="14.25" customHeight="1" outlineLevel="1">
      <c r="A392" t="str">
        <v>01-705</v>
      </c>
      <c r="B392" t="str">
        <v>Testing (Structural Steel)</v>
      </c>
      <c r="F392" s="2">
        <v>0</v>
      </c>
      <c r="G392" t="str">
        <v>Tons</v>
      </c>
      <c r="H392" s="4">
        <v>0</v>
      </c>
      <c r="I392" s="3">
        <f>F392*H392</f>
        <v>0</v>
      </c>
      <c r="J392" t="str">
        <v>By Owner</v>
      </c>
    </row>
    <row r="393" ht="14.25" customHeight="1" outlineLevel="1">
      <c r="A393" t="str">
        <v>01-710</v>
      </c>
      <c r="B393" t="str">
        <v>Testing (Soil)</v>
      </c>
      <c r="F393" s="2">
        <v>0</v>
      </c>
      <c r="G393" t="str">
        <v>Lump Sum</v>
      </c>
      <c r="H393" s="3">
        <v>0</v>
      </c>
      <c r="I393" s="3">
        <f>F393*H393</f>
        <v>0</v>
      </c>
      <c r="J393" t="str">
        <v>By Owner</v>
      </c>
    </row>
    <row r="394" ht="14.25" customHeight="1" outlineLevel="1">
      <c r="A394" t="str">
        <v>01-715</v>
      </c>
      <c r="B394" t="str">
        <v>Test Borings</v>
      </c>
      <c r="F394" s="2">
        <v>0</v>
      </c>
      <c r="G394" t="str">
        <v>Each</v>
      </c>
      <c r="H394" s="3">
        <v>0</v>
      </c>
      <c r="I394" s="3">
        <f>F394*H394</f>
        <v>0</v>
      </c>
      <c r="J394" t="str">
        <v>By Owner</v>
      </c>
    </row>
    <row r="395" ht="14.25" customHeight="1" outlineLevel="1">
      <c r="A395" t="str">
        <v>01-720</v>
      </c>
      <c r="B395" t="str">
        <v>Testing (Roofing)</v>
      </c>
      <c r="F395" s="2">
        <v>0</v>
      </c>
      <c r="G395" t="str">
        <v>Lump Sum</v>
      </c>
      <c r="H395" s="4">
        <v>0</v>
      </c>
      <c r="I395" s="3">
        <f>F395*H395</f>
        <v>0</v>
      </c>
      <c r="J395" t="str">
        <v>By Owner</v>
      </c>
    </row>
    <row r="396" ht="14.25" customHeight="1" outlineLevel="1">
      <c r="A396" t="str">
        <v>01-721</v>
      </c>
      <c r="B396" t="str">
        <v>Testing (Other)</v>
      </c>
      <c r="F396" s="2">
        <v>0</v>
      </c>
      <c r="G396" t="str">
        <v>Lump Sum</v>
      </c>
      <c r="H396" s="4">
        <v>25000</v>
      </c>
      <c r="I396" s="3">
        <f>F396*H396</f>
        <v>0</v>
      </c>
      <c r="J396" t="str">
        <v>Allowance Per RFP</v>
      </c>
    </row>
    <row r="397" ht="14.25" customHeight="1" outlineLevel="1">
      <c r="A397" t="str">
        <v>01-725</v>
      </c>
      <c r="B397" t="str">
        <v>Engineers Layout</v>
      </c>
      <c r="F397" s="2">
        <v>0</v>
      </c>
      <c r="G397" t="str">
        <v>Crew D.</v>
      </c>
      <c r="H397" s="4">
        <v>1200</v>
      </c>
      <c r="I397" s="3">
        <f>F397*H397</f>
        <v>0</v>
      </c>
    </row>
    <row r="398" ht="14.25" customHeight="1" outlineLevel="1">
      <c r="A398" t="str">
        <v>01-730</v>
      </c>
      <c r="B398" t="str">
        <v>Site Survey</v>
      </c>
      <c r="F398" s="2">
        <v>0</v>
      </c>
      <c r="G398" t="str">
        <v>Crew D.</v>
      </c>
      <c r="H398" s="3">
        <v>1500</v>
      </c>
      <c r="I398" s="3">
        <f>F398*H398</f>
        <v>0</v>
      </c>
    </row>
    <row r="399" ht="14.25" customHeight="1" outlineLevel="1">
      <c r="A399" t="str">
        <v>01-731</v>
      </c>
      <c r="B399" t="str">
        <v>Interior or Trade Layout</v>
      </c>
      <c r="F399" s="2">
        <v>0</v>
      </c>
      <c r="G399" t="str">
        <v>Weeks</v>
      </c>
      <c r="H399" s="3">
        <v>2100</v>
      </c>
      <c r="I399" s="3">
        <f>F399*H399</f>
        <v>0</v>
      </c>
      <c r="J399" t="str">
        <v>W/Trades</v>
      </c>
    </row>
    <row r="400" ht="14.25" customHeight="1" outlineLevel="1">
      <c r="A400" t="str">
        <v>01-735</v>
      </c>
      <c r="B400" t="str">
        <v>Geotechnical Consultant</v>
      </c>
      <c r="F400" s="2">
        <v>0</v>
      </c>
      <c r="G400" t="str">
        <v>Lump Sum</v>
      </c>
      <c r="H400" s="4">
        <v>0</v>
      </c>
      <c r="I400" s="3">
        <f>F400*H400</f>
        <v>0</v>
      </c>
    </row>
    <row r="401" ht="14.25" customHeight="1" outlineLevel="1">
      <c r="I401" s="3">
        <f>F401*H401</f>
        <v>0</v>
      </c>
    </row>
    <row r="402" ht="14.25" customHeight="1" outlineLevel="1">
      <c r="I402" s="3">
        <f>F402*H402</f>
        <v>0</v>
      </c>
    </row>
    <row r="403" ht="14.25" customHeight="1" outlineLevel="1">
      <c r="I403" s="3">
        <f>F403*H403</f>
        <v>0</v>
      </c>
    </row>
    <row r="404" ht="14.25" customHeight="1" outlineLevel="1">
      <c r="I404" s="3">
        <f>F404*H404</f>
        <v>0</v>
      </c>
    </row>
    <row r="405" ht="14.25" customHeight="1" outlineLevel="1">
      <c r="I405" s="3">
        <f>F405*H405</f>
        <v>0</v>
      </c>
    </row>
    <row r="406" ht="14.25" customHeight="1" outlineLevel="1">
      <c r="I406" s="3">
        <f>F406*H406</f>
        <v>0</v>
      </c>
    </row>
    <row r="407" ht="14.25" customHeight="1" outlineLevel="1"/>
    <row r="408" ht="14.25" customHeight="1" outlineLevel="1">
      <c r="G408" t="str">
        <v>Subtotal</v>
      </c>
      <c r="I408" s="3">
        <f>SUM(I390:I407)</f>
        <v>0</v>
      </c>
    </row>
    <row r="409" ht="14.25" customHeight="1" outlineLevel="1">
      <c r="G409" t="str">
        <v>Escalation</v>
      </c>
      <c r="H409" s="5">
        <v>0</v>
      </c>
      <c r="I409" s="3">
        <f>H409*I408</f>
        <v>0</v>
      </c>
    </row>
    <row r="410" ht="14.25" customHeight="1">
      <c r="A410" t="str">
        <v>Engineering, testing, Inspection</v>
      </c>
      <c r="G410" t="str">
        <v>Total</v>
      </c>
      <c r="I410" s="3">
        <f>SUM(I408:I409)</f>
        <v>0</v>
      </c>
    </row>
    <row r="411" ht="14.25" customHeight="1"/>
    <row r="412" ht="14.25" customHeight="1">
      <c r="A412" t="str">
        <v>Miscellaneous Provsions</v>
      </c>
    </row>
    <row r="413" ht="14.25" customHeight="1" outlineLevel="1">
      <c r="A413" t="str">
        <v>Cost Code</v>
      </c>
      <c r="B413" t="str">
        <v>Description</v>
      </c>
      <c r="F413" t="str">
        <v>Quantity</v>
      </c>
      <c r="G413" t="str">
        <v>Unit</v>
      </c>
      <c r="H413" t="str">
        <v>Rate</v>
      </c>
      <c r="I413" t="str">
        <v>Total</v>
      </c>
      <c r="J413" t="str">
        <v>Notes</v>
      </c>
    </row>
    <row r="414" ht="14.25" customHeight="1" outlineLevel="1">
      <c r="A414" t="str">
        <v>01-745</v>
      </c>
      <c r="B414" t="str">
        <v>Progress Photos</v>
      </c>
      <c r="F414" s="2">
        <v>0</v>
      </c>
      <c r="G414" t="str">
        <v>Months</v>
      </c>
      <c r="H414" s="4">
        <v>100</v>
      </c>
      <c r="I414" s="3">
        <f>F414*H414</f>
        <v>0</v>
      </c>
    </row>
    <row r="415" ht="14.25" customHeight="1" outlineLevel="1">
      <c r="A415" t="str">
        <v>01-746</v>
      </c>
      <c r="B415" t="str">
        <v>Digital Cameras</v>
      </c>
      <c r="F415" s="2">
        <v>0</v>
      </c>
      <c r="G415" t="str">
        <v>Each</v>
      </c>
      <c r="H415" s="4">
        <v>750</v>
      </c>
      <c r="I415" s="3">
        <f>F415*H415</f>
        <v>0</v>
      </c>
    </row>
    <row r="416" ht="14.25" customHeight="1" outlineLevel="1">
      <c r="A416" t="str">
        <v>01-750</v>
      </c>
      <c r="B416" t="str">
        <v>Security Service</v>
      </c>
      <c r="F416" s="2">
        <v>0</v>
      </c>
      <c r="G416" t="str">
        <v>Weeks</v>
      </c>
      <c r="H416" s="3">
        <v>0</v>
      </c>
      <c r="I416" s="3">
        <f>F416*H416</f>
        <v>0</v>
      </c>
    </row>
    <row r="417" ht="14.25" customHeight="1" outlineLevel="1">
      <c r="A417" t="str">
        <v>01-751</v>
      </c>
      <c r="B417" t="str">
        <v>I.D. Badges/Personnel Control</v>
      </c>
      <c r="F417" s="2">
        <v>0</v>
      </c>
      <c r="G417" t="str">
        <v>Ls</v>
      </c>
      <c r="H417" s="3">
        <v>0</v>
      </c>
      <c r="I417" s="3">
        <f>F417*H417</f>
        <v>0</v>
      </c>
    </row>
    <row r="418" ht="14.25" customHeight="1" outlineLevel="1">
      <c r="A418" t="str">
        <v>01-752</v>
      </c>
      <c r="B418" t="str">
        <v>Temporary Parking</v>
      </c>
      <c r="F418" s="2">
        <v>0</v>
      </c>
      <c r="G418" t="str">
        <v>Ls</v>
      </c>
      <c r="H418" s="4">
        <v>0</v>
      </c>
      <c r="I418" s="3">
        <f>F418*H418</f>
        <v>0</v>
      </c>
    </row>
    <row r="419" ht="14.25" customHeight="1" outlineLevel="1">
      <c r="A419" t="str">
        <v>01-753</v>
      </c>
      <c r="B419" t="str">
        <v>Shuttle Service</v>
      </c>
      <c r="F419" s="2">
        <v>0</v>
      </c>
      <c r="G419" t="str">
        <v>Ls</v>
      </c>
      <c r="H419" s="4">
        <v>0</v>
      </c>
      <c r="I419" s="3">
        <f>F419*H419</f>
        <v>0</v>
      </c>
    </row>
    <row r="420" ht="14.25" customHeight="1" outlineLevel="1">
      <c r="A420" t="str">
        <v>01-754</v>
      </c>
      <c r="B420" t="str">
        <v>Substance Testing/Control</v>
      </c>
      <c r="F420" s="2">
        <v>0</v>
      </c>
      <c r="G420" t="str">
        <v>Ls</v>
      </c>
      <c r="H420" s="4">
        <v>0</v>
      </c>
      <c r="I420" s="3">
        <f>F420*H420</f>
        <v>0</v>
      </c>
    </row>
    <row r="421" ht="14.25" customHeight="1" outlineLevel="1">
      <c r="A421" t="str">
        <v>01-755</v>
      </c>
      <c r="B421" t="str">
        <v>Project Sign</v>
      </c>
      <c r="F421" s="2">
        <v>0</v>
      </c>
      <c r="G421" t="str">
        <v>ls</v>
      </c>
      <c r="H421" s="3">
        <v>3500</v>
      </c>
      <c r="I421" s="3">
        <f>F421*H421</f>
        <v>0</v>
      </c>
    </row>
    <row r="422" ht="14.25" customHeight="1" outlineLevel="1">
      <c r="A422" t="str">
        <v>01-760</v>
      </c>
      <c r="B422" t="str">
        <v>Directional Signs</v>
      </c>
      <c r="F422" s="2">
        <v>0</v>
      </c>
      <c r="G422" t="str">
        <v>Each</v>
      </c>
      <c r="H422" s="3">
        <v>200</v>
      </c>
      <c r="I422" s="3">
        <f>F422*H422</f>
        <v>0</v>
      </c>
    </row>
    <row r="423" ht="14.25" customHeight="1" outlineLevel="1">
      <c r="A423" t="str">
        <v>01-765</v>
      </c>
      <c r="B423" t="str">
        <v>As-Built Drawings</v>
      </c>
      <c r="F423" s="2">
        <v>0</v>
      </c>
      <c r="G423" t="str">
        <v>Ls</v>
      </c>
      <c r="H423" s="4">
        <v>2500</v>
      </c>
      <c r="I423" s="3">
        <f>F423*H423</f>
        <v>0</v>
      </c>
    </row>
    <row r="424" ht="14.25" customHeight="1" outlineLevel="1">
      <c r="A424" t="str">
        <v>01-770</v>
      </c>
      <c r="B424" t="str">
        <v>Consultant Fees</v>
      </c>
      <c r="F424" s="2">
        <v>0</v>
      </c>
      <c r="G424" t="str">
        <v>Ls</v>
      </c>
      <c r="H424" s="4">
        <v>0</v>
      </c>
      <c r="I424" s="3">
        <f>F424*H424</f>
        <v>0</v>
      </c>
    </row>
    <row r="425" ht="14.25" customHeight="1" outlineLevel="1">
      <c r="A425" t="str">
        <v>01-775</v>
      </c>
      <c r="B425" t="str">
        <v>Legal Fees</v>
      </c>
      <c r="F425" s="2">
        <v>0</v>
      </c>
      <c r="G425" t="str">
        <v>Ls</v>
      </c>
      <c r="H425" s="4">
        <v>0</v>
      </c>
      <c r="I425" s="3">
        <f>F425*H425</f>
        <v>0</v>
      </c>
    </row>
    <row r="426" ht="14.25" customHeight="1" outlineLevel="1">
      <c r="I426" s="3">
        <f>F426*H426</f>
        <v>0</v>
      </c>
    </row>
    <row r="427" ht="14.25" customHeight="1" outlineLevel="1">
      <c r="I427" s="3">
        <f>F427*H427</f>
        <v>0</v>
      </c>
    </row>
    <row r="428" ht="14.25" customHeight="1" outlineLevel="1">
      <c r="I428" s="3">
        <f>F428*H428</f>
        <v>0</v>
      </c>
    </row>
    <row r="429" ht="14.25" customHeight="1" outlineLevel="1">
      <c r="I429" s="3">
        <f>F429*H429</f>
        <v>0</v>
      </c>
    </row>
    <row r="430" ht="14.25" customHeight="1" outlineLevel="1"/>
    <row r="431" ht="14.25" customHeight="1" outlineLevel="1">
      <c r="G431" t="str">
        <v>Subtotal</v>
      </c>
      <c r="I431" s="3">
        <f>SUM(I413:I430)</f>
        <v>0</v>
      </c>
    </row>
    <row r="432" ht="14.25" customHeight="1" outlineLevel="1">
      <c r="G432" t="str">
        <v>Escalation</v>
      </c>
      <c r="H432" s="5">
        <v>0</v>
      </c>
      <c r="I432" s="3">
        <f>H432*I431</f>
        <v>0</v>
      </c>
    </row>
    <row r="433" ht="14.25" customHeight="1">
      <c r="A433" t="str">
        <v>Miscellaneous Provsions</v>
      </c>
      <c r="G433" t="str">
        <v>Total</v>
      </c>
      <c r="I433" s="3">
        <f>SUM(I431:I432)</f>
        <v>0</v>
      </c>
    </row>
    <row r="434" ht="14.25" customHeight="1"/>
    <row r="435" ht="14.25" customHeight="1">
      <c r="A435" t="str">
        <v>Insurance, Taxes, Permit</v>
      </c>
    </row>
    <row r="436" ht="14.25" customHeight="1" outlineLevel="1">
      <c r="A436" t="str">
        <v>Cost Code</v>
      </c>
      <c r="B436" t="str">
        <v>Description</v>
      </c>
      <c r="F436" t="str">
        <v>Quantity</v>
      </c>
      <c r="G436" t="str">
        <v>Unit</v>
      </c>
      <c r="H436" t="str">
        <v>Rate</v>
      </c>
      <c r="I436" t="str">
        <v>Total</v>
      </c>
      <c r="J436" t="str">
        <v>Notes</v>
      </c>
    </row>
    <row r="437" ht="14.25" customHeight="1" outlineLevel="1">
      <c r="A437" t="str">
        <v>01-800</v>
      </c>
      <c r="B437" t="str">
        <v>Liability Insurance</v>
      </c>
      <c r="F437" s="2">
        <v>0</v>
      </c>
      <c r="G437" t="str">
        <v>MM$</v>
      </c>
      <c r="H437" s="4">
        <v>7200</v>
      </c>
      <c r="I437" s="3">
        <f>F437*H437</f>
        <v>0</v>
      </c>
      <c r="J437" t="str">
        <v>See Summary</v>
      </c>
    </row>
    <row r="438" ht="14.25" customHeight="1" outlineLevel="1">
      <c r="A438" t="str">
        <v>01-805</v>
      </c>
      <c r="B438" t="str">
        <v>Phila. Gross Receipts Tax</v>
      </c>
      <c r="F438" s="2">
        <v>0</v>
      </c>
      <c r="G438" t="str">
        <v>MM$</v>
      </c>
      <c r="H438" s="4">
        <v>2875</v>
      </c>
      <c r="I438" s="3">
        <f>F438*H438</f>
        <v>0</v>
      </c>
      <c r="J438" t="str">
        <v>See Summary</v>
      </c>
    </row>
    <row r="439" ht="14.25" customHeight="1" outlineLevel="1">
      <c r="A439" t="str">
        <v>01-810</v>
      </c>
      <c r="B439" t="str">
        <v>Township Tax</v>
      </c>
      <c r="F439" s="2">
        <v>0</v>
      </c>
      <c r="G439" t="str">
        <v>Lump Sum</v>
      </c>
      <c r="H439" s="3">
        <v>0</v>
      </c>
      <c r="I439" s="3">
        <f>F439*H439</f>
        <v>0</v>
      </c>
    </row>
    <row r="440" ht="14.25" customHeight="1" outlineLevel="1">
      <c r="A440" t="str">
        <v>01-815</v>
      </c>
      <c r="B440" t="str">
        <v>State\County Tax</v>
      </c>
      <c r="F440" s="2">
        <v>0</v>
      </c>
      <c r="G440" t="str">
        <v>Lump Sum</v>
      </c>
      <c r="H440" s="3">
        <v>0</v>
      </c>
      <c r="I440" s="3">
        <f>F440*H440</f>
        <v>0</v>
      </c>
    </row>
    <row r="441" ht="14.25" customHeight="1" outlineLevel="1">
      <c r="A441" t="str">
        <v>01-820</v>
      </c>
      <c r="B441" t="str">
        <v>Builders Risk Insurance</v>
      </c>
      <c r="F441" s="2">
        <v>0</v>
      </c>
      <c r="G441" t="str">
        <v>Lump Sum</v>
      </c>
      <c r="H441" s="4">
        <v>0</v>
      </c>
      <c r="I441" s="3">
        <f>F441*H441</f>
        <v>0</v>
      </c>
    </row>
    <row r="442" ht="14.25" customHeight="1" outlineLevel="1">
      <c r="A442" t="str">
        <v>01-825</v>
      </c>
      <c r="B442" t="str">
        <v>Insurances (Other)</v>
      </c>
      <c r="F442" s="2">
        <v>0</v>
      </c>
      <c r="G442" t="str">
        <v>Lump Sum</v>
      </c>
      <c r="H442" s="4">
        <v>0</v>
      </c>
      <c r="I442" s="3">
        <f>F442*H442</f>
        <v>0</v>
      </c>
    </row>
    <row r="443" ht="14.25" customHeight="1" outlineLevel="1">
      <c r="A443" t="str">
        <v>01-830</v>
      </c>
      <c r="B443" t="str">
        <v>Zoning Application Fee</v>
      </c>
      <c r="F443" s="2">
        <v>0</v>
      </c>
      <c r="G443" t="str">
        <v>Lump Sum</v>
      </c>
      <c r="H443" s="4">
        <v>125</v>
      </c>
      <c r="I443" s="3">
        <f>F443*H443</f>
        <v>0</v>
      </c>
    </row>
    <row r="444" ht="14.25" customHeight="1" outlineLevel="1">
      <c r="A444" t="str">
        <v>01-835</v>
      </c>
      <c r="B444" t="str">
        <v>Building Permit Application Fee</v>
      </c>
      <c r="F444" s="2">
        <v>0</v>
      </c>
      <c r="G444" t="str">
        <v>Lump Sum</v>
      </c>
      <c r="H444" s="3">
        <v>50</v>
      </c>
      <c r="I444" s="3">
        <f>F444*H444</f>
        <v>0</v>
      </c>
    </row>
    <row r="445" ht="14.25" customHeight="1" outlineLevel="1">
      <c r="A445" t="str">
        <v>01-835</v>
      </c>
      <c r="B445" t="str">
        <v>Building Permit</v>
      </c>
      <c r="F445" s="2">
        <v>0</v>
      </c>
      <c r="G445" t="str">
        <v>Const.$</v>
      </c>
      <c r="H445" s="3">
        <v>0</v>
      </c>
      <c r="I445" s="3">
        <f>F445*H445</f>
        <v>0</v>
      </c>
      <c r="J445" t="str">
        <v>See Summary</v>
      </c>
    </row>
    <row r="446" ht="14.25" customHeight="1" outlineLevel="1">
      <c r="A446" t="str">
        <v>01-845</v>
      </c>
      <c r="B446" t="str">
        <v>Contractors License Fee</v>
      </c>
      <c r="F446" s="2">
        <v>0</v>
      </c>
      <c r="G446" t="str">
        <v>Lump Sum</v>
      </c>
      <c r="H446" s="4">
        <v>0</v>
      </c>
      <c r="I446" s="3">
        <f>F446*H446</f>
        <v>0</v>
      </c>
    </row>
    <row r="447" ht="14.25" customHeight="1" outlineLevel="1">
      <c r="A447" t="str">
        <v>01-850</v>
      </c>
      <c r="B447" t="str">
        <v>Prothonotary</v>
      </c>
      <c r="F447" s="2">
        <v>0</v>
      </c>
      <c r="G447" t="str">
        <v>Lump Sum</v>
      </c>
      <c r="H447" s="4">
        <v>0</v>
      </c>
      <c r="I447" s="3">
        <f>F447*H447</f>
        <v>0</v>
      </c>
    </row>
    <row r="448" ht="14.25" customHeight="1" outlineLevel="1">
      <c r="A448" t="str">
        <v>01-860</v>
      </c>
      <c r="B448" t="str">
        <v>Performance &amp; Payment Bonds</v>
      </c>
      <c r="F448" s="2">
        <v>0</v>
      </c>
      <c r="G448" t="str">
        <v>Lump Sum</v>
      </c>
      <c r="H448" s="4">
        <v>0</v>
      </c>
      <c r="I448" s="3">
        <f>F448*H448</f>
        <v>0</v>
      </c>
    </row>
    <row r="449" ht="14.25" customHeight="1" outlineLevel="1">
      <c r="I449" s="3">
        <f>F449*H449</f>
        <v>0</v>
      </c>
    </row>
    <row r="450" ht="14.25" customHeight="1" outlineLevel="1">
      <c r="I450" s="3">
        <f>F450*H450</f>
        <v>0</v>
      </c>
    </row>
    <row r="451" ht="14.25" customHeight="1" outlineLevel="1">
      <c r="I451" s="3">
        <f>F451*H451</f>
        <v>0</v>
      </c>
    </row>
    <row r="452" ht="14.25" customHeight="1" outlineLevel="1">
      <c r="I452" s="3">
        <f>F452*H452</f>
        <v>0</v>
      </c>
    </row>
    <row r="453" ht="14.25" customHeight="1" outlineLevel="1"/>
    <row r="454" ht="14.25" customHeight="1" outlineLevel="1">
      <c r="G454" t="str">
        <v>Subtotal</v>
      </c>
      <c r="I454" s="3">
        <f>SUM(I436:I453)</f>
        <v>0</v>
      </c>
    </row>
    <row r="455" ht="14.25" customHeight="1" outlineLevel="1">
      <c r="G455" t="str">
        <v>Escalation</v>
      </c>
      <c r="H455" s="5">
        <v>0</v>
      </c>
      <c r="I455" s="3">
        <f>H455*I454</f>
        <v>0</v>
      </c>
    </row>
    <row r="456" ht="14.25" customHeight="1">
      <c r="A456" t="str">
        <v>Insurance, Taxes, Permit</v>
      </c>
      <c r="G456" t="str">
        <v>Total</v>
      </c>
      <c r="I456" s="3">
        <f>SUM(I454:I455)</f>
        <v>0</v>
      </c>
    </row>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G26:H26"/>
    <mergeCell ref="G67:H67"/>
  </mergeCells>
  <hyperlinks>
    <hyperlink ref="F1" location="'Bid Sheet'!A1"/>
  </hyperlinks>
  <pageMargins left="0.7" right="0.7" top="0.75" bottom="0.75" header="0" footer="0"/>
  <ignoredErrors>
    <ignoredError numberStoredAsText="1" sqref="A1:J100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11.14"/>
    <col min="2" max="2" customWidth="1" width="17"/>
    <col min="3" max="3" customWidth="1" width="17.14"/>
    <col min="4" max="4" customWidth="1" width="14.14"/>
    <col min="5" max="5" customWidth="1" width="69"/>
    <col min="6" max="6" customWidth="1" width="9.43"/>
    <col min="7" max="7" customWidth="1" width="13.14"/>
    <col min="8" max="8" customWidth="1" width="13"/>
    <col min="9" max="9" customWidth="1" width="13"/>
    <col min="10" max="10" customWidth="1" width="13.57"/>
    <col min="11" max="11" customWidth="1" width="13.57"/>
    <col min="12" max="12" customWidth="1" width="8.71"/>
    <col min="13" max="13" customWidth="1" width="12"/>
    <col min="14" max="14" customWidth="1" width="8.71"/>
    <col min="15" max="15" customWidth="1" width="8.71"/>
    <col min="16" max="16" customWidth="1" width="8.71"/>
    <col min="17" max="17" customWidth="1" width="8.71"/>
    <col min="18" max="18" customWidth="1" width="8.71"/>
    <col min="19" max="19" customWidth="1" width="8.71"/>
    <col min="20" max="20" customWidth="1" width="8.71"/>
    <col min="21" max="21" customWidth="1" width="8.71"/>
    <col min="22" max="22" customWidth="1" width="8.71"/>
    <col min="23" max="23" customWidth="1" width="8.71"/>
    <col min="24" max="24" customWidth="1" width="8.71"/>
    <col min="25" max="25" customWidth="1" width="8.71"/>
    <col min="26" max="26" customWidth="1" width="8.71"/>
  </cols>
  <sheetData>
    <row r="1" ht="14.25" customHeight="1" xml:space="preserve">
      <c r="A1" t="str">
        <v>Item No.</v>
      </c>
      <c r="B1" t="str">
        <v>Dwg Reference</v>
      </c>
      <c r="C1" t="str">
        <v>Spec Reference</v>
      </c>
      <c r="D1" t="str">
        <v>Discipline</v>
      </c>
      <c r="E1" t="str">
        <v>Scope Issue</v>
      </c>
      <c r="F1" t="str">
        <v>Trade</v>
      </c>
      <c r="G1" s="4" t="str">
        <v>Allowance</v>
      </c>
      <c r="H1" t="str" xml:space="preserve">
        <v xml:space="preserve">confirmed
in budget?</v>
      </c>
      <c r="I1" t="str">
        <v>Column1</v>
      </c>
      <c r="J1" t="str">
        <v>Scope With</v>
      </c>
      <c r="K1" t="str" xml:space="preserve">
        <v xml:space="preserve">Confirm
In Scope</v>
      </c>
      <c r="L1" t="str">
        <v>RFI</v>
      </c>
      <c r="M1" t="str">
        <v>Comments</v>
      </c>
    </row>
    <row r="2" ht="14.25" customHeight="1">
      <c r="A2">
        <v>1</v>
      </c>
      <c r="B2" t="str">
        <v>L1.1/L1.5</v>
      </c>
      <c r="D2" t="str">
        <v xml:space="preserve">Steel and Concrete </v>
      </c>
      <c r="E2" t="str">
        <v xml:space="preserve">PV Canopies and concrete foundations to be  by concrete and not site concrete - VJ </v>
      </c>
      <c r="F2" t="str">
        <v>DIV03</v>
      </c>
    </row>
    <row r="3" ht="14.25" customHeight="1">
      <c r="A3">
        <v>2</v>
      </c>
      <c r="B3" t="str">
        <v>L1.1/S602/S603</v>
      </c>
      <c r="D3" t="str">
        <v xml:space="preserve">Concrete </v>
      </c>
      <c r="E3" t="str">
        <v xml:space="preserve">Reatining walls for bio retention and foundation for pool equipment by Concrete and not site concrete - VJ </v>
      </c>
      <c r="F3" t="str">
        <v>DIV03</v>
      </c>
    </row>
    <row r="4" ht="14.25" customHeight="1">
      <c r="A4">
        <v>3</v>
      </c>
      <c r="B4" t="str">
        <v>L3.1</v>
      </c>
      <c r="D4" t="str">
        <v xml:space="preserve">Site Concrete </v>
      </c>
      <c r="E4" t="str">
        <v>site concrete to carry all small foundations for items like flagpole, fencing, bike racks, benches, bollards etc.</v>
      </c>
      <c r="F4" t="str">
        <v>DIV32</v>
      </c>
    </row>
    <row r="5" ht="14.25" customHeight="1">
      <c r="A5">
        <v>4</v>
      </c>
      <c r="B5" t="str">
        <v>L1.3</v>
      </c>
      <c r="D5" t="str">
        <v>Fencing</v>
      </c>
      <c r="E5" t="str">
        <v>Relocation of batting cage with fencing</v>
      </c>
      <c r="F5" t="str">
        <v>DIV32</v>
      </c>
    </row>
    <row r="6" ht="14.25" customHeight="1">
      <c r="A6">
        <v>5</v>
      </c>
      <c r="B6" t="str">
        <v>A1.0</v>
      </c>
      <c r="D6" t="str">
        <v>SS</v>
      </c>
      <c r="E6" t="str">
        <v>See Mock-up - include kickers for mockup</v>
      </c>
      <c r="F6" t="str">
        <v>DIV05</v>
      </c>
    </row>
    <row r="7" ht="14.25" customHeight="1">
      <c r="A7">
        <v>6</v>
      </c>
      <c r="B7" t="str">
        <v>11/A9.1</v>
      </c>
      <c r="D7" t="str">
        <v>SS&amp;MM</v>
      </c>
      <c r="E7" t="str">
        <v>See lintel under Storefront (typ) - see 1/A9.1 and for mockup as well</v>
      </c>
      <c r="F7" t="str">
        <v>DIV05</v>
      </c>
    </row>
    <row r="8" ht="14.25" customHeight="1">
      <c r="A8">
        <v>7</v>
      </c>
      <c r="B8" t="str">
        <v>A13.1</v>
      </c>
      <c r="D8" t="str">
        <v>Athletic Equip</v>
      </c>
      <c r="E8" t="str">
        <v>All Fitness equipment to be with Athletic Equipment</v>
      </c>
      <c r="F8" t="str">
        <v>DIV11</v>
      </c>
    </row>
    <row r="9" ht="14.25" customHeight="1">
      <c r="A9">
        <v>8</v>
      </c>
      <c r="B9" t="str">
        <v>1/A.10</v>
      </c>
      <c r="D9" t="str">
        <v xml:space="preserve">Site Concrete </v>
      </c>
      <c r="E9" t="str">
        <v xml:space="preserve">Mock-up slab </v>
      </c>
      <c r="F9" t="str">
        <v>DIV32</v>
      </c>
    </row>
    <row r="10" ht="14.25" customHeight="1">
      <c r="A10">
        <v>9</v>
      </c>
      <c r="B10" t="str">
        <v>A6.1/A1.1</v>
      </c>
      <c r="D10" t="str">
        <v xml:space="preserve">Concrete </v>
      </c>
      <c r="E10" t="str">
        <v>Geo vault concrete and waterproofing on interior side by WP. Also, waterproofing on interior side of foundation as shown on A6.1 By WP</v>
      </c>
      <c r="F10" t="str">
        <v>DIV03</v>
      </c>
    </row>
    <row r="11" ht="14.25" customHeight="1">
      <c r="A11">
        <v>10</v>
      </c>
      <c r="B11" t="str">
        <v>3/A6.2</v>
      </c>
      <c r="D11" t="str">
        <v xml:space="preserve">Concrete </v>
      </c>
      <c r="E11" t="str">
        <v xml:space="preserve">Vapor barrier below S.O.G </v>
      </c>
      <c r="F11" t="str">
        <v xml:space="preserve">DIV03 </v>
      </c>
    </row>
    <row r="12" ht="14.25" customHeight="1">
      <c r="A12">
        <v>11</v>
      </c>
      <c r="B12" t="str">
        <v>A6.3</v>
      </c>
      <c r="D12" t="str">
        <v>Solar racks misc met</v>
      </c>
      <c r="E12" t="str">
        <v>Solar racks on rooftop by owner. Get an add alternate pricing for them please including connection to roof deck</v>
      </c>
      <c r="F12" t="str">
        <v>DIV05</v>
      </c>
    </row>
    <row r="13" ht="14.25" customHeight="1">
      <c r="A13">
        <v>12</v>
      </c>
      <c r="B13" t="str">
        <v>3/A4.1</v>
      </c>
      <c r="D13" t="str">
        <v>Brick/Drywall</v>
      </c>
      <c r="E13" t="str">
        <v>Control joints for brick and inside at drywall expansion joints as needed</v>
      </c>
      <c r="F13" t="str">
        <v>DIV04</v>
      </c>
    </row>
    <row r="14" ht="14.25" customHeight="1">
      <c r="A14">
        <v>13</v>
      </c>
      <c r="B14" t="str">
        <v>3/A6.1</v>
      </c>
      <c r="D14" t="str">
        <v>Waterproofing</v>
      </c>
      <c r="E14" t="str">
        <v>Waterproofing at interior side of foundation by waterproofing - coordinate with concrete for formwork.</v>
      </c>
      <c r="F14" t="str">
        <v>DIV07</v>
      </c>
    </row>
    <row r="15" ht="14.25" customHeight="1">
      <c r="A15">
        <v>14</v>
      </c>
      <c r="B15" t="str">
        <v>3/A6.1</v>
      </c>
      <c r="D15" t="str">
        <v>Waterproofing</v>
      </c>
      <c r="E15" t="str">
        <v>Waterproofing at geothermal vault on exterior side by wp - look into doing cyrtalline waterproofing on interior side as a value engineering option</v>
      </c>
      <c r="F15" t="str">
        <v>DIV07</v>
      </c>
    </row>
    <row r="16" ht="14.25" customHeight="1">
      <c r="A16">
        <v>15</v>
      </c>
      <c r="B16" t="str">
        <v>Electrical</v>
      </c>
      <c r="D16" t="str">
        <v xml:space="preserve">Electrical </v>
      </c>
      <c r="E16" t="str">
        <v>Primary and telecom - see old SFD and confirm that vault and all is with us</v>
      </c>
      <c r="F16" t="str">
        <v>DIV26/28</v>
      </c>
    </row>
    <row r="17" ht="14.25" customHeight="1">
      <c r="A17">
        <v>16</v>
      </c>
      <c r="B17" t="str">
        <v>4/MS101</v>
      </c>
      <c r="D17" t="str">
        <v>HVAC/Geothermal</v>
      </c>
      <c r="E17" t="str">
        <v>There is an exterior underground vault - waterpoofer needs to waterproof, misc metals needs to furnish and install manhole cover and ladder, plumbing to furnish and install sump pump</v>
      </c>
      <c r="F17" t="str">
        <v>DIV05/07</v>
      </c>
    </row>
    <row r="18" ht="14.25" customHeight="1">
      <c r="A18">
        <v>17</v>
      </c>
      <c r="B18" t="str">
        <v>1/MS101</v>
      </c>
      <c r="D18" t="str">
        <v>HVAC</v>
      </c>
      <c r="E18" t="str">
        <v>Heat tracer wire on laterals - who will be doing that</v>
      </c>
      <c r="F18" t="str">
        <v>DIV34/26</v>
      </c>
    </row>
    <row r="19" ht="14.25" customHeight="1">
      <c r="A19">
        <v>18</v>
      </c>
      <c r="B19" t="str">
        <v>4/MS101</v>
      </c>
      <c r="D19" t="str">
        <v>Geothermal</v>
      </c>
      <c r="E19" t="str">
        <v>120V sealed utility light with protective shield and 1" electrical conduiot and boxes to be provided and not wired- By electrician</v>
      </c>
      <c r="F19" t="str">
        <v>DIV26</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c r="E267" t="str">
        <v>Add above this row</v>
      </c>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ignoredErrors>
    <ignoredError numberStoredAsText="1" sqref="A1:Z1000"/>
  </ignoredErrors>
  <legacyDrawing r:id="rId1"/>
</worksheet>
</file>

<file path=xl/worksheets/sheet3.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4.43"/>
    <col min="2" max="2" customWidth="1" width="11.57"/>
    <col min="3" max="3" customWidth="1" width="27.57"/>
    <col min="4" max="4" customWidth="1" width="64.43"/>
    <col min="5" max="5" customWidth="1" width="10.14"/>
    <col min="6" max="6" customWidth="1" width="10.43"/>
    <col min="7" max="7" customWidth="1" width="55.14"/>
    <col min="8" max="8" customWidth="1" width="10.14"/>
    <col min="9" max="9" customWidth="1" width="8.71"/>
    <col min="10" max="10" customWidth="1" width="8.71"/>
    <col min="11" max="11" customWidth="1" width="8.71"/>
    <col min="12" max="12" customWidth="1" width="8.71"/>
    <col min="13" max="13" customWidth="1" width="8.71"/>
    <col min="14" max="14" customWidth="1" width="8.71"/>
    <col min="15" max="15" customWidth="1" width="8.71"/>
    <col min="16" max="16" customWidth="1" width="8.71"/>
    <col min="17" max="17" customWidth="1" width="8.71"/>
    <col min="18" max="18" customWidth="1" width="8.71"/>
    <col min="19" max="19" customWidth="1" width="8.71"/>
    <col min="20" max="20" customWidth="1" width="8.71"/>
    <col min="21" max="21" customWidth="1" width="8.71"/>
    <col min="22" max="22" customWidth="1" width="8.71"/>
    <col min="23" max="23" customWidth="1" width="8.71"/>
    <col min="24" max="24" customWidth="1" width="8.71"/>
    <col min="25" max="25" customWidth="1" width="8.71"/>
    <col min="26" max="26" customWidth="1" width="8.71"/>
  </cols>
  <sheetData>
    <row r="1" ht="14.25" customHeight="1">
      <c r="F1" t="str">
        <v>Client:</v>
      </c>
      <c r="G1" t="str">
        <f>'Bid Sheet'!C1</f>
        <v>DPR &amp; DGS</v>
      </c>
    </row>
    <row r="2" ht="14.25" customHeight="1">
      <c r="F2" t="str">
        <v>Project:</v>
      </c>
      <c r="G2" t="str">
        <f>'Bid Sheet'!C2</f>
        <v>Jelleff Recreation Center</v>
      </c>
    </row>
    <row r="3" ht="14.25" customHeight="1">
      <c r="F3" t="str">
        <v>Architect:</v>
      </c>
      <c r="G3" t="str">
        <f>'Bid Sheet'!C4</f>
        <v>DLR Group</v>
      </c>
    </row>
    <row r="4" ht="14.25" customHeight="1">
      <c r="F4" t="str">
        <v>Dist. Date/Version:</v>
      </c>
      <c r="G4" s="6">
        <v>46044</v>
      </c>
    </row>
    <row r="5" ht="14.25" customHeight="1">
      <c r="F5" t="str">
        <v>Latest Resp Date:</v>
      </c>
      <c r="G5" s="6" t="str">
        <v>mm/dd/yyyy</v>
      </c>
    </row>
    <row r="6" ht="14.25" customHeight="1"/>
    <row r="7" ht="14.25" customHeight="1" xml:space="preserve">
      <c r="B7" t="str">
        <v>RFI #</v>
      </c>
      <c r="C7" t="str">
        <v>Discipline</v>
      </c>
      <c r="D7" t="str">
        <v>Question</v>
      </c>
      <c r="E7" t="str">
        <v>Date Submited</v>
      </c>
      <c r="F7" t="str">
        <v>Subitted By</v>
      </c>
      <c r="G7" t="str">
        <v>Design Team Response</v>
      </c>
      <c r="H7" t="str" xml:space="preserve">
        <v xml:space="preserve">Reponse
Date</v>
      </c>
    </row>
    <row r="8" ht="14.25" customHeight="1">
      <c r="B8" t="str">
        <v>0001</v>
      </c>
      <c r="C8" t="str">
        <v>AL &amp; GLZ</v>
      </c>
      <c r="D8" t="str">
        <v>The curtain wall spec calls for a 4-sidded SSG curtain wall system.  BOD: Kawneer Clearwall.  However, the elevations and details indicate a 2-sided captured system.  Furthermore, the performance requirement requested doesn't appear to be easily attainable with the specified Clearwall.  Please confirm if Clearwall is desired or if the 1600UT 2-Sided SSG system is required.</v>
      </c>
      <c r="E8" s="6">
        <v>46038</v>
      </c>
      <c r="F8" s="6" t="str">
        <v xml:space="preserve">MCN </v>
      </c>
    </row>
    <row r="9" ht="14.25" customHeight="1">
      <c r="B9" t="str">
        <v>0002</v>
      </c>
      <c r="C9" t="str">
        <v>AL &amp; GLZ</v>
      </c>
      <c r="D9" t="str">
        <v>Please clarify if all doors inside of aluminum storefront should be aluminum.  The vast majority of the doors located within the storefront, in particular at the interior, are called out as wood doors in the door schedule.  Please confirm if all doors within storefront/curtain wall should be aluminum and full lite doors (not narrow lite as also depicted for some openings in the door schedule).</v>
      </c>
      <c r="E9" s="6">
        <v>46038</v>
      </c>
      <c r="F9" s="6" t="str">
        <v xml:space="preserve">MCN </v>
      </c>
    </row>
    <row r="10" ht="14.25" customHeight="1">
      <c r="B10" t="str">
        <v>0003</v>
      </c>
      <c r="C10" t="str">
        <v>AL &amp; GLZ</v>
      </c>
      <c r="D10" t="str">
        <v>Glazing spec mentions performance values.  Please provide a specific low-E coating to be priced.</v>
      </c>
      <c r="E10" s="6">
        <v>46038</v>
      </c>
      <c r="F10" s="6" t="str">
        <v xml:space="preserve">MCN </v>
      </c>
    </row>
    <row r="11" ht="14.25" customHeight="1">
      <c r="B11" t="str">
        <v>0004</v>
      </c>
      <c r="C11" t="str">
        <v>AL &amp; GLZ</v>
      </c>
      <c r="D11" t="str">
        <v>Please confirm no bird frit is required on the glazing</v>
      </c>
      <c r="E11" s="6">
        <v>46038</v>
      </c>
      <c r="F11" s="6" t="str">
        <v xml:space="preserve">MCN </v>
      </c>
    </row>
    <row r="12" ht="14.25" customHeight="1">
      <c r="B12" t="str">
        <v>0005</v>
      </c>
      <c r="C12" t="str">
        <v>AL &amp; GLZ</v>
      </c>
      <c r="D12" t="str">
        <v>Please confirm that storefront and curtain wall movements are to not absorb floor and live load movement.  If they are intended to, please confirm amount of deflection in the opening needs to be accounted for.</v>
      </c>
      <c r="E12" s="6">
        <v>46038</v>
      </c>
      <c r="F12" s="6" t="str">
        <v xml:space="preserve">MCN </v>
      </c>
    </row>
    <row r="13" ht="14.25" customHeight="1">
      <c r="B13" t="str">
        <v>0006</v>
      </c>
      <c r="C13" t="str">
        <v>AL &amp; GLZ</v>
      </c>
      <c r="D13" t="str">
        <v>Details indicate the need/desire for a head receptor (reference A9.1).  Please confirm if this is required for this project.</v>
      </c>
      <c r="E13" s="6">
        <v>46038</v>
      </c>
      <c r="F13" s="6" t="str">
        <v xml:space="preserve">MCN </v>
      </c>
    </row>
    <row r="14" ht="14.25" customHeight="1">
      <c r="B14" t="str">
        <v>0007</v>
      </c>
      <c r="C14" t="str">
        <v>A1.4</v>
      </c>
      <c r="D14" t="str">
        <v xml:space="preserve">Pool Building shown to be CMU enclosure with cast stone - Please confirm that PV Canopy will act as a roof. - S603 shows pool building to have metal deck roofing. Please confirm. </v>
      </c>
      <c r="E14" s="6">
        <v>46042</v>
      </c>
      <c r="F14" s="6" t="str">
        <v xml:space="preserve">MCN </v>
      </c>
    </row>
    <row r="15" ht="14.25" customHeight="1">
      <c r="B15" t="str">
        <v>0008</v>
      </c>
      <c r="C15" t="str">
        <v>General</v>
      </c>
      <c r="D15" t="str">
        <v xml:space="preserve">Please confirm that no Gas line is required on the job. </v>
      </c>
      <c r="E15" s="6">
        <v>46042</v>
      </c>
      <c r="F15" s="6" t="str">
        <v xml:space="preserve">MCN </v>
      </c>
    </row>
    <row r="16" ht="14.25" customHeight="1">
      <c r="B16" t="str">
        <v>0009</v>
      </c>
      <c r="C16" t="str">
        <v>Landscape</v>
      </c>
      <c r="D16" t="str">
        <v>Please provide the detail for delaware blend river rock. Additionally please confirm if needs to include base material, fabric and edgeing. Ref L2.2</v>
      </c>
      <c r="E16" s="6">
        <v>46042</v>
      </c>
      <c r="F16" s="6" t="str">
        <v xml:space="preserve">MCN </v>
      </c>
    </row>
    <row r="17" ht="14.25" customHeight="1">
      <c r="B17" t="str">
        <v>0010</v>
      </c>
      <c r="C17" t="str">
        <v>Landscape</v>
      </c>
      <c r="D17" t="str">
        <v>Please provide the detail for Boulders and confirm if the base material is need. L2.2</v>
      </c>
      <c r="E17" s="6">
        <v>46042</v>
      </c>
      <c r="F17" s="6" t="str">
        <v xml:space="preserve">MCN </v>
      </c>
    </row>
    <row r="18" ht="14.25" customHeight="1">
      <c r="B18" t="str">
        <v>0011</v>
      </c>
      <c r="C18" t="str">
        <v xml:space="preserve">Landscape </v>
      </c>
      <c r="D18" t="str">
        <v>Please verify and clearly label the circle located adjacent to the Fitness Center, refer L1.1.</v>
      </c>
      <c r="E18" s="6">
        <v>46042</v>
      </c>
      <c r="F18" s="6" t="str">
        <v xml:space="preserve">MCN </v>
      </c>
    </row>
    <row r="19" ht="14.25" customHeight="1">
      <c r="B19" t="str">
        <v>0012</v>
      </c>
      <c r="C19" t="str">
        <v>Civil</v>
      </c>
      <c r="D19" t="str">
        <v>Please provide utility profiles for the following: AD1 , AD2, AD3,AD4 to clean out co1, from clean co1 out to manhole D1, from D1 to OD1, D1 to CO1,S1 to OD4, S1 to OD5,AD6 to bio, AD7 to AD5 and others that are not shown on the drawings</v>
      </c>
      <c r="E19" s="6">
        <v>46043</v>
      </c>
      <c r="F19" s="6" t="str">
        <v xml:space="preserve">MCN </v>
      </c>
    </row>
    <row r="20" ht="14.25" customHeight="1" xml:space="preserve">
      <c r="B20" t="str">
        <v>0013</v>
      </c>
      <c r="C20" t="str">
        <v>Window Shades</v>
      </c>
      <c r="D20" t="str" xml:space="preserve">
        <v xml:space="preserve">Specification 122413, 1.1A lists motor-operated roller shades with single and double rollers. 
1. Are there any manual roller shades in the scope?
2. Where do the double roller shades go?
3. Does CW-3 get roller shades?
It was our understanding that the recreation center would receive manual roller shades through-out except for areas with double height spaces (i.e. gym, lobby)</v>
      </c>
      <c r="E20" s="6">
        <v>46043</v>
      </c>
      <c r="F20" s="6" t="str">
        <v xml:space="preserve">MCN </v>
      </c>
    </row>
    <row r="21" ht="14.25" customHeight="1">
      <c r="B21" t="str">
        <v>0014</v>
      </c>
      <c r="C21" t="str">
        <v>Utilities</v>
      </c>
      <c r="D21" t="str">
        <v xml:space="preserve">Previous Documents had an SFD drawings for the utilties. Will one be provided this round? </v>
      </c>
      <c r="E21" s="6">
        <v>46043</v>
      </c>
      <c r="F21" s="6" t="str">
        <v xml:space="preserve">MCN </v>
      </c>
    </row>
    <row r="22" ht="14.25" customHeight="1">
      <c r="B22" t="str">
        <v>0015</v>
      </c>
      <c r="C22" t="str">
        <v>Athletic Equipment</v>
      </c>
      <c r="D22" t="str">
        <v xml:space="preserve">Confirmed that Gared Performance Sports Systems will be an acceptable manufacturer for Sections 116623 and 116653, a substitution request is attached for reference? </v>
      </c>
      <c r="E22" s="6">
        <v>46043</v>
      </c>
      <c r="F22" s="6" t="str">
        <v xml:space="preserve">MCN </v>
      </c>
    </row>
    <row r="23" ht="14.25" customHeight="1">
      <c r="B23" t="str">
        <v>0016</v>
      </c>
      <c r="C23" t="str">
        <v>Athletic Equipment</v>
      </c>
      <c r="D23" t="str">
        <v xml:space="preserve">Section 116623, paragraph 2.2.E.2. specifies steel uprights for the volleyball equipment, generally 3.5” O.D. aluminum is preferred as it is lighter weight.  Will aluminum uprights be acceptable as well? </v>
      </c>
      <c r="E23" s="6">
        <v>46043</v>
      </c>
      <c r="F23" s="6" t="str">
        <v xml:space="preserve">MCN </v>
      </c>
    </row>
    <row r="24" ht="14.25" customHeight="1" xml:space="preserve">
      <c r="B24" t="str">
        <v>0017</v>
      </c>
      <c r="C24" t="str">
        <v>Athletic Equipment</v>
      </c>
      <c r="D24" t="str" xml:space="preserve">
        <v xml:space="preserve">Drawings A10.4 &amp; A10.5 indicate the padding stopping just prior to doors and not located in some areas, can it be confirmed that the wall padding should cover the entire perimeter of each gym with the exception of the 
doors, bleacher alcove and any exposed switches/outlets/cabinets? </v>
      </c>
      <c r="E24" s="6">
        <v>46043</v>
      </c>
      <c r="F24" s="6" t="str">
        <v xml:space="preserve">MCN </v>
      </c>
    </row>
    <row r="25" ht="14.25" customHeight="1">
      <c r="B25" t="str">
        <v>0018</v>
      </c>
      <c r="C25" t="str">
        <v>Game Clock</v>
      </c>
      <c r="D25" t="str">
        <v>Section 116623, paragraph 2.5.J. specifies Daktronics BB-2114 shot clocks, which have only shot clock time and no game time. Since there is only one scoreboard, we would suggest having Daktroincs BB-2115 shot clocks, which also include game time. This would allow the players to have view of gametime and shot clock time while looking at each main court basketball goal. Will shot clocks with shot clock time and game time be desired, which are Daktronics BB-2115</v>
      </c>
      <c r="E25" s="6">
        <v>46043</v>
      </c>
      <c r="F25" s="6" t="str">
        <v xml:space="preserve">MCN </v>
      </c>
    </row>
    <row r="26" ht="14.25" customHeight="1">
      <c r="B26" t="str">
        <v>0019</v>
      </c>
      <c r="C26" t="str">
        <v>Game Clock</v>
      </c>
      <c r="D26" t="str">
        <v xml:space="preserve">Confirm the shot clocks should be mounted to the main court basketball hoops? </v>
      </c>
      <c r="E26" s="6">
        <v>46043</v>
      </c>
      <c r="F26" s="6" t="str">
        <v xml:space="preserve">MCN </v>
      </c>
    </row>
    <row r="27" ht="14.25" customHeight="1">
      <c r="B27" t="str">
        <v>0020</v>
      </c>
      <c r="C27" t="str">
        <v>Electrical</v>
      </c>
      <c r="D27" t="str">
        <v>Confirmed that power supplies will be provided for the (2) shot clocks on drawing E2.1, as none shown?</v>
      </c>
      <c r="E27" s="6">
        <v>46043</v>
      </c>
      <c r="F27" s="6" t="str">
        <v xml:space="preserve">MCN </v>
      </c>
    </row>
    <row r="28" ht="14.25" customHeight="1">
      <c r="B28" t="str">
        <v>0021</v>
      </c>
      <c r="C28" t="str">
        <v>Gym Dividers</v>
      </c>
      <c r="D28" t="str">
        <v>Section 116653, paragraph 2.1.A. specifies GYC-01, GYC-02 as indicated on drawing A12.1 but this is not included.  Can these be included on drawing A12.1</v>
      </c>
      <c r="E28" s="6">
        <v>46043</v>
      </c>
      <c r="F28" s="6" t="str">
        <v xml:space="preserve">MCN </v>
      </c>
    </row>
    <row r="29" ht="14.25" customHeight="1" xml:space="preserve">
      <c r="B29" t="str">
        <v>0022</v>
      </c>
      <c r="C29" t="str">
        <v>Divider Curtain</v>
      </c>
      <c r="D29" t="str" xml:space="preserve">
        <v xml:space="preserve">Section 116653, paragraph 2.1.C.3. specifies a cable hoisted divider curtain but drawing A11.1, detail 12 indicates a belt hoisted divider curtain.  We would recommend a Center Drive Divider Curtain (product data: https://www.garedperfsports.com/products/center-drive-gymnasium-curtain), as this does not require cables or belts and rolls from the center, which will speed up deployment of the curtain.  Can you confirm that a 
GPSS #4050 Center Drive Curtain would acceptable for use on this project? </v>
      </c>
      <c r="E29" s="6">
        <v>46043</v>
      </c>
      <c r="F29" s="6" t="str">
        <v xml:space="preserve">MCN </v>
      </c>
    </row>
    <row r="30" ht="14.25" customHeight="1" xml:space="preserve">
      <c r="B30" t="str">
        <v>0023</v>
      </c>
      <c r="C30" t="str">
        <v>Divider Curtain</v>
      </c>
      <c r="D30" t="str" xml:space="preserve">
        <v xml:space="preserve">Drawing A11.1, detail 12 indicates the divider curtain being mounted centered between two trusses but drawing S103 indicates the divider curtain less than 1’-0” off a truss and not centered, this brings up the 
following questions: 
a. The divider curtain will not be centered as shown on the drawing A11.1, detail 12 and the cross braces will prevent what is shown on this detail.  Can the curtain be mounted to the bottom of the trusses, which is more typical with +/- 26’-0” truss height? 
b. Can it be confirmed that any spanning material needed between the two trusses is to be provided by the manufacturer of the divider curtain?</v>
      </c>
      <c r="E30" s="6">
        <v>46043</v>
      </c>
      <c r="F30" s="6" t="str">
        <v xml:space="preserve">MCN </v>
      </c>
    </row>
    <row r="31" ht="14.25" customHeight="1">
      <c r="B31" t="str">
        <v>0024</v>
      </c>
      <c r="C31" t="str">
        <v>Bleachers</v>
      </c>
      <c r="D31" t="str">
        <v>Section 000110-3 includes Section 133416.53 – Bleachers under Division 13 but there is no such specification.  Can Section 133416.53 be provided?</v>
      </c>
      <c r="E31" s="6">
        <v>46043</v>
      </c>
      <c r="F31" s="6" t="str">
        <v xml:space="preserve">MCN </v>
      </c>
    </row>
    <row r="32" ht="14.25" customHeight="1">
      <c r="B32" t="str">
        <v>0025</v>
      </c>
      <c r="C32" t="str">
        <v>Aluminum and Glazing</v>
      </c>
      <c r="D32" t="str">
        <v>Reviewing the door schedule and Storefront schedule several of the doors in storefront assemblies are called out to be wood doors however details show them as aluminum. Please confirm the following doors as either wood or aluminum; 104 (SF-15), 105 (SF-15A), 106 (SF-17), 110B (SF-7), 111A (SF-18), 210 (SF-20), 211 (SF-21), 213 (SF-22), 215 (SF-24).</v>
      </c>
      <c r="E32" s="6">
        <v>46043</v>
      </c>
      <c r="F32" s="6" t="str">
        <v xml:space="preserve">MCN </v>
      </c>
    </row>
    <row r="33" ht="14.25" customHeight="1">
      <c r="B33" t="str">
        <v>0026</v>
      </c>
      <c r="C33" t="str">
        <v xml:space="preserve">Railing </v>
      </c>
      <c r="D33" t="str">
        <v xml:space="preserve">Provide missing spec section 055213  METAL HANDRAILS  </v>
      </c>
      <c r="E33" s="6">
        <v>46044</v>
      </c>
      <c r="F33" s="6" t="str">
        <v xml:space="preserve">MCN </v>
      </c>
    </row>
    <row r="34" ht="14.25" customHeight="1">
      <c r="B34" t="str">
        <v>0027</v>
      </c>
      <c r="C34" t="str">
        <v xml:space="preserve">Railing </v>
      </c>
      <c r="D34" t="str">
        <v xml:space="preserve">Provide missing spec section 055213.13 PIPE AND TUBE RAILINGS - INTERIOR   </v>
      </c>
      <c r="E34" s="6">
        <v>46044</v>
      </c>
      <c r="F34" s="6" t="str">
        <v xml:space="preserve">MCN </v>
      </c>
    </row>
    <row r="35" ht="14.25" customHeight="1">
      <c r="B35" t="str">
        <v>0028</v>
      </c>
      <c r="C35" t="str">
        <v xml:space="preserve">Railing </v>
      </c>
      <c r="D35" t="str">
        <v xml:space="preserve">Provide missing spec section 057300  METAL PICKET GUARDRAIL   </v>
      </c>
      <c r="E35" s="6">
        <v>46044</v>
      </c>
      <c r="F35" s="6" t="str">
        <v xml:space="preserve">MCN </v>
      </c>
    </row>
    <row r="36" ht="14.25" customHeight="1">
      <c r="B36" t="str">
        <v>0029</v>
      </c>
      <c r="C36" t="str">
        <v xml:space="preserve">Railing </v>
      </c>
      <c r="D36" t="str">
        <v xml:space="preserve">Provide missing spec section 057300.13 DECORATIVE METAL RAILINGS  </v>
      </c>
      <c r="E36" s="6">
        <v>46044</v>
      </c>
      <c r="F36" s="6" t="str">
        <v xml:space="preserve">MCN </v>
      </c>
    </row>
    <row r="37" ht="14.25" customHeight="1">
      <c r="B37" t="str">
        <v>0030</v>
      </c>
      <c r="C37" t="str">
        <v xml:space="preserve">Railing </v>
      </c>
      <c r="D37" t="str">
        <v>Provide missing spec section 057500  DECORATIVE FORMED METAL</v>
      </c>
      <c r="E37" s="6">
        <v>46044</v>
      </c>
      <c r="F37" s="6" t="str">
        <v xml:space="preserve">MCN </v>
      </c>
    </row>
    <row r="38" ht="14.25" customHeight="1">
      <c r="B38" t="str">
        <v>RFI LOG ONE CUT OFF</v>
      </c>
      <c r="C38" t="str">
        <v>RFI LOG ONE CUT OFF</v>
      </c>
      <c r="D38" t="str">
        <v>RFI LOG ONE CUT OFF</v>
      </c>
      <c r="E38" t="str">
        <v>RFI LOG ONE CUT OFF</v>
      </c>
      <c r="F38" t="str">
        <v>RFI LOG ONE CUT OFF</v>
      </c>
      <c r="G38" t="str">
        <v>RFI LOG ONE CUT OFF</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c r="D203" t="str">
        <v>ADD ABOVE</v>
      </c>
    </row>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ignoredErrors>
    <ignoredError numberStoredAsText="1" sqref="A1:Z1000"/>
  </ignoredErrors>
</worksheet>
</file>

<file path=xl/worksheets/sheet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8.71"/>
    <col min="32" max="32" customWidth="1" width="8.71"/>
    <col min="33" max="33" customWidth="1" width="8.71"/>
    <col min="34" max="34" customWidth="1" width="8.71"/>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TEMPLATE</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SUM(I20:I81,I13:I18)</f>
        <v>0</v>
      </c>
      <c r="K7" t="str">
        <v>Adjustments:</v>
      </c>
      <c r="L7" s="4">
        <f>SUM(L13:L18,L20:L81)</f>
        <v>0</v>
      </c>
      <c r="N7" t="str">
        <v>Adjustments:</v>
      </c>
      <c r="O7" s="4">
        <f>SUM(O13:O18,O20:O81)</f>
        <v>0</v>
      </c>
      <c r="Q7" t="str">
        <v>Adjustments:</v>
      </c>
      <c r="R7" s="4">
        <f>SUM(R13:R18,R20:R81)</f>
        <v>0</v>
      </c>
      <c r="T7" t="str">
        <v>Adjustments:</v>
      </c>
      <c r="U7" s="4">
        <f>SUM(U13:U18,U20:U81)</f>
        <v>0</v>
      </c>
      <c r="W7" t="str">
        <v>Adjustments:</v>
      </c>
      <c r="X7" s="4">
        <f>SUM(X13:X18,X20:X81)</f>
        <v>0</v>
      </c>
      <c r="Z7" t="str">
        <v>Adjustments:</v>
      </c>
      <c r="AA7" s="4">
        <f>SUM(AA13:AA18,AA20:AA81)</f>
        <v>0</v>
      </c>
      <c r="AC7" t="str">
        <v>Adjustments:</v>
      </c>
      <c r="AD7" s="4">
        <f>SUM(AD13:AD18,AD20:AD81)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Scope</v>
      </c>
      <c r="C43" t="str">
        <v>Y</v>
      </c>
      <c r="I43" s="8">
        <f>H43*F43</f>
        <v>0</v>
      </c>
    </row>
    <row r="44" ht="14.25" customHeight="1">
      <c r="A44">
        <f>A43+1</f>
        <v>3</v>
      </c>
      <c r="B44" t="str">
        <v>Scope</v>
      </c>
      <c r="C44" t="str">
        <v>Y</v>
      </c>
      <c r="I44" s="8">
        <f>H44*F44</f>
        <v>0</v>
      </c>
    </row>
    <row r="45" ht="14.25" customHeight="1">
      <c r="A45">
        <f>A44+1</f>
        <v>4</v>
      </c>
      <c r="B45" t="str">
        <v>Scope</v>
      </c>
      <c r="C45" t="str">
        <v>Y</v>
      </c>
      <c r="I45" s="8">
        <f>H45*F45</f>
        <v>0</v>
      </c>
    </row>
    <row r="46" ht="14.25" customHeight="1">
      <c r="A46">
        <f>A45+1</f>
        <v>5</v>
      </c>
      <c r="B46" t="str">
        <v>Scope</v>
      </c>
      <c r="C46" t="str">
        <v>Y</v>
      </c>
      <c r="I46" s="8">
        <f>H46*F46</f>
        <v>0</v>
      </c>
    </row>
    <row r="47" ht="14.25" customHeight="1">
      <c r="A47">
        <f>A46+1</f>
        <v>6</v>
      </c>
      <c r="B47" t="str">
        <v>Scope</v>
      </c>
      <c r="C47" t="str">
        <v>Y</v>
      </c>
      <c r="I47" s="8">
        <f>H47*F47</f>
        <v>0</v>
      </c>
    </row>
    <row r="48" ht="14.25" customHeight="1">
      <c r="A48">
        <f>A47+1</f>
        <v>7</v>
      </c>
      <c r="C48" t="str">
        <v>Y</v>
      </c>
      <c r="I48" s="8">
        <f>H48*F48</f>
        <v>0</v>
      </c>
    </row>
    <row r="49" ht="14.25" customHeight="1">
      <c r="A49">
        <f>A48+1</f>
        <v>8</v>
      </c>
      <c r="B49" t="str">
        <v>STANDARD / GENERAL SCOPE</v>
      </c>
      <c r="C49" t="str">
        <v>Y</v>
      </c>
      <c r="I49" s="8">
        <f>H49*F49</f>
        <v>0</v>
      </c>
    </row>
    <row r="50" ht="14.25" customHeight="1">
      <c r="A50">
        <f>A49+1</f>
        <v>9</v>
      </c>
      <c r="C50" t="str">
        <v>Y</v>
      </c>
      <c r="I50" s="8">
        <f>H50*F50</f>
        <v>0</v>
      </c>
    </row>
    <row r="51" ht="14.25" customHeight="1">
      <c r="A51">
        <f>A50+1</f>
        <v>10</v>
      </c>
      <c r="C51" t="str">
        <v>Y</v>
      </c>
      <c r="I51" s="8">
        <f>H51*F51</f>
        <v>0</v>
      </c>
    </row>
    <row r="52" ht="14.25" customHeight="1">
      <c r="I52" s="8">
        <f>H52*F52</f>
        <v>0</v>
      </c>
    </row>
    <row r="53" ht="14.25" customHeight="1">
      <c r="A53" t="str">
        <v>C</v>
      </c>
      <c r="B53" t="str">
        <v>Exclusions</v>
      </c>
    </row>
    <row r="54" ht="14.25" customHeight="1">
      <c r="A54">
        <v>1</v>
      </c>
      <c r="C54" t="str">
        <v>N</v>
      </c>
    </row>
    <row r="55" ht="14.25" customHeight="1">
      <c r="A55">
        <f>A54+1</f>
        <v>2</v>
      </c>
      <c r="C55" t="str">
        <v>N</v>
      </c>
    </row>
    <row r="56" ht="14.25" customHeight="1">
      <c r="A56">
        <f>A55+1</f>
        <v>3</v>
      </c>
      <c r="C56" t="str">
        <v>N</v>
      </c>
    </row>
    <row r="57" ht="14.25" customHeight="1">
      <c r="A57">
        <f>A56+1</f>
        <v>4</v>
      </c>
      <c r="C57" t="str">
        <v>N</v>
      </c>
    </row>
    <row r="58" ht="14.25" customHeight="1">
      <c r="A58">
        <f>A57+1</f>
        <v>5</v>
      </c>
      <c r="C58" t="str">
        <v>N</v>
      </c>
    </row>
    <row r="59" ht="14.25" customHeight="1">
      <c r="A59">
        <f>A58+1</f>
        <v>6</v>
      </c>
      <c r="C59" t="str">
        <v>N</v>
      </c>
    </row>
    <row r="60" ht="14.25" customHeight="1">
      <c r="A60">
        <f>A59+1</f>
        <v>7</v>
      </c>
      <c r="C60" t="str">
        <v>N</v>
      </c>
    </row>
    <row r="61" ht="14.25" customHeight="1">
      <c r="A61">
        <f>A60+1</f>
        <v>8</v>
      </c>
      <c r="C61" t="str">
        <v>N</v>
      </c>
    </row>
    <row r="62" ht="14.25" customHeight="1"/>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Activity 1</v>
      </c>
      <c r="C66" t="str">
        <v>---&gt;</v>
      </c>
    </row>
    <row r="67" ht="14.25" customHeight="1">
      <c r="A67">
        <f>A66+1</f>
        <v>4</v>
      </c>
      <c r="B67" t="str">
        <v>Activity 2</v>
      </c>
      <c r="C67" t="str">
        <v>---&gt;</v>
      </c>
    </row>
    <row r="68" ht="14.25" customHeight="1">
      <c r="A68">
        <f>A67+1</f>
        <v>5</v>
      </c>
      <c r="B68" t="str">
        <v>Activity 3</v>
      </c>
      <c r="C68" t="str">
        <v>---&gt;</v>
      </c>
    </row>
    <row r="69" ht="14.25" customHeight="1">
      <c r="A69">
        <f>A68+1</f>
        <v>6</v>
      </c>
      <c r="B69" t="str">
        <v>Duration for Submittals and Shop Drawings</v>
      </c>
      <c r="C69" t="str">
        <v>---&gt;</v>
      </c>
    </row>
    <row r="70" ht="14.25" customHeight="1">
      <c r="A70">
        <f>A69+1</f>
        <v>7</v>
      </c>
      <c r="B70" t="str">
        <v>Advise of Lead Times:</v>
      </c>
    </row>
    <row r="71" ht="14.25" customHeight="1">
      <c r="A71">
        <f>A70+1</f>
        <v>8</v>
      </c>
      <c r="B71" t="str">
        <v>Material 1</v>
      </c>
      <c r="C71" t="str">
        <v>---&gt;</v>
      </c>
    </row>
    <row r="72" ht="14.25" customHeight="1">
      <c r="A72">
        <f>A71+1</f>
        <v>9</v>
      </c>
      <c r="B72" t="str">
        <v>Material 2</v>
      </c>
      <c r="C72" t="str">
        <v>---&gt;</v>
      </c>
    </row>
    <row r="73" ht="14.25" customHeight="1">
      <c r="A73">
        <f>A72+1</f>
        <v>10</v>
      </c>
      <c r="B73" t="str">
        <v>Material 3</v>
      </c>
      <c r="C73" t="str">
        <v>---&gt;</v>
      </c>
    </row>
    <row r="74" ht="14.25" customHeight="1"/>
    <row r="75" ht="14.25" customHeight="1"/>
    <row r="76" ht="14.25" customHeight="1">
      <c r="B76" t="str">
        <v>Allowances</v>
      </c>
    </row>
    <row r="77" ht="14.25" customHeight="1">
      <c r="A77">
        <v>1</v>
      </c>
    </row>
    <row r="78" ht="14.25" customHeight="1">
      <c r="A78">
        <f>A77+1</f>
        <v>2</v>
      </c>
    </row>
    <row r="79" ht="14.25" customHeight="1">
      <c r="A79">
        <f>A78+1</f>
        <v>3</v>
      </c>
    </row>
    <row r="80" ht="14.25" customHeight="1">
      <c r="A80">
        <f>A79+1</f>
        <v>4</v>
      </c>
    </row>
    <row r="81" ht="14.25" customHeight="1"/>
    <row r="82" ht="14.25" customHeight="1"/>
    <row r="83" ht="14.25" customHeight="1">
      <c r="B83" t="str">
        <v>Alternates</v>
      </c>
    </row>
    <row r="84" ht="14.25" customHeight="1">
      <c r="A84">
        <v>1</v>
      </c>
      <c r="C84" t="str">
        <v>#</v>
      </c>
    </row>
    <row r="85" ht="14.25" customHeight="1">
      <c r="A85">
        <f>A84+1</f>
        <v>2</v>
      </c>
      <c r="C85" t="str">
        <v>#</v>
      </c>
    </row>
    <row r="86" ht="14.25" customHeight="1">
      <c r="A86">
        <f>A85+1</f>
        <v>3</v>
      </c>
      <c r="C86" t="str">
        <v>#</v>
      </c>
    </row>
    <row r="87" ht="14.25" customHeight="1">
      <c r="A87">
        <f>A86+1</f>
        <v>4</v>
      </c>
      <c r="C87" t="str">
        <v>#</v>
      </c>
    </row>
    <row r="88" ht="14.25" customHeight="1">
      <c r="C88" t="str">
        <v>#</v>
      </c>
    </row>
    <row r="89" ht="14.25" customHeight="1">
      <c r="B89" t="str">
        <v>Unit Prices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6.71"/>
    <col min="2" max="2" customWidth="1" width="56.71"/>
    <col min="3" max="3" customWidth="1" width="20.71"/>
    <col min="4" max="4" customWidth="1" width="7.71"/>
    <col min="5" max="5" customWidth="1" width="5.71"/>
    <col min="6" max="6" customWidth="1" width="5.71"/>
    <col min="7" max="7" customWidth="1" width="5.71"/>
    <col min="8" max="8" customWidth="1" width="5.71"/>
    <col min="9" max="9" customWidth="1" width="5.71"/>
    <col min="10" max="10" customWidth="1" width="5.71"/>
    <col min="11" max="11" customWidth="1" width="5.71"/>
    <col min="12" max="12" customWidth="1" width="10.71"/>
    <col min="13" max="13" customWidth="1" width="16.71"/>
    <col min="14" max="14" customWidth="1" width="25.57"/>
    <col min="15" max="15" customWidth="1" width="22.86"/>
    <col min="16" max="16" customWidth="1" width="26.43"/>
    <col min="17" max="17" customWidth="1" width="9.14"/>
    <col min="18" max="18" customWidth="1" width="9.14"/>
    <col min="19" max="19" customWidth="1" width="9.14"/>
    <col min="20" max="20" customWidth="1" width="9.14"/>
    <col min="21" max="21" customWidth="1" width="9.14"/>
    <col min="22" max="22" customWidth="1" width="9.14"/>
    <col min="23" max="23" customWidth="1" width="9.14"/>
    <col min="24" max="24" customWidth="1" width="9.14"/>
    <col min="25" max="25" customWidth="1" width="9.14"/>
    <col min="26" max="26" customWidth="1" width="9.14"/>
  </cols>
  <sheetData>
    <row r="1" ht="24" customHeight="1"/>
    <row r="2" ht="25.5" customHeight="1">
      <c r="J2" s="11" t="str">
        <f>[1]INFO!C15</f>
        <v>#ERROR!</v>
      </c>
    </row>
    <row r="3" ht="18" customHeight="1">
      <c r="J3" s="11" t="str">
        <f>[1]INFO!C16</f>
        <v>#ERROR!</v>
      </c>
    </row>
    <row r="4" ht="18" customHeight="1">
      <c r="J4" s="11" t="str">
        <f>[1]INFO!C17</f>
        <v>#ERROR!</v>
      </c>
    </row>
    <row r="5" ht="18" customHeight="1"/>
    <row r="6" ht="18" customHeight="1">
      <c r="A6" t="str">
        <f>IF([1]INFO!$C$5="BLUE BELL",[1]INFO!$B$54,IF([1]INFO!$C$5="HARRISBURG",[1]INFO!$B$55,IF([1]INFO!$C$5="DELAWARE",[1]INFO!$B$56,IF([1]INFO!$C$5="WASHINGTON D.C.",[1]INFO!$B$57,0))))</f>
        <v>#ERROR!</v>
      </c>
    </row>
    <row r="7">
      <c r="A7" t="str">
        <v>Value Engineering Summary</v>
      </c>
    </row>
    <row r="8">
      <c r="A8" t="str">
        <v>V.E.</v>
      </c>
      <c r="B8" t="str">
        <v>Item Description</v>
      </c>
      <c r="N8" t="str">
        <v>Cost</v>
      </c>
      <c r="O8" t="str">
        <v>Cost Impact</v>
      </c>
      <c r="P8" t="str">
        <v>Notes</v>
      </c>
    </row>
    <row r="9">
      <c r="A9" t="str">
        <v>No.</v>
      </c>
      <c r="N9" t="str">
        <v>Impact</v>
      </c>
    </row>
    <row r="10"/>
    <row r="11" ht="61.5" customHeight="1">
      <c r="A11">
        <v>1</v>
      </c>
    </row>
    <row r="12" ht="42.75" customHeight="1">
      <c r="A12">
        <f>A11+1</f>
        <v>2</v>
      </c>
    </row>
    <row r="13" ht="39.75" customHeight="1">
      <c r="A13">
        <f>A12+1</f>
        <v>3</v>
      </c>
    </row>
    <row r="14" ht="23.25" customHeight="1">
      <c r="A14">
        <f>A13+1</f>
        <v>4</v>
      </c>
    </row>
    <row r="15" ht="23.25" customHeight="1">
      <c r="A15">
        <f>A14+1</f>
        <v>5</v>
      </c>
    </row>
    <row r="16">
      <c r="A16">
        <f>A15+1</f>
        <v>6</v>
      </c>
    </row>
    <row r="17">
      <c r="A17">
        <f>A16+1</f>
        <v>7</v>
      </c>
    </row>
    <row r="18">
      <c r="A18">
        <f>A17+1</f>
        <v>8</v>
      </c>
    </row>
    <row r="19" ht="24" customHeight="1">
      <c r="A19">
        <f>A18+1</f>
        <v>9</v>
      </c>
    </row>
    <row r="20">
      <c r="A20">
        <f>A19+1</f>
        <v>10</v>
      </c>
    </row>
    <row r="21">
      <c r="A21">
        <f>A20+1</f>
        <v>11</v>
      </c>
    </row>
    <row r="22">
      <c r="A22">
        <f>A21+1</f>
        <v>12</v>
      </c>
    </row>
    <row r="23" ht="68.25" customHeight="1">
      <c r="A23">
        <f>A22+1</f>
        <v>13</v>
      </c>
    </row>
    <row r="24">
      <c r="A24">
        <f>A23+1</f>
        <v>14</v>
      </c>
    </row>
    <row r="25">
      <c r="A25">
        <f>A24+1</f>
        <v>15</v>
      </c>
    </row>
    <row r="26">
      <c r="A26">
        <f>A25+1</f>
        <v>16</v>
      </c>
    </row>
    <row r="27">
      <c r="A27">
        <f>A26+1</f>
        <v>17</v>
      </c>
    </row>
    <row r="28">
      <c r="A28">
        <f>A27+1</f>
        <v>18</v>
      </c>
    </row>
    <row r="29">
      <c r="A29">
        <f>A28+1</f>
        <v>19</v>
      </c>
    </row>
    <row r="30">
      <c r="A30">
        <f>A29+1</f>
        <v>20</v>
      </c>
    </row>
    <row r="31">
      <c r="A31">
        <f>A30+1</f>
        <v>21</v>
      </c>
    </row>
    <row r="32">
      <c r="A32">
        <f>A31+1</f>
        <v>22</v>
      </c>
    </row>
    <row r="33" ht="41.25" customHeight="1">
      <c r="A33">
        <f>A32+1</f>
        <v>23</v>
      </c>
    </row>
    <row r="34" hidden="1">
      <c r="A34">
        <f>A33+1</f>
        <v>24</v>
      </c>
    </row>
    <row r="35" hidden="1">
      <c r="A35">
        <f>A34+1</f>
        <v>25</v>
      </c>
    </row>
    <row r="36" hidden="1">
      <c r="A36">
        <f>A35+1</f>
        <v>26</v>
      </c>
    </row>
    <row r="37" hidden="1">
      <c r="A37">
        <f>A36+1</f>
        <v>27</v>
      </c>
    </row>
    <row r="38" hidden="1">
      <c r="A38">
        <f>A37+1</f>
        <v>28</v>
      </c>
    </row>
    <row r="39" hidden="1">
      <c r="A39">
        <f>A38+1</f>
        <v>29</v>
      </c>
    </row>
    <row r="40" hidden="1">
      <c r="A40">
        <f>A39+1</f>
        <v>30</v>
      </c>
    </row>
    <row r="41" hidden="1">
      <c r="A41">
        <f>A40+1</f>
        <v>31</v>
      </c>
    </row>
    <row r="42" hidden="1">
      <c r="A42">
        <f>A41+1</f>
        <v>32</v>
      </c>
    </row>
    <row r="43" hidden="1">
      <c r="A43">
        <f>A42+1</f>
        <v>33</v>
      </c>
    </row>
    <row r="44" hidden="1">
      <c r="A44">
        <f>A43+1</f>
        <v>34</v>
      </c>
    </row>
    <row r="45" hidden="1">
      <c r="A45">
        <f>A44+1</f>
        <v>35</v>
      </c>
    </row>
    <row r="46" hidden="1">
      <c r="A46">
        <f>A45+1</f>
        <v>36</v>
      </c>
    </row>
    <row r="47" hidden="1">
      <c r="A47">
        <f>A46+1</f>
        <v>37</v>
      </c>
    </row>
    <row r="48" hidden="1">
      <c r="A48">
        <f>A47+1</f>
        <v>38</v>
      </c>
    </row>
    <row r="49" hidden="1">
      <c r="A49">
        <f>A48+1</f>
        <v>39</v>
      </c>
    </row>
    <row r="50" hidden="1">
      <c r="A50">
        <f>A49+1</f>
        <v>40</v>
      </c>
    </row>
    <row r="51" hidden="1">
      <c r="A51">
        <f>A50+1</f>
        <v>41</v>
      </c>
    </row>
    <row r="52" hidden="1">
      <c r="A52">
        <f>A51+1</f>
        <v>42</v>
      </c>
    </row>
    <row r="53" hidden="1">
      <c r="A53">
        <f>A52+1</f>
        <v>43</v>
      </c>
    </row>
    <row r="54" hidden="1">
      <c r="A54">
        <f>A53+1</f>
        <v>44</v>
      </c>
    </row>
    <row r="55" hidden="1">
      <c r="A55">
        <f>A54+1</f>
        <v>45</v>
      </c>
    </row>
    <row r="56" hidden="1">
      <c r="A56">
        <f>A55+1</f>
        <v>46</v>
      </c>
    </row>
    <row r="57" hidden="1">
      <c r="A57">
        <f>A56+1</f>
        <v>47</v>
      </c>
    </row>
    <row r="58" hidden="1">
      <c r="A58">
        <f>A57+1</f>
        <v>48</v>
      </c>
    </row>
    <row r="59" hidden="1">
      <c r="A59">
        <f>A58+1</f>
        <v>49</v>
      </c>
    </row>
    <row r="60" hidden="1">
      <c r="A60">
        <f>A59+1</f>
        <v>50</v>
      </c>
    </row>
    <row r="61" hidden="1">
      <c r="A61">
        <f>A60+1</f>
        <v>51</v>
      </c>
    </row>
    <row r="62" hidden="1">
      <c r="A62">
        <f>A61+1</f>
        <v>52</v>
      </c>
    </row>
    <row r="63" hidden="1">
      <c r="A63">
        <f>A62+1</f>
        <v>53</v>
      </c>
    </row>
    <row r="64" hidden="1">
      <c r="A64">
        <f>A63+1</f>
        <v>54</v>
      </c>
    </row>
    <row r="65" hidden="1">
      <c r="A65">
        <f>A64+1</f>
        <v>55</v>
      </c>
    </row>
    <row r="66" hidden="1">
      <c r="A66">
        <f>A65+1</f>
        <v>56</v>
      </c>
    </row>
    <row r="67" hidden="1">
      <c r="A67">
        <f>A66+1</f>
        <v>57</v>
      </c>
    </row>
    <row r="68" hidden="1">
      <c r="A68">
        <f>A67+1</f>
        <v>58</v>
      </c>
    </row>
    <row r="69" hidden="1">
      <c r="A69">
        <f>A68+1</f>
        <v>59</v>
      </c>
    </row>
    <row r="70" hidden="1">
      <c r="A70">
        <f>A69+1</f>
        <v>60</v>
      </c>
    </row>
    <row r="71" hidden="1">
      <c r="A71">
        <f>A70+1</f>
        <v>61</v>
      </c>
    </row>
    <row r="72" hidden="1">
      <c r="A72">
        <f>A71+1</f>
        <v>62</v>
      </c>
    </row>
    <row r="73" hidden="1">
      <c r="A73">
        <f>A72+1</f>
        <v>63</v>
      </c>
    </row>
    <row r="74" hidden="1">
      <c r="A74">
        <f>A73+1</f>
        <v>64</v>
      </c>
    </row>
    <row r="75" hidden="1">
      <c r="A75">
        <f>A74+1</f>
        <v>65</v>
      </c>
    </row>
    <row r="76" hidden="1">
      <c r="A76">
        <f>A75+1</f>
        <v>66</v>
      </c>
    </row>
    <row r="77" hidden="1">
      <c r="A77">
        <f>A76+1</f>
        <v>67</v>
      </c>
    </row>
    <row r="78" hidden="1">
      <c r="A78">
        <f>A77+1</f>
        <v>68</v>
      </c>
    </row>
    <row r="79" hidden="1">
      <c r="A79">
        <f>A78+1</f>
        <v>69</v>
      </c>
    </row>
    <row r="80" hidden="1">
      <c r="A80">
        <f>A79+1</f>
        <v>70</v>
      </c>
    </row>
    <row r="81" hidden="1">
      <c r="A81">
        <f>A80+1</f>
        <v>71</v>
      </c>
    </row>
    <row r="82" hidden="1">
      <c r="A82">
        <f>A81+1</f>
        <v>72</v>
      </c>
    </row>
    <row r="83" hidden="1">
      <c r="A83">
        <f>A82+1</f>
        <v>73</v>
      </c>
    </row>
    <row r="84" hidden="1">
      <c r="A84">
        <f>A83+1</f>
        <v>74</v>
      </c>
    </row>
    <row r="85" hidden="1">
      <c r="A85">
        <f>A84+1</f>
        <v>75</v>
      </c>
    </row>
    <row r="86" hidden="1">
      <c r="A86">
        <f>A85+1</f>
        <v>76</v>
      </c>
    </row>
    <row r="87" hidden="1">
      <c r="A87">
        <f>A86+1</f>
        <v>77</v>
      </c>
    </row>
    <row r="88" hidden="1">
      <c r="A88">
        <f>A87+1</f>
        <v>78</v>
      </c>
    </row>
    <row r="89" hidden="1">
      <c r="A89">
        <f>A88+1</f>
        <v>79</v>
      </c>
    </row>
    <row r="90" hidden="1">
      <c r="A90">
        <f>A89+1</f>
        <v>80</v>
      </c>
    </row>
    <row r="91" hidden="1">
      <c r="A91">
        <f>A90+1</f>
        <v>81</v>
      </c>
    </row>
    <row r="92">
      <c r="M92" t="str">
        <v xml:space="preserve">Potential V.E.Total </v>
      </c>
      <c r="N92" s="12">
        <f>SUM(N10:N91)</f>
        <v>0</v>
      </c>
      <c r="O92" s="12">
        <f>SUM(O10:O91)</f>
        <v>0</v>
      </c>
    </row>
    <row r="93"/>
    <row r="94"/>
    <row r="95">
      <c r="O95" t="str">
        <v>Cost impact Less 10%</v>
      </c>
    </row>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87">
    <mergeCell ref="B54:M54"/>
    <mergeCell ref="B55:M55"/>
    <mergeCell ref="B56:M56"/>
    <mergeCell ref="B57:M57"/>
    <mergeCell ref="B58:M58"/>
    <mergeCell ref="B59:M59"/>
    <mergeCell ref="B60:M60"/>
    <mergeCell ref="B61:M61"/>
    <mergeCell ref="B62:M62"/>
    <mergeCell ref="B63:M63"/>
    <mergeCell ref="B64:M64"/>
    <mergeCell ref="B65:M65"/>
    <mergeCell ref="B66:M66"/>
    <mergeCell ref="B67:M67"/>
    <mergeCell ref="B68:M68"/>
    <mergeCell ref="B69:M69"/>
    <mergeCell ref="B70:M70"/>
    <mergeCell ref="B71:M71"/>
    <mergeCell ref="B72:M72"/>
    <mergeCell ref="B73:M73"/>
    <mergeCell ref="B74:M74"/>
    <mergeCell ref="B75:M75"/>
    <mergeCell ref="B76:M76"/>
    <mergeCell ref="B77:M77"/>
    <mergeCell ref="B78:M78"/>
    <mergeCell ref="B79:M79"/>
    <mergeCell ref="B80:M80"/>
    <mergeCell ref="B81:M81"/>
    <mergeCell ref="B89:M89"/>
    <mergeCell ref="B90:M90"/>
    <mergeCell ref="B91:M91"/>
    <mergeCell ref="B82:M82"/>
    <mergeCell ref="B83:M83"/>
    <mergeCell ref="B84:M84"/>
    <mergeCell ref="B85:M85"/>
    <mergeCell ref="B86:M86"/>
    <mergeCell ref="B87:M87"/>
    <mergeCell ref="B88:M88"/>
    <mergeCell ref="A6:P6"/>
    <mergeCell ref="A7:P7"/>
    <mergeCell ref="B8:M9"/>
    <mergeCell ref="O8:O9"/>
    <mergeCell ref="P8:P9"/>
    <mergeCell ref="B10:M10"/>
    <mergeCell ref="B11:M11"/>
    <mergeCell ref="B12:M12"/>
    <mergeCell ref="B13:M13"/>
    <mergeCell ref="B14:M14"/>
    <mergeCell ref="B15:M15"/>
    <mergeCell ref="B16:M16"/>
    <mergeCell ref="B17:M17"/>
    <mergeCell ref="B18:M18"/>
    <mergeCell ref="B19:M19"/>
    <mergeCell ref="B20:M20"/>
    <mergeCell ref="B21:M21"/>
    <mergeCell ref="B22:M22"/>
    <mergeCell ref="B23:M23"/>
    <mergeCell ref="B24:M24"/>
    <mergeCell ref="B25:M25"/>
    <mergeCell ref="B26:M26"/>
    <mergeCell ref="B27:M27"/>
    <mergeCell ref="B28:M28"/>
    <mergeCell ref="B29:M29"/>
    <mergeCell ref="B30:M30"/>
    <mergeCell ref="B31:M31"/>
    <mergeCell ref="B32:M32"/>
    <mergeCell ref="B33:M33"/>
    <mergeCell ref="B34:M34"/>
    <mergeCell ref="B35:M35"/>
    <mergeCell ref="B36:M36"/>
    <mergeCell ref="B37:M37"/>
    <mergeCell ref="B38:M38"/>
    <mergeCell ref="B39:M39"/>
    <mergeCell ref="B40:M40"/>
    <mergeCell ref="B41:M41"/>
    <mergeCell ref="B42:M42"/>
    <mergeCell ref="B43:M43"/>
    <mergeCell ref="B44:M44"/>
    <mergeCell ref="B45:M45"/>
    <mergeCell ref="B46:M46"/>
    <mergeCell ref="B47:M47"/>
    <mergeCell ref="B48:M48"/>
    <mergeCell ref="B49:M49"/>
    <mergeCell ref="B50:M50"/>
    <mergeCell ref="B51:M51"/>
    <mergeCell ref="B52:M52"/>
    <mergeCell ref="B53:M53"/>
  </mergeCells>
  <pageMargins left="0.5" right="0.5" top="0.75" bottom="0.5" header="0" footer="0"/>
  <ignoredErrors>
    <ignoredError numberStoredAsText="1" sqref="A1:Z1000"/>
  </ignoredErrors>
</worksheet>
</file>

<file path=xl/worksheets/sheet6.xml><?xml version="1.0" encoding="utf-8"?>
<worksheet xmlns="http://schemas.openxmlformats.org/spreadsheetml/2006/main" xmlns:r="http://schemas.openxmlformats.org/officeDocument/2006/relationships">
  <dimension ref="A2:O1000"/>
  <sheetViews>
    <sheetView workbookViewId="0" rightToLeft="0"/>
  </sheetViews>
  <cols>
    <col min="1" max="1" customWidth="1" width="10.14"/>
    <col min="2" max="2" customWidth="1" width="28.14"/>
    <col min="3" max="3" customWidth="1" width="24.57"/>
    <col min="4" max="4" customWidth="1" width="15.57"/>
    <col min="5" max="5" customWidth="1" width="13.57"/>
    <col min="6" max="6" customWidth="1" width="10.86"/>
    <col min="7" max="7" customWidth="1" width="20.86"/>
    <col min="8" max="8" customWidth="1" width="16.57"/>
    <col min="9" max="9" customWidth="1" width="9.14"/>
    <col min="10" max="10" customWidth="1" width="9.14" hidden="true"/>
    <col min="11" max="11" customWidth="1" width="9.14" hidden="true"/>
    <col min="12" max="12" customWidth="1" width="8.71"/>
    <col min="13" max="13" customWidth="1" width="14.43"/>
    <col min="14" max="14" customWidth="1" width="14.43"/>
    <col min="15" max="15" customWidth="1" width="8.71"/>
    <col min="16" max="16" customWidth="1" width="8.71"/>
    <col min="17" max="17" customWidth="1" width="8.71"/>
    <col min="18" max="18" customWidth="1" width="8.71"/>
    <col min="19" max="19" customWidth="1" width="8.71"/>
    <col min="20" max="20" customWidth="1" width="8.71"/>
    <col min="21" max="21" customWidth="1" width="8.71"/>
    <col min="22" max="22" customWidth="1" width="8.71"/>
    <col min="23" max="23" customWidth="1" width="8.71"/>
    <col min="24" max="24" customWidth="1" width="8.71"/>
    <col min="25" max="25" customWidth="1" width="8.71"/>
    <col min="26" max="26" customWidth="1" width="8.71"/>
  </cols>
  <sheetData>
    <row r="2" ht="14.25" customHeight="1">
      <c r="E2" t="str">
        <f>'Bid Sheet'!C1</f>
        <v>DPR &amp; DGS</v>
      </c>
    </row>
    <row r="3" ht="14.25" customHeight="1">
      <c r="E3" t="str">
        <f>'Bid Sheet'!C2</f>
        <v>Jelleff Recreation Center</v>
      </c>
    </row>
    <row r="4" ht="14.25" customHeight="1">
      <c r="E4" t="str">
        <f>'Bid Sheet'!C3</f>
        <v>3265 S St NW, Washington, DC 20007</v>
      </c>
    </row>
    <row r="5" ht="14.25" customHeight="1"/>
    <row r="6" ht="14.25" customHeight="1"/>
    <row r="7" ht="14.25" customHeight="1">
      <c r="A7" t="str">
        <v>Date</v>
      </c>
      <c r="B7" s="6" t="str">
        <v>mm/dd/yyy</v>
      </c>
      <c r="C7" t="str">
        <v>Area:</v>
      </c>
      <c r="D7" s="1">
        <f>'Bid Sheet'!I1</f>
        <v>20000</v>
      </c>
      <c r="F7" t="str">
        <v>Architect:</v>
      </c>
      <c r="G7" t="str">
        <f>'Bid Sheet'!C4</f>
        <v>DLR Group</v>
      </c>
    </row>
    <row r="8" ht="14.25" customHeight="1">
      <c r="A8" t="str">
        <v>Rev.</v>
      </c>
      <c r="B8" t="str">
        <f>'Bid Sheet'!K3</f>
        <v>V0</v>
      </c>
      <c r="C8" t="str">
        <v>Estimator(s):</v>
      </c>
      <c r="D8" t="str">
        <f>'Bid Sheet'!K2</f>
        <v>MK, Trade Estimators</v>
      </c>
      <c r="F8" t="str">
        <v>Engineer:</v>
      </c>
      <c r="G8" t="str">
        <f>'Bid Sheet'!C5</f>
        <v>Various</v>
      </c>
    </row>
    <row r="9" ht="14.25" customHeight="1" xml:space="preserve">
      <c r="A9" t="str">
        <v>CSI</v>
      </c>
      <c r="B9" t="str">
        <v>Description</v>
      </c>
      <c r="G9" t="str" xml:space="preserve">
        <v xml:space="preserve">Total
Cost</v>
      </c>
      <c r="H9" t="str" xml:space="preserve">
        <v xml:space="preserve">Cost /
GSF</v>
      </c>
      <c r="J9">
        <v>1</v>
      </c>
      <c r="K9">
        <f>SUBTOTAL(109,J$9:J9)</f>
        <v>1</v>
      </c>
    </row>
    <row r="10" ht="14.25" customHeight="1">
      <c r="A10" s="13">
        <v>10000</v>
      </c>
      <c r="B10" t="str">
        <v>General Requirements</v>
      </c>
      <c r="G10" s="8">
        <f>SUMIF('Bid Sheet'!$B$7:$B$151,'MCN Summary'!A10,'Bid Sheet'!$E$7:$E$151)</f>
        <v>416160</v>
      </c>
      <c r="H10" s="9">
        <f>G10/$D$7</f>
        <v>20.808</v>
      </c>
      <c r="J10">
        <v>1</v>
      </c>
      <c r="K10">
        <f>SUBTOTAL(109,J$9:J10)</f>
        <v>2</v>
      </c>
      <c r="M10" t="str">
        <f>UPPER(B10)</f>
        <v>GENERAL REQUIREMENTS</v>
      </c>
    </row>
    <row r="11" ht="14.25" customHeight="1">
      <c r="A11" s="13">
        <v>24100</v>
      </c>
      <c r="B11" t="str">
        <v>Building Demolition</v>
      </c>
      <c r="G11" s="8">
        <f>SUMIF('Bid Sheet'!$B$7:$B$151,'MCN Summary'!A11,'Bid Sheet'!$E$7:$E$151)</f>
        <v>315180</v>
      </c>
      <c r="H11" s="9">
        <f>G11/$D$7</f>
        <v>15.759</v>
      </c>
      <c r="J11">
        <v>1</v>
      </c>
      <c r="K11">
        <f>SUBTOTAL(109,J$9:J11)</f>
        <v>3</v>
      </c>
      <c r="M11" t="str">
        <f>UPPER(B11)</f>
        <v>BUILDING DEMOLITION</v>
      </c>
    </row>
    <row r="12" ht="14.25" customHeight="1">
      <c r="A12" s="13">
        <v>33000</v>
      </c>
      <c r="B12" t="str">
        <v>Cast-In-Place Concrete</v>
      </c>
      <c r="G12" s="8">
        <f>SUMIF('Bid Sheet'!$B$7:$B$151,'MCN Summary'!A12,'Bid Sheet'!$E$7:$E$151)</f>
        <v>1546885.61</v>
      </c>
      <c r="H12" s="9">
        <f>G12/$D$7</f>
        <v>77.34428052</v>
      </c>
      <c r="J12">
        <v>1</v>
      </c>
      <c r="K12">
        <f>SUBTOTAL(109,J$9:J12)</f>
        <v>4</v>
      </c>
      <c r="M12" t="str">
        <f>UPPER(B12)</f>
        <v>CAST-IN-PLACE CONCRETE</v>
      </c>
    </row>
    <row r="13" ht="14.25" customHeight="1">
      <c r="A13" s="13">
        <v>34000</v>
      </c>
      <c r="B13" t="str">
        <v>Precast Concrete</v>
      </c>
      <c r="G13" s="8">
        <f>SUMIF('Bid Sheet'!$B$7:$B$151,'MCN Summary'!A13,'Bid Sheet'!$E$7:$E$151)</f>
        <v>0</v>
      </c>
      <c r="H13" s="9">
        <f>G13/$D$7</f>
        <v>0</v>
      </c>
      <c r="J13">
        <v>1</v>
      </c>
      <c r="K13">
        <f>SUBTOTAL(109,J$9:J13)</f>
        <v>5</v>
      </c>
      <c r="M13" t="str">
        <f>UPPER(B13)</f>
        <v>PRECAST CONCRETE</v>
      </c>
    </row>
    <row r="14" ht="14.25" customHeight="1">
      <c r="A14" s="13">
        <v>42000</v>
      </c>
      <c r="B14" t="str">
        <v>Masonry</v>
      </c>
      <c r="G14" s="8">
        <f>SUMIF('Bid Sheet'!$B$7:$B$151,'MCN Summary'!A14,'Bid Sheet'!$E$7:$E$151)</f>
        <v>1427888.82</v>
      </c>
      <c r="H14" s="9">
        <f>G14/$D$7</f>
        <v>71.394441</v>
      </c>
      <c r="J14">
        <v>1</v>
      </c>
      <c r="K14">
        <f>SUBTOTAL(109,J$9:J14)</f>
        <v>6</v>
      </c>
      <c r="M14" t="str">
        <f>UPPER(B14)</f>
        <v>MASONRY</v>
      </c>
    </row>
    <row r="15" ht="14.25" customHeight="1">
      <c r="A15" s="13">
        <v>44000</v>
      </c>
      <c r="B15" t="str">
        <v>Stone</v>
      </c>
      <c r="G15" s="8">
        <f>SUMIF('Bid Sheet'!$B$7:$B$151,'MCN Summary'!A15,'Bid Sheet'!$E$7:$E$151)</f>
        <v>0</v>
      </c>
      <c r="H15" s="9">
        <f>G15/$D$7</f>
        <v>0</v>
      </c>
      <c r="J15">
        <v>1</v>
      </c>
      <c r="K15">
        <f>SUBTOTAL(109,J$9:J15)</f>
        <v>7</v>
      </c>
      <c r="M15" t="str">
        <f>UPPER(B15)</f>
        <v>STONE</v>
      </c>
    </row>
    <row r="16" ht="14.25" customHeight="1">
      <c r="A16" s="13">
        <v>51000</v>
      </c>
      <c r="B16" t="str">
        <v>Structural Steel</v>
      </c>
      <c r="G16" s="8">
        <f>SUMIF('Bid Sheet'!$B$7:$B$151,'MCN Summary'!A16,'Bid Sheet'!$E$7:$E$151)</f>
        <v>1808970</v>
      </c>
      <c r="H16" s="9">
        <f>G16/$D$7</f>
        <v>90.4485</v>
      </c>
      <c r="J16">
        <v>1</v>
      </c>
      <c r="K16">
        <f>SUBTOTAL(109,J$9:J16)</f>
        <v>8</v>
      </c>
      <c r="M16" t="str">
        <f>UPPER(B16)</f>
        <v>STRUCTURAL STEEL</v>
      </c>
    </row>
    <row r="17" ht="14.25" customHeight="1">
      <c r="A17" s="13">
        <v>55000</v>
      </c>
      <c r="B17" t="str">
        <v>Miscellaneous Metals</v>
      </c>
      <c r="G17" s="8">
        <f>SUMIF('Bid Sheet'!$B$7:$B$151,'MCN Summary'!A17,'Bid Sheet'!$E$7:$E$151)</f>
        <v>0</v>
      </c>
      <c r="H17" s="9">
        <f>G17/$D$7</f>
        <v>0</v>
      </c>
      <c r="J17">
        <v>1</v>
      </c>
      <c r="K17">
        <f>SUBTOTAL(109,J$9:J17)</f>
        <v>9</v>
      </c>
      <c r="M17" t="str">
        <f>UPPER(B17)</f>
        <v>MISCELLANEOUS METALS</v>
      </c>
    </row>
    <row r="18" ht="14.25" customHeight="1">
      <c r="A18" s="13">
        <v>61000</v>
      </c>
      <c r="B18" t="str">
        <v>Rough Carpentry</v>
      </c>
      <c r="G18" s="8">
        <f>SUMIF('Bid Sheet'!$B$7:$B$151,'MCN Summary'!A18,'Bid Sheet'!$E$7:$E$151)</f>
        <v>145656</v>
      </c>
      <c r="H18" s="9">
        <f>G18/$D$7</f>
        <v>7.2828</v>
      </c>
      <c r="J18">
        <v>1</v>
      </c>
      <c r="K18">
        <f>SUBTOTAL(109,J$9:J18)</f>
        <v>10</v>
      </c>
      <c r="M18" t="str">
        <f>UPPER(B18)</f>
        <v>ROUGH CARPENTRY</v>
      </c>
    </row>
    <row r="19" ht="14.25" customHeight="1">
      <c r="A19" s="13">
        <v>62000</v>
      </c>
      <c r="B19" t="str">
        <v>Finish Carpentry</v>
      </c>
      <c r="G19" s="8">
        <f>SUMIF('Bid Sheet'!$B$7:$B$151,'MCN Summary'!A19,'Bid Sheet'!$E$7:$E$151)</f>
        <v>0</v>
      </c>
      <c r="H19" s="9">
        <f>G19/$D$7</f>
        <v>0</v>
      </c>
      <c r="J19">
        <v>1</v>
      </c>
      <c r="K19">
        <f>SUBTOTAL(109,J$9:J19)</f>
        <v>11</v>
      </c>
      <c r="M19" t="str">
        <f>UPPER(B19)</f>
        <v>FINISH CARPENTRY</v>
      </c>
    </row>
    <row r="20" ht="14.25" customHeight="1">
      <c r="A20" s="13">
        <v>64000</v>
      </c>
      <c r="B20" t="str">
        <v>Architectural Millwork</v>
      </c>
      <c r="G20" s="8">
        <f>SUMIF('Bid Sheet'!$B$7:$B$151,'MCN Summary'!A20,'Bid Sheet'!$E$7:$E$151)</f>
        <v>110399.7</v>
      </c>
      <c r="H20" s="9">
        <f>G20/$D$7</f>
        <v>5.519985</v>
      </c>
      <c r="J20">
        <v>1</v>
      </c>
      <c r="K20">
        <f>SUBTOTAL(109,J$9:J20)</f>
        <v>12</v>
      </c>
      <c r="M20" t="str">
        <f>UPPER(B20)</f>
        <v>ARCHITECTURAL MILLWORK</v>
      </c>
    </row>
    <row r="21" ht="14.25" customHeight="1">
      <c r="A21" s="13">
        <v>71000</v>
      </c>
      <c r="B21" t="str">
        <v>Waterproofing/Dampproofing</v>
      </c>
      <c r="G21" s="8">
        <f>SUMIF('Bid Sheet'!$B$7:$B$151,'MCN Summary'!A21,'Bid Sheet'!$E$7:$E$151)</f>
        <v>353474.88</v>
      </c>
      <c r="H21" s="9">
        <f>G21/$D$7</f>
        <v>17.673744</v>
      </c>
      <c r="J21">
        <v>1</v>
      </c>
      <c r="K21">
        <f>SUBTOTAL(109,J$9:J21)</f>
        <v>13</v>
      </c>
      <c r="M21" t="str">
        <f>UPPER(B21)</f>
        <v>WATERPROOFING/DAMPPROOFING</v>
      </c>
    </row>
    <row r="22" ht="14.25" customHeight="1">
      <c r="A22" s="13">
        <v>72400</v>
      </c>
      <c r="B22" t="str">
        <v>Eifs/Stucco</v>
      </c>
      <c r="G22" s="8">
        <f>SUMIF('Bid Sheet'!$B$7:$B$151,'MCN Summary'!A22,'Bid Sheet'!$E$7:$E$151)</f>
        <v>0</v>
      </c>
      <c r="H22" s="9">
        <f>G22/$D$7</f>
        <v>0</v>
      </c>
      <c r="J22">
        <v>1</v>
      </c>
      <c r="K22">
        <f>SUBTOTAL(109,J$9:J22)</f>
        <v>14</v>
      </c>
      <c r="M22" t="str">
        <f>UPPER(B22)</f>
        <v>EIFS/STUCCO</v>
      </c>
    </row>
    <row r="23" ht="14.25" customHeight="1">
      <c r="A23" s="13">
        <v>72700</v>
      </c>
      <c r="B23" t="str">
        <v>Air Barrier</v>
      </c>
      <c r="G23" s="8">
        <f>SUMIF('Bid Sheet'!$B$7:$B$151,'MCN Summary'!A23,'Bid Sheet'!$E$7:$E$151)</f>
        <v>0</v>
      </c>
      <c r="H23" s="9">
        <f>G23/$D$7</f>
        <v>0</v>
      </c>
      <c r="J23">
        <v>1</v>
      </c>
      <c r="K23">
        <f>SUBTOTAL(109,J$9:J23)</f>
        <v>15</v>
      </c>
      <c r="M23" t="str">
        <f>UPPER(B23)</f>
        <v>AIR BARRIER</v>
      </c>
    </row>
    <row r="24" ht="14.25" customHeight="1">
      <c r="A24" s="13">
        <v>78000</v>
      </c>
      <c r="B24" t="str">
        <v>Spray Applied Fireproofing</v>
      </c>
      <c r="G24" s="8">
        <f>SUMIF('Bid Sheet'!$B$7:$B$151,'MCN Summary'!A24,'Bid Sheet'!$E$7:$E$151)</f>
        <v>0</v>
      </c>
      <c r="H24" s="9">
        <f>G24/$D$7</f>
        <v>0</v>
      </c>
      <c r="J24">
        <v>1</v>
      </c>
      <c r="K24">
        <f>SUBTOTAL(109,J$9:J24)</f>
        <v>16</v>
      </c>
      <c r="M24" t="str">
        <f>UPPER(B24)</f>
        <v>SPRAY APPLIED FIREPROOFING</v>
      </c>
    </row>
    <row r="25" ht="14.25" customHeight="1">
      <c r="A25" s="13">
        <v>74000</v>
      </c>
      <c r="B25" t="str">
        <v>Siding And Wall Panels</v>
      </c>
      <c r="G25" s="8">
        <f>SUMIF('Bid Sheet'!$B$7:$B$151,'MCN Summary'!A25,'Bid Sheet'!$E$7:$E$151)</f>
        <v>194004</v>
      </c>
      <c r="H25" s="9">
        <f>G25/$D$7</f>
        <v>9.7002</v>
      </c>
      <c r="J25">
        <v>1</v>
      </c>
      <c r="K25">
        <f>SUBTOTAL(109,J$9:J25)</f>
        <v>17</v>
      </c>
      <c r="M25" t="str">
        <f>UPPER(B25)</f>
        <v>SIDING AND WALL PANELS</v>
      </c>
    </row>
    <row r="26" ht="14.25" customHeight="1">
      <c r="A26" s="13">
        <v>75000</v>
      </c>
      <c r="B26" t="str">
        <v>Roofing</v>
      </c>
      <c r="G26" s="8">
        <f>SUMIF('Bid Sheet'!$B$7:$B$151,'MCN Summary'!A26,'Bid Sheet'!$E$7:$E$151)</f>
        <v>901053.0176</v>
      </c>
      <c r="H26" s="9">
        <f>G26/$D$7</f>
        <v>45.05265088</v>
      </c>
      <c r="J26">
        <v>1</v>
      </c>
      <c r="K26">
        <f>SUBTOTAL(109,J$9:J26)</f>
        <v>18</v>
      </c>
      <c r="M26" t="str">
        <f>UPPER(B26)</f>
        <v>ROOFING</v>
      </c>
    </row>
    <row r="27" ht="14.25" customHeight="1">
      <c r="A27" s="13">
        <v>79000</v>
      </c>
      <c r="B27" t="str">
        <v>Joint Sealants</v>
      </c>
      <c r="G27" s="8">
        <f>SUMIF('Bid Sheet'!$B$7:$B$151,'MCN Summary'!A27,'Bid Sheet'!$E$7:$E$151)</f>
        <v>50184</v>
      </c>
      <c r="H27" s="9">
        <f>G27/$D$7</f>
        <v>2.5092</v>
      </c>
      <c r="J27">
        <v>1</v>
      </c>
      <c r="K27">
        <f>SUBTOTAL(109,J$9:J27)</f>
        <v>19</v>
      </c>
      <c r="M27" t="str">
        <f>UPPER(B27)</f>
        <v>JOINT SEALANTS</v>
      </c>
    </row>
    <row r="28" ht="14.25" customHeight="1">
      <c r="A28" s="13">
        <v>81000</v>
      </c>
      <c r="B28" t="str">
        <v>Doors, Frames, &amp; Hardware</v>
      </c>
      <c r="G28" s="8">
        <f>SUMIF('Bid Sheet'!$B$7:$B$151,'MCN Summary'!A28,'Bid Sheet'!$E$7:$E$151)</f>
        <v>155478.192</v>
      </c>
      <c r="H28" s="9">
        <f>G28/$D$7</f>
        <v>7.7739096</v>
      </c>
      <c r="J28">
        <v>1</v>
      </c>
      <c r="K28">
        <f>SUBTOTAL(109,J$9:J28)</f>
        <v>20</v>
      </c>
      <c r="M28" t="str">
        <f>UPPER(B28)</f>
        <v>DOORS, FRAMES, &amp; HARDWARE</v>
      </c>
    </row>
    <row r="29" ht="14.25" customHeight="1">
      <c r="A29" s="13">
        <v>83000</v>
      </c>
      <c r="B29" t="str">
        <v>Special Doors</v>
      </c>
      <c r="G29" s="8">
        <f>SUMIF('Bid Sheet'!$B$7:$B$151,'MCN Summary'!A29,'Bid Sheet'!$E$7:$E$151)</f>
        <v>17229.84</v>
      </c>
      <c r="H29" s="9">
        <f>G29/$D$7</f>
        <v>0.861492</v>
      </c>
      <c r="J29">
        <v>1</v>
      </c>
      <c r="K29">
        <f>SUBTOTAL(109,J$9:J29)</f>
        <v>21</v>
      </c>
      <c r="M29" t="str">
        <f>UPPER(B29)</f>
        <v>SPECIAL DOORS</v>
      </c>
    </row>
    <row r="30" ht="14.25" customHeight="1">
      <c r="A30" s="13">
        <v>84000</v>
      </c>
      <c r="B30" t="str">
        <v>Glass &amp; Glazing</v>
      </c>
      <c r="G30" s="8">
        <f>SUMIF('Bid Sheet'!$B$7:$B$151,'MCN Summary'!A30,'Bid Sheet'!$E$7:$E$151)</f>
        <v>639450.24</v>
      </c>
      <c r="H30" s="9">
        <f>G30/$D$7</f>
        <v>31.972512</v>
      </c>
      <c r="J30">
        <v>1</v>
      </c>
      <c r="K30">
        <f>SUBTOTAL(109,J$9:J30)</f>
        <v>22</v>
      </c>
      <c r="M30" t="str">
        <f>UPPER(B30)</f>
        <v>GLASS &amp; GLAZING</v>
      </c>
    </row>
    <row r="31" ht="14.25" customHeight="1">
      <c r="A31" s="13">
        <v>92000</v>
      </c>
      <c r="B31" t="str">
        <v>Drywall And Ceilings</v>
      </c>
      <c r="G31" s="8">
        <f>SUMIF('Bid Sheet'!$B$7:$B$151,'MCN Summary'!A31,'Bid Sheet'!$E$7:$E$151)</f>
        <v>1207715.7</v>
      </c>
      <c r="H31" s="9">
        <f>G31/$D$7</f>
        <v>60.385785</v>
      </c>
      <c r="J31">
        <v>1</v>
      </c>
      <c r="K31">
        <f>SUBTOTAL(109,J$9:J31)</f>
        <v>23</v>
      </c>
      <c r="M31" t="str">
        <f>UPPER(B31)</f>
        <v>DRYWALL AND CEILINGS</v>
      </c>
    </row>
    <row r="32" ht="14.25" customHeight="1">
      <c r="A32" s="13">
        <v>92400</v>
      </c>
      <c r="B32" t="str">
        <v>Plaster</v>
      </c>
      <c r="G32" s="8">
        <f>SUMIF('Bid Sheet'!$B$7:$B$151,'MCN Summary'!A32,'Bid Sheet'!$E$7:$E$151)</f>
        <v>0</v>
      </c>
      <c r="H32" s="9">
        <f>G32/$D$7</f>
        <v>0</v>
      </c>
      <c r="J32">
        <v>1</v>
      </c>
      <c r="K32">
        <f>SUBTOTAL(109,J$9:J32)</f>
        <v>24</v>
      </c>
      <c r="M32" t="str">
        <f>UPPER(B32)</f>
        <v>PLASTER</v>
      </c>
    </row>
    <row r="33" ht="14.25" customHeight="1">
      <c r="A33" s="13">
        <v>93000</v>
      </c>
      <c r="B33" t="str">
        <v>Tile</v>
      </c>
      <c r="G33" s="8">
        <f>SUMIF('Bid Sheet'!$B$7:$B$151,'MCN Summary'!A33,'Bid Sheet'!$E$7:$E$151)</f>
        <v>66059.28</v>
      </c>
      <c r="H33" s="9">
        <f>G33/$D$7</f>
        <v>3.302964</v>
      </c>
      <c r="J33">
        <v>1</v>
      </c>
      <c r="K33">
        <f>SUBTOTAL(109,J$9:J33)</f>
        <v>25</v>
      </c>
      <c r="M33" t="str">
        <f>UPPER(B33)</f>
        <v>TILE</v>
      </c>
    </row>
    <row r="34" ht="14.25" customHeight="1">
      <c r="A34" s="13">
        <v>96000</v>
      </c>
      <c r="B34" t="str">
        <v>Flooring</v>
      </c>
      <c r="G34" s="8">
        <f>SUMIF('Bid Sheet'!$B$7:$B$151,'MCN Summary'!A34,'Bid Sheet'!$E$7:$E$151)</f>
        <v>221540.94</v>
      </c>
      <c r="H34" s="9">
        <f>G34/$D$7</f>
        <v>11.077047</v>
      </c>
      <c r="J34">
        <v>1</v>
      </c>
      <c r="K34">
        <f>SUBTOTAL(109,J$9:J34)</f>
        <v>26</v>
      </c>
      <c r="M34" t="str">
        <f>UPPER(B34)</f>
        <v>FLOORING</v>
      </c>
    </row>
    <row r="35" ht="14.25" customHeight="1">
      <c r="A35" s="13">
        <v>99000</v>
      </c>
      <c r="B35" t="str">
        <v>Painting &amp; Wall Covering</v>
      </c>
      <c r="G35" s="8">
        <f>SUMIF('Bid Sheet'!$B$7:$B$151,'MCN Summary'!A35,'Bid Sheet'!$E$7:$E$151)</f>
        <v>113230.2</v>
      </c>
      <c r="H35" s="9">
        <f>G35/$D$7</f>
        <v>5.66151</v>
      </c>
      <c r="J35">
        <v>1</v>
      </c>
      <c r="K35">
        <f>SUBTOTAL(109,J$9:J35)</f>
        <v>27</v>
      </c>
      <c r="M35" t="str">
        <f>UPPER(B35)</f>
        <v>PAINTING &amp; WALL COVERING</v>
      </c>
    </row>
    <row r="36" ht="14.25" customHeight="1">
      <c r="A36" s="13">
        <v>100000</v>
      </c>
      <c r="B36" t="str">
        <v>Specialties</v>
      </c>
      <c r="G36" s="8">
        <f>SUMIF('Bid Sheet'!$B$7:$B$151,'MCN Summary'!A36,'Bid Sheet'!$E$7:$E$151)</f>
        <v>370199.82</v>
      </c>
      <c r="H36" s="9">
        <f>G36/$D$7</f>
        <v>18.509991</v>
      </c>
      <c r="J36">
        <v>1</v>
      </c>
      <c r="K36">
        <f>SUBTOTAL(109,J$9:J36)</f>
        <v>28</v>
      </c>
      <c r="M36" t="str">
        <f>UPPER(B36)</f>
        <v>SPECIALTIES</v>
      </c>
    </row>
    <row r="37" ht="14.25" customHeight="1">
      <c r="A37" s="13">
        <v>110000</v>
      </c>
      <c r="B37" t="str">
        <v>Equipment</v>
      </c>
      <c r="G37" s="8">
        <f>SUMIF('Bid Sheet'!$B$7:$B$151,'MCN Summary'!A37,'Bid Sheet'!$E$7:$E$151)</f>
        <v>0</v>
      </c>
      <c r="H37" s="9">
        <f>G37/$D$7</f>
        <v>0</v>
      </c>
      <c r="J37">
        <v>1</v>
      </c>
      <c r="K37">
        <f>SUBTOTAL(109,J$9:J37)</f>
        <v>29</v>
      </c>
      <c r="M37" t="str">
        <f>UPPER(B37)</f>
        <v>EQUIPMENT</v>
      </c>
    </row>
    <row r="38" ht="14.25" customHeight="1">
      <c r="A38" s="13">
        <v>120000</v>
      </c>
      <c r="B38" t="str">
        <v>Furnishings</v>
      </c>
      <c r="G38" s="8">
        <f>SUMIF('Bid Sheet'!$B$7:$B$151,'MCN Summary'!A38,'Bid Sheet'!$E$7:$E$151)</f>
        <v>187204.272</v>
      </c>
      <c r="H38" s="9">
        <f>G38/$D$7</f>
        <v>9.3602136</v>
      </c>
      <c r="J38">
        <v>1</v>
      </c>
      <c r="K38">
        <f>SUBTOTAL(109,J$9:J38)</f>
        <v>30</v>
      </c>
      <c r="M38" t="str">
        <f>UPPER(B38)</f>
        <v>FURNISHINGS</v>
      </c>
    </row>
    <row r="39" ht="14.25" customHeight="1">
      <c r="A39" s="13">
        <v>123000</v>
      </c>
      <c r="B39" t="str">
        <v>Casework &amp; Countertops</v>
      </c>
      <c r="G39" s="8">
        <f>SUMIF('Bid Sheet'!$B$7:$B$151,'MCN Summary'!A39,'Bid Sheet'!$E$7:$E$151)</f>
        <v>0</v>
      </c>
      <c r="H39" s="9">
        <f>G39/$D$7</f>
        <v>0</v>
      </c>
      <c r="J39">
        <v>1</v>
      </c>
      <c r="K39">
        <f>SUBTOTAL(109,J$9:J39)</f>
        <v>31</v>
      </c>
      <c r="M39" t="str">
        <f>UPPER(B39)</f>
        <v>CASEWORK &amp; COUNTERTOPS</v>
      </c>
    </row>
    <row r="40" ht="14.25" customHeight="1">
      <c r="A40" s="13">
        <v>140000</v>
      </c>
      <c r="B40" t="str">
        <v>Elevators</v>
      </c>
      <c r="G40" s="8">
        <f>SUMIF('Bid Sheet'!$B$7:$B$151,'MCN Summary'!A40,'Bid Sheet'!$E$7:$E$151)</f>
        <v>344148</v>
      </c>
      <c r="H40" s="9">
        <f>G40/$D$7</f>
        <v>17.2074</v>
      </c>
      <c r="J40">
        <v>1</v>
      </c>
      <c r="K40">
        <f>SUBTOTAL(109,J$9:J40)</f>
        <v>32</v>
      </c>
      <c r="M40" t="str">
        <f>UPPER(B40)</f>
        <v>ELEVATORS</v>
      </c>
    </row>
    <row r="41" ht="14.25" customHeight="1">
      <c r="A41" s="13">
        <v>210000</v>
      </c>
      <c r="B41" t="str">
        <v>Fire Protection</v>
      </c>
      <c r="G41" s="8">
        <f>SUMIF('Bid Sheet'!$B$7:$B$151,'MCN Summary'!A41,'Bid Sheet'!$E$7:$E$151)</f>
        <v>0</v>
      </c>
      <c r="H41" s="9">
        <f>G41/$D$7</f>
        <v>0</v>
      </c>
      <c r="J41">
        <v>1</v>
      </c>
      <c r="K41">
        <f>SUBTOTAL(109,J$9:J41)</f>
        <v>33</v>
      </c>
      <c r="M41" t="str">
        <f>UPPER(B41)</f>
        <v>FIRE PROTECTION</v>
      </c>
    </row>
    <row r="42" ht="14.25" customHeight="1">
      <c r="A42" s="13">
        <v>220000</v>
      </c>
      <c r="B42" t="str">
        <v>Plumbing</v>
      </c>
      <c r="G42" s="8">
        <f>SUMIF('Bid Sheet'!$B$7:$B$151,'MCN Summary'!A42,'Bid Sheet'!$E$7:$E$151)</f>
        <v>983280</v>
      </c>
      <c r="H42" s="9">
        <f>G42/$D$7</f>
        <v>49.164</v>
      </c>
      <c r="J42">
        <v>1</v>
      </c>
      <c r="K42">
        <f>SUBTOTAL(109,J$9:J42)</f>
        <v>34</v>
      </c>
      <c r="M42" t="str">
        <f>UPPER(B42)</f>
        <v>PLUMBING</v>
      </c>
    </row>
    <row r="43" ht="14.25" customHeight="1">
      <c r="A43" s="13">
        <v>230000</v>
      </c>
      <c r="B43" t="str">
        <v>H.V.A.C.</v>
      </c>
      <c r="G43" s="8">
        <f>SUMIF('Bid Sheet'!$B$7:$B$151,'MCN Summary'!A43,'Bid Sheet'!$E$7:$E$151)</f>
        <v>1857313.92</v>
      </c>
      <c r="H43" s="9">
        <f>G43/$D$7</f>
        <v>92.865696</v>
      </c>
      <c r="J43">
        <v>1</v>
      </c>
      <c r="K43">
        <f>SUBTOTAL(109,J$9:J43)</f>
        <v>35</v>
      </c>
      <c r="M43" t="str">
        <f>UPPER(B43)</f>
        <v>H.V.A.C.</v>
      </c>
    </row>
    <row r="44" ht="14.25" customHeight="1">
      <c r="A44" s="13">
        <v>260000</v>
      </c>
      <c r="B44" t="str">
        <v>Electrical</v>
      </c>
      <c r="G44" s="8">
        <f>SUMIF('Bid Sheet'!$B$7:$B$151,'MCN Summary'!A44,'Bid Sheet'!$E$7:$E$151)</f>
        <v>2827110.132</v>
      </c>
      <c r="H44" s="9">
        <f>G44/$D$7</f>
        <v>141.3555066</v>
      </c>
      <c r="J44">
        <v>1</v>
      </c>
      <c r="K44">
        <f>SUBTOTAL(109,J$9:J44)</f>
        <v>36</v>
      </c>
      <c r="M44" t="str">
        <f>UPPER(B44)</f>
        <v>ELECTRICAL</v>
      </c>
    </row>
    <row r="45" ht="14.25" customHeight="1">
      <c r="A45" s="13">
        <v>270000</v>
      </c>
      <c r="B45" t="str">
        <v xml:space="preserve">Low Voltage </v>
      </c>
      <c r="G45" s="8">
        <f>SUMIF('Bid Sheet'!$B$7:$B$151,'MCN Summary'!A45,'Bid Sheet'!$E$7:$E$151)</f>
        <v>428816.16</v>
      </c>
      <c r="H45" s="9">
        <f>G45/$D$7</f>
        <v>21.440808</v>
      </c>
      <c r="J45">
        <v>1</v>
      </c>
      <c r="K45">
        <f>SUBTOTAL(109,J$9:J45)</f>
        <v>37</v>
      </c>
      <c r="M45" t="str">
        <f>UPPER(B45)</f>
        <v xml:space="preserve">LOW VOLTAGE </v>
      </c>
    </row>
    <row r="46" ht="14.25" customHeight="1">
      <c r="A46" s="13">
        <v>310000</v>
      </c>
      <c r="B46" t="str">
        <v>Earthwork</v>
      </c>
      <c r="G46" s="8">
        <f>SUMIF('Bid Sheet'!$B$7:$B$151,'MCN Summary'!A46,'Bid Sheet'!$E$7:$E$151)</f>
        <v>640382.52</v>
      </c>
      <c r="H46" s="9">
        <f>G46/$D$7</f>
        <v>32.019126</v>
      </c>
      <c r="J46">
        <v>1</v>
      </c>
      <c r="K46">
        <f>SUBTOTAL(109,J$9:J46)</f>
        <v>38</v>
      </c>
      <c r="M46" t="str">
        <f>UPPER(B46)</f>
        <v>EARTHWORK</v>
      </c>
    </row>
    <row r="47" ht="14.25" customHeight="1">
      <c r="A47" s="13">
        <v>320000</v>
      </c>
      <c r="B47" t="str">
        <v>Site Improvements</v>
      </c>
      <c r="G47" s="8">
        <f>SUMIF('Bid Sheet'!$B$7:$B$151,'MCN Summary'!A47,'Bid Sheet'!$E$7:$E$151)</f>
        <v>1047698.039</v>
      </c>
      <c r="H47" s="9">
        <f>G47/$D$7</f>
        <v>52.38490194</v>
      </c>
      <c r="J47">
        <v>1</v>
      </c>
      <c r="K47">
        <f>SUBTOTAL(109,J$9:J47)</f>
        <v>39</v>
      </c>
      <c r="M47" t="str">
        <f>UPPER(B47)</f>
        <v>SITE IMPROVEMENTS</v>
      </c>
    </row>
    <row r="48" ht="14.25" customHeight="1">
      <c r="A48" s="13">
        <v>330000</v>
      </c>
      <c r="B48" t="str">
        <v>Site Utilities</v>
      </c>
      <c r="G48" s="8">
        <f>SUMIF('Bid Sheet'!$B$7:$B$151,'MCN Summary'!A48,'Bid Sheet'!$E$7:$E$151)</f>
        <v>1833210.565</v>
      </c>
      <c r="H48" s="9">
        <f>G48/$D$7</f>
        <v>91.66052826</v>
      </c>
      <c r="J48">
        <v>1</v>
      </c>
      <c r="K48">
        <f>SUBTOTAL(109,J$9:J48)</f>
        <v>40</v>
      </c>
      <c r="M48" t="str">
        <f>UPPER(B48)</f>
        <v>SITE UTILITIES</v>
      </c>
    </row>
    <row r="49" ht="14.25" customHeight="1">
      <c r="F49" t="str">
        <v xml:space="preserve">Total Trades Cost  </v>
      </c>
      <c r="G49" s="8">
        <f>SUM(G10:G48)</f>
        <v>20209923.85</v>
      </c>
      <c r="H49" s="9">
        <f>G49/$D$7</f>
        <v>1010.496192</v>
      </c>
      <c r="J49">
        <v>1</v>
      </c>
      <c r="K49">
        <f>SUBTOTAL(109,J$9:J49)</f>
        <v>41</v>
      </c>
      <c r="L49" t="str">
        <v>CHECK</v>
      </c>
      <c r="M49" t="b">
        <f>'Bid Sheet'!E152='MCN Summary'!G49</f>
        <v>0</v>
      </c>
      <c r="N49" s="3">
        <f>'Bid Sheet'!E152</f>
        <v>20936943.13</v>
      </c>
      <c r="O49" t="str">
        <v>&lt;---- FROM BID SHEET</v>
      </c>
    </row>
    <row r="50" ht="14.25" customHeight="1">
      <c r="B50" t="str">
        <f>'Bid Sheet'!C153</f>
        <v>PERSONNEL GENERAL CONDITIONS</v>
      </c>
      <c r="E50" s="10">
        <f>IF(G50=0,"N/A",G50/G49)</f>
        <v>0.06284041491</v>
      </c>
      <c r="G50" s="8">
        <f>'Bid Sheet'!E153</f>
        <v>1270000</v>
      </c>
      <c r="H50" s="9">
        <f>IFERROR(G50/$D$7,"")</f>
        <v>63.5</v>
      </c>
      <c r="J50">
        <v>1</v>
      </c>
      <c r="K50">
        <f>SUBTOTAL(109,$J$49:J50)</f>
        <v>2</v>
      </c>
      <c r="M50" t="str">
        <f>UPPER(B50)</f>
        <v>PERSONNEL GENERAL CONDITIONS</v>
      </c>
    </row>
    <row r="51" ht="14.25" customHeight="1">
      <c r="B51" t="str">
        <f>'Bid Sheet'!C154</f>
        <v>GENERAL CONDITIONS-NON PERSONNEL</v>
      </c>
      <c r="G51" s="8">
        <f>'Bid Sheet'!$E154</f>
        <v>0</v>
      </c>
      <c r="H51" s="9">
        <f>IFERROR(G51/$D$7,"")</f>
        <v>0</v>
      </c>
      <c r="J51">
        <v>1</v>
      </c>
      <c r="K51">
        <f>SUBTOTAL(109,$J$49:J51)</f>
        <v>3</v>
      </c>
      <c r="M51" t="str">
        <f>UPPER(B51)</f>
        <v>GENERAL CONDITIONS-NON PERSONNEL</v>
      </c>
    </row>
    <row r="52" ht="14.25" customHeight="1">
      <c r="B52" t="str">
        <f>'Bid Sheet'!C160</f>
        <v>PUBLIC SPACE IMPROVEMENTS (BY OWNER)</v>
      </c>
      <c r="G52" s="8">
        <f>'Bid Sheet'!$E160</f>
        <v>0</v>
      </c>
      <c r="H52" s="9">
        <f>IFERROR(G52/$D$7,"")</f>
        <v>0</v>
      </c>
      <c r="J52">
        <v>1</v>
      </c>
      <c r="K52">
        <f>SUBTOTAL(109,$J$49:J52)</f>
        <v>4</v>
      </c>
      <c r="M52" t="str">
        <f>UPPER(B52)</f>
        <v>PUBLIC SPACE IMPROVEMENTS (BY OWNER)</v>
      </c>
    </row>
    <row r="53" ht="14.25" customHeight="1">
      <c r="B53" t="str">
        <f>'Bid Sheet'!C168</f>
        <v>ESCALATION</v>
      </c>
      <c r="G53" s="8">
        <f>'Bid Sheet'!$E168</f>
        <v>0</v>
      </c>
      <c r="H53" s="9">
        <f>IFERROR(G53/$D$7,"")</f>
        <v>0</v>
      </c>
      <c r="J53">
        <v>1</v>
      </c>
      <c r="K53">
        <f>SUBTOTAL(109,$J$49:J53)</f>
        <v>5</v>
      </c>
      <c r="M53" t="str">
        <f>UPPER(B53)</f>
        <v>ESCALATION</v>
      </c>
    </row>
    <row r="54" ht="14.25" customHeight="1">
      <c r="B54" t="str">
        <f>'Bid Sheet'!C169</f>
        <v xml:space="preserve">PERFORMANCE &amp; PAYMENT BOND </v>
      </c>
      <c r="G54" s="8">
        <f>'Bid Sheet'!$E169</f>
        <v>324450.7439</v>
      </c>
      <c r="H54" s="9">
        <f>IFERROR(G54/$D$7,"")</f>
        <v>16.2225372</v>
      </c>
      <c r="J54">
        <v>1</v>
      </c>
      <c r="K54">
        <f>SUBTOTAL(109,$J$49:J54)</f>
        <v>6</v>
      </c>
      <c r="M54" t="str">
        <f>UPPER(B54)</f>
        <v xml:space="preserve">PERFORMANCE &amp; PAYMENT BOND </v>
      </c>
    </row>
    <row r="55" ht="14.25" customHeight="1">
      <c r="B55" t="str">
        <f>'Bid Sheet'!#REF!</f>
        <v>#ERROR!</v>
      </c>
      <c r="G55" s="8" t="str">
        <f>'Bid Sheet'!#REF!</f>
        <v>#ERROR!</v>
      </c>
      <c r="H55" s="9" t="str">
        <f>IFERROR(G55/$D$7,"")</f>
        <v/>
      </c>
      <c r="J55">
        <v>1</v>
      </c>
      <c r="K55">
        <f>SUBTOTAL(109,$J$49:J55)</f>
        <v>7</v>
      </c>
      <c r="M55" t="str">
        <f>UPPER(B55)</f>
        <v>#ERROR!</v>
      </c>
    </row>
    <row r="56" ht="14.25" customHeight="1">
      <c r="B56" t="str">
        <f>'Bid Sheet'!#REF!</f>
        <v>#ERROR!</v>
      </c>
      <c r="G56" s="8" t="str">
        <f>'Bid Sheet'!#REF!</f>
        <v>#ERROR!</v>
      </c>
      <c r="H56" s="9" t="str">
        <f>IFERROR(G56/$D$7,"")</f>
        <v/>
      </c>
      <c r="J56">
        <v>1</v>
      </c>
      <c r="K56">
        <f>SUBTOTAL(109,$J$49:J56)</f>
        <v>8</v>
      </c>
      <c r="M56" t="str">
        <f>UPPER(B56)</f>
        <v>#ERROR!</v>
      </c>
    </row>
    <row r="57" ht="14.25" customHeight="1">
      <c r="B57" t="str">
        <f>'Bid Sheet'!#REF!</f>
        <v>#ERROR!</v>
      </c>
      <c r="G57" s="8" t="str">
        <f>'Bid Sheet'!#REF!</f>
        <v>#ERROR!</v>
      </c>
      <c r="H57" s="9" t="str">
        <f>IFERROR(G57/$D$7,"")</f>
        <v/>
      </c>
      <c r="J57">
        <v>1</v>
      </c>
      <c r="K57">
        <f>SUBTOTAL(109,$J$49:J57)</f>
        <v>9</v>
      </c>
      <c r="M57" t="str">
        <f>UPPER(B57)</f>
        <v>#ERROR!</v>
      </c>
    </row>
    <row r="58" ht="14.25" customHeight="1">
      <c r="B58" t="str">
        <f>'Bid Sheet'!#REF!</f>
        <v>#ERROR!</v>
      </c>
      <c r="G58" s="8" t="str">
        <f>'Bid Sheet'!#REF!</f>
        <v>#ERROR!</v>
      </c>
      <c r="H58" s="9" t="str">
        <f>IFERROR(G58/$D$7,"")</f>
        <v/>
      </c>
      <c r="J58">
        <v>1</v>
      </c>
      <c r="K58">
        <f>SUBTOTAL(109,$J$49:J58)</f>
        <v>10</v>
      </c>
      <c r="M58" t="str">
        <f>UPPER(B58)</f>
        <v>#ERROR!</v>
      </c>
    </row>
    <row r="59" ht="14.25" customHeight="1">
      <c r="B59" t="str">
        <f>'Bid Sheet'!#REF!</f>
        <v>#ERROR!</v>
      </c>
      <c r="G59" s="8" t="str">
        <f>'Bid Sheet'!#REF!</f>
        <v>#ERROR!</v>
      </c>
      <c r="H59" s="9" t="str">
        <f>IFERROR(G59/$D$7,"")</f>
        <v/>
      </c>
      <c r="J59">
        <v>1</v>
      </c>
      <c r="K59">
        <f>SUBTOTAL(109,$J$49:J59)</f>
        <v>11</v>
      </c>
      <c r="M59" t="str">
        <f>UPPER(B59)</f>
        <v>#ERROR!</v>
      </c>
    </row>
    <row r="60" hidden="1" ht="14.25" customHeight="1">
      <c r="B60" t="str">
        <f>'Bid Sheet'!#REF!</f>
        <v>#ERROR!</v>
      </c>
      <c r="G60" s="8" t="str">
        <f>'Bid Sheet'!#REF!</f>
        <v>#ERROR!</v>
      </c>
      <c r="H60" s="9" t="str">
        <f>IFERROR(G60/$D$7,"")</f>
        <v/>
      </c>
      <c r="J60">
        <v>1</v>
      </c>
      <c r="K60">
        <f>SUBTOTAL(109,$J$49:J60)</f>
        <v>11</v>
      </c>
      <c r="M60" t="str">
        <f>UPPER(B60)</f>
        <v>#ERROR!</v>
      </c>
    </row>
    <row r="61" hidden="1" ht="14.25" customHeight="1">
      <c r="B61" t="str">
        <f>'Bid Sheet'!#REF!</f>
        <v>#ERROR!</v>
      </c>
      <c r="G61" s="8" t="str">
        <f>'Bid Sheet'!#REF!</f>
        <v>#ERROR!</v>
      </c>
      <c r="H61" s="9" t="str">
        <f>IFERROR(G61/$D$7,"")</f>
        <v/>
      </c>
      <c r="J61">
        <v>1</v>
      </c>
      <c r="K61">
        <f>SUBTOTAL(109,$J$49:J61)</f>
        <v>11</v>
      </c>
      <c r="M61" t="str">
        <f>UPPER(B61)</f>
        <v>#ERROR!</v>
      </c>
    </row>
    <row r="62" hidden="1" ht="14.25" customHeight="1">
      <c r="B62" t="str">
        <f>'Bid Sheet'!#REF!</f>
        <v>#ERROR!</v>
      </c>
      <c r="G62" s="8" t="str">
        <f>'Bid Sheet'!#REF!</f>
        <v>#ERROR!</v>
      </c>
      <c r="H62" s="9" t="str">
        <f>IFERROR(G62/$D$7,"")</f>
        <v/>
      </c>
      <c r="J62">
        <v>1</v>
      </c>
      <c r="K62">
        <f>SUBTOTAL(109,$J$49:J62)</f>
        <v>11</v>
      </c>
      <c r="M62" t="str">
        <f>UPPER(B62)</f>
        <v>#ERROR!</v>
      </c>
    </row>
    <row r="63" hidden="1" ht="14.25" customHeight="1">
      <c r="B63" t="str">
        <f>'Bid Sheet'!#REF!</f>
        <v>#ERROR!</v>
      </c>
      <c r="G63" s="8" t="str">
        <f>'Bid Sheet'!#REF!</f>
        <v>#ERROR!</v>
      </c>
      <c r="H63" s="9" t="str">
        <f>IFERROR(G63/$D$7,"")</f>
        <v/>
      </c>
      <c r="J63">
        <v>1</v>
      </c>
      <c r="K63">
        <f>SUBTOTAL(109,$J$49:J63)</f>
        <v>11</v>
      </c>
      <c r="M63" t="str">
        <f>UPPER(B63)</f>
        <v>#ERROR!</v>
      </c>
    </row>
    <row r="64" hidden="1" ht="14.25" customHeight="1">
      <c r="B64" t="str">
        <f>'Bid Sheet'!#REF!</f>
        <v>#ERROR!</v>
      </c>
      <c r="G64" s="8" t="str">
        <f>'Bid Sheet'!#REF!</f>
        <v>#ERROR!</v>
      </c>
      <c r="H64" s="9" t="str">
        <f>IFERROR(G64/$D$7,"")</f>
        <v/>
      </c>
      <c r="J64">
        <v>1</v>
      </c>
      <c r="K64">
        <f>SUBTOTAL(109,$J$49:J64)</f>
        <v>11</v>
      </c>
      <c r="M64" t="str">
        <f>UPPER(B64)</f>
        <v>#ERROR!</v>
      </c>
    </row>
    <row r="65" ht="14.25" customHeight="1">
      <c r="B65" t="str">
        <f>'Bid Sheet'!#REF!</f>
        <v>#ERROR!</v>
      </c>
      <c r="E65" s="10" t="str">
        <f>'Bid Sheet'!#REF!</f>
        <v>#ERROR!</v>
      </c>
      <c r="G65" s="8" t="str">
        <f>'Bid Sheet'!#REF!</f>
        <v>#ERROR!</v>
      </c>
      <c r="H65" s="9" t="str">
        <f>IFERROR(G65/$D$7,"")</f>
        <v/>
      </c>
      <c r="J65">
        <v>1</v>
      </c>
      <c r="K65">
        <f>SUBTOTAL(109,$J$49:J65)</f>
        <v>12</v>
      </c>
      <c r="M65" t="str">
        <f>UPPER(B65)</f>
        <v>#ERROR!</v>
      </c>
    </row>
    <row r="66" ht="14.25" customHeight="1">
      <c r="B66" t="str">
        <f>'Bid Sheet'!#REF!</f>
        <v>#ERROR!</v>
      </c>
      <c r="E66" s="10" t="str">
        <f>'Bid Sheet'!#REF!</f>
        <v>#ERROR!</v>
      </c>
      <c r="G66" s="8" t="str">
        <f>'Bid Sheet'!#REF!</f>
        <v>#ERROR!</v>
      </c>
      <c r="H66" s="9" t="str">
        <f>IFERROR(G66/$D$7,"")</f>
        <v/>
      </c>
      <c r="J66">
        <v>1</v>
      </c>
      <c r="K66">
        <f>SUBTOTAL(109,$J$49:J66)</f>
        <v>13</v>
      </c>
      <c r="M66" t="str">
        <f>UPPER(B66)</f>
        <v>#ERROR!</v>
      </c>
    </row>
    <row r="67" ht="14.25" customHeight="1">
      <c r="B67" t="str">
        <f>'Bid Sheet'!#REF!</f>
        <v>#ERROR!</v>
      </c>
      <c r="E67" s="10" t="str">
        <f>'Bid Sheet'!#REF!</f>
        <v>#ERROR!</v>
      </c>
      <c r="G67" s="8" t="str">
        <f>'Bid Sheet'!#REF!</f>
        <v>#ERROR!</v>
      </c>
      <c r="H67" s="9" t="str">
        <f>IFERROR(G67/$D$7,"")</f>
        <v/>
      </c>
      <c r="J67">
        <v>1</v>
      </c>
      <c r="K67">
        <f>SUBTOTAL(109,$J$49:J67)</f>
        <v>14</v>
      </c>
      <c r="M67" t="str">
        <f>UPPER(B67)</f>
        <v>#ERROR!</v>
      </c>
    </row>
    <row r="68" ht="14.25" customHeight="1">
      <c r="B68" t="str">
        <f>'Bid Sheet'!#REF!</f>
        <v>#ERROR!</v>
      </c>
      <c r="E68" s="10" t="str">
        <f>'Bid Sheet'!#REF!</f>
        <v>#ERROR!</v>
      </c>
      <c r="G68" s="8" t="str">
        <f>'Bid Sheet'!#REF!</f>
        <v>#ERROR!</v>
      </c>
      <c r="H68" s="9" t="str">
        <f>IFERROR(G68/$D$7,"")</f>
        <v/>
      </c>
      <c r="J68">
        <v>1</v>
      </c>
      <c r="K68">
        <f>SUBTOTAL(109,$J$49:J68)</f>
        <v>15</v>
      </c>
      <c r="M68" t="str">
        <f>UPPER(B68)</f>
        <v>#ERROR!</v>
      </c>
    </row>
    <row r="69" ht="14.25" customHeight="1">
      <c r="B69" t="str">
        <f>'Bid Sheet'!#REF!</f>
        <v>#ERROR!</v>
      </c>
      <c r="E69" s="10" t="str">
        <f>'Bid Sheet'!#REF!</f>
        <v>#ERROR!</v>
      </c>
      <c r="G69" s="8" t="str">
        <f>'Bid Sheet'!#REF!</f>
        <v>#ERROR!</v>
      </c>
      <c r="H69" s="9" t="str">
        <f>IFERROR(G69/$D$7,"")</f>
        <v/>
      </c>
      <c r="J69">
        <v>1</v>
      </c>
      <c r="K69">
        <f>SUBTOTAL(109,$J$49:J69)</f>
        <v>16</v>
      </c>
      <c r="M69" t="str">
        <f>UPPER(B69)</f>
        <v>#ERROR!</v>
      </c>
    </row>
    <row r="70" ht="14.25" customHeight="1">
      <c r="B70" t="str">
        <f>'Bid Sheet'!#REF!</f>
        <v>#ERROR!</v>
      </c>
      <c r="E70" s="10" t="str">
        <f>'Bid Sheet'!#REF!</f>
        <v>#ERROR!</v>
      </c>
      <c r="G70" s="8" t="str">
        <f>'Bid Sheet'!#REF!</f>
        <v>#ERROR!</v>
      </c>
      <c r="H70" s="9" t="str">
        <f>IFERROR(G70/$D$7,"")</f>
        <v/>
      </c>
      <c r="J70">
        <v>1</v>
      </c>
      <c r="K70">
        <f>SUBTOTAL(109,$J$49:J70)</f>
        <v>17</v>
      </c>
      <c r="M70" t="str">
        <f>UPPER(B70)</f>
        <v>#ERROR!</v>
      </c>
    </row>
    <row r="71" ht="14.25" customHeight="1">
      <c r="B71" t="str">
        <f>'Bid Sheet'!#REF!</f>
        <v>#ERROR!</v>
      </c>
      <c r="E71" s="10" t="str">
        <f>'Bid Sheet'!#REF!</f>
        <v>#ERROR!</v>
      </c>
      <c r="G71" s="8" t="str">
        <f>'Bid Sheet'!#REF!</f>
        <v>#ERROR!</v>
      </c>
      <c r="H71" s="9" t="str">
        <f>IFERROR(G71/$D$7,"")</f>
        <v/>
      </c>
      <c r="J71">
        <v>1</v>
      </c>
      <c r="K71">
        <f>SUBTOTAL(109,$J$49:J71)</f>
        <v>18</v>
      </c>
      <c r="M71" t="str">
        <f>UPPER(B71)</f>
        <v>#ERROR!</v>
      </c>
    </row>
    <row r="72" ht="14.25" customHeight="1">
      <c r="F72" t="str">
        <v xml:space="preserve">Construction Cost  </v>
      </c>
      <c r="G72" s="8" t="str">
        <f>SUM(G49:G71)</f>
        <v>#ERROR!</v>
      </c>
      <c r="H72" s="9" t="str">
        <f>G72/$D$7</f>
        <v>#ERROR!</v>
      </c>
      <c r="J72">
        <v>1</v>
      </c>
      <c r="K72">
        <f>SUBTOTAL(109,$J$49:J72)</f>
        <v>19</v>
      </c>
    </row>
    <row r="73" ht="14.25" customHeight="1">
      <c r="B73" t="str">
        <f>'Bid Sheet'!C172</f>
        <v>GC/CM Fee</v>
      </c>
      <c r="E73" s="10" t="str">
        <f>IF(ISBLANK('Bid Sheet'!#REF!),'Bid Sheet'!B172,"FIXED")</f>
        <v>#ERROR!</v>
      </c>
      <c r="G73" s="8">
        <f>'Bid Sheet'!E172</f>
        <v>825000</v>
      </c>
      <c r="H73" s="9">
        <f>G73/$D$7</f>
        <v>41.25</v>
      </c>
      <c r="M73" t="str">
        <f>UPPER(B73)</f>
        <v>GC/CM FEE</v>
      </c>
    </row>
    <row r="74" ht="14.25" customHeight="1">
      <c r="F74" t="str">
        <v xml:space="preserve">Total Cost  </v>
      </c>
      <c r="G74" s="8" t="str">
        <f>SUM(G73,G49:G71)</f>
        <v>#ERROR!</v>
      </c>
      <c r="H74" s="9" t="str">
        <f>G74/$D$7</f>
        <v>#ERROR!</v>
      </c>
      <c r="L74" t="str">
        <v>CHECK</v>
      </c>
      <c r="M74" t="str">
        <f>'Bid Sheet'!E174='MCN Summary'!G74</f>
        <v>#ERROR!</v>
      </c>
      <c r="N74" s="3">
        <f>'Bid Sheet'!E174</f>
        <v>26107200.28</v>
      </c>
      <c r="O74" t="str">
        <v>&lt;---- FROM BID SHEET</v>
      </c>
    </row>
    <row r="75" ht="14.25" customHeight="1"/>
    <row r="76" ht="36.75" customHeight="1" xml:space="preserve">
      <c r="A76" t="str">
        <v>Alt</v>
      </c>
      <c r="B76" t="str">
        <v>Description</v>
      </c>
      <c r="G76" t="str" xml:space="preserve">
        <v xml:space="preserve">Total
Cost</v>
      </c>
      <c r="L76" t="str">
        <v>Alternate Tab</v>
      </c>
    </row>
    <row r="77" ht="14.25" customHeight="1">
      <c r="A77">
        <v>1</v>
      </c>
      <c r="B77" t="str">
        <v>Text</v>
      </c>
      <c r="G77" s="8">
        <f t="array" ref="G77">INDEX(Alternates!$D$176:$W$176,1,'MCN Summary'!$A77)</f>
        <v>0</v>
      </c>
    </row>
    <row r="78" ht="14.25" customHeight="1">
      <c r="A78">
        <v>2</v>
      </c>
      <c r="G78" s="8">
        <f t="array" ref="G78">INDEX(Alternates!$D$176:$W$176,1,'MCN Summary'!$A78)</f>
        <v>0</v>
      </c>
    </row>
    <row r="79" ht="14.25" customHeight="1">
      <c r="A79">
        <v>3</v>
      </c>
      <c r="G79" s="8">
        <f t="array" ref="G79">INDEX(Alternates!$D$176:$W$176,1,'MCN Summary'!$A79)</f>
        <v>0</v>
      </c>
    </row>
    <row r="80" ht="14.25" customHeight="1">
      <c r="A80">
        <v>4</v>
      </c>
      <c r="G80" s="8">
        <f t="array" ref="G80">INDEX(Alternates!$D$176:$W$176,1,'MCN Summary'!$A80)</f>
        <v>0</v>
      </c>
    </row>
    <row r="81" ht="14.25" customHeight="1">
      <c r="A81">
        <v>5</v>
      </c>
      <c r="G81" s="8">
        <f t="array" ref="G81">INDEX(Alternates!$D$176:$W$176,1,'MCN Summary'!$A81)</f>
        <v>0</v>
      </c>
    </row>
    <row r="82" ht="14.25" customHeight="1">
      <c r="A82">
        <v>6</v>
      </c>
      <c r="G82" s="8">
        <f t="array" ref="G82">INDEX(Alternates!$D$176:$W$176,1,'MCN Summary'!$A82)</f>
        <v>0</v>
      </c>
    </row>
    <row r="83" ht="14.25" customHeight="1">
      <c r="A83">
        <v>7</v>
      </c>
      <c r="G83" s="8">
        <f t="array" ref="G83">INDEX(Alternates!$D$176:$W$176,1,'MCN Summary'!$A83)</f>
        <v>0</v>
      </c>
    </row>
    <row r="84" ht="14.25" customHeight="1">
      <c r="A84">
        <v>8</v>
      </c>
      <c r="G84" s="8">
        <f t="array" ref="G84">INDEX(Alternates!$D$176:$W$176,1,'MCN Summary'!$A84)</f>
        <v>0</v>
      </c>
    </row>
    <row r="85" ht="14.25" customHeight="1">
      <c r="A85">
        <v>9</v>
      </c>
      <c r="G85" s="8">
        <f t="array" ref="G85">INDEX(Alternates!$D$176:$W$176,1,'MCN Summary'!$A85)</f>
        <v>0</v>
      </c>
    </row>
    <row r="86" ht="14.25" customHeight="1">
      <c r="A86">
        <v>10</v>
      </c>
      <c r="G86" s="8">
        <f t="array" ref="G86">INDEX(Alternates!$D$176:$W$176,1,'MCN Summary'!$A86)</f>
        <v>0</v>
      </c>
    </row>
    <row r="87" ht="14.25" customHeight="1">
      <c r="A87">
        <v>11</v>
      </c>
      <c r="G87" s="8">
        <f t="array" ref="G87">INDEX(Alternates!$D$176:$W$176,1,'MCN Summary'!$A87)</f>
        <v>0</v>
      </c>
    </row>
    <row r="88" ht="14.25" customHeight="1">
      <c r="A88">
        <v>12</v>
      </c>
      <c r="G88" s="8">
        <f t="array" ref="G88">INDEX(Alternates!$D$176:$W$176,1,'MCN Summary'!$A88)</f>
        <v>0</v>
      </c>
    </row>
    <row r="89" ht="14.25" customHeight="1">
      <c r="A89">
        <v>13</v>
      </c>
      <c r="G89" s="8">
        <f t="array" ref="G89">INDEX(Alternates!$D$176:$W$176,1,'MCN Summary'!$A89)</f>
        <v>0</v>
      </c>
    </row>
    <row r="90" ht="14.25" customHeight="1">
      <c r="A90">
        <v>14</v>
      </c>
      <c r="G90" s="8">
        <f t="array" ref="G90">INDEX(Alternates!$D$176:$W$176,1,'MCN Summary'!$A90)</f>
        <v>0</v>
      </c>
    </row>
    <row r="91" ht="14.25" customHeight="1">
      <c r="A91">
        <v>15</v>
      </c>
      <c r="G91" s="8">
        <f t="array" ref="G91">INDEX(Alternates!$D$176:$W$176,1,'MCN Summary'!$A91)</f>
        <v>0</v>
      </c>
    </row>
    <row r="92" ht="14.25" customHeight="1">
      <c r="A92">
        <v>16</v>
      </c>
      <c r="G92" s="8">
        <f t="array" ref="G92">INDEX(Alternates!$D$176:$W$176,1,'MCN Summary'!$A92)</f>
        <v>0</v>
      </c>
    </row>
    <row r="93" ht="14.25" customHeight="1">
      <c r="A93">
        <v>17</v>
      </c>
      <c r="G93" s="8">
        <f t="array" ref="G93">INDEX(Alternates!$D$176:$W$176,1,'MCN Summary'!$A93)</f>
        <v>0</v>
      </c>
    </row>
    <row r="94" ht="14.25" customHeight="1">
      <c r="A94">
        <v>18</v>
      </c>
      <c r="G94" s="8">
        <f t="array" ref="G94">INDEX(Alternates!$D$176:$W$176,1,'MCN Summary'!$A94)</f>
        <v>0</v>
      </c>
    </row>
    <row r="95" ht="14.25" customHeight="1">
      <c r="A95">
        <v>19</v>
      </c>
      <c r="G95" s="8">
        <f t="array" ref="G95">INDEX(Alternates!$D$176:$W$176,1,'MCN Summary'!$A95)</f>
        <v>0</v>
      </c>
    </row>
    <row r="96" ht="14.25" customHeight="1">
      <c r="A96">
        <v>20</v>
      </c>
      <c r="G96" s="8">
        <f t="array" ref="G96">INDEX(Alternates!$D$176:$W$176,1,'MCN Summary'!$A96)</f>
        <v>0</v>
      </c>
    </row>
    <row r="97" ht="14.25" customHeight="1"/>
    <row r="98" ht="14.25" customHeight="1"/>
    <row r="99" ht="14.25" customHeight="1">
      <c r="F99" t="str">
        <v>Total Cost of Alternates</v>
      </c>
      <c r="G99" s="8">
        <f>SUM(G77:H98)</f>
        <v>0</v>
      </c>
    </row>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5">
    <mergeCell ref="A6:H6"/>
    <mergeCell ref="G76:H76"/>
    <mergeCell ref="G77:H77"/>
    <mergeCell ref="G78:H78"/>
    <mergeCell ref="G79:H79"/>
    <mergeCell ref="G80:H80"/>
    <mergeCell ref="G81:H81"/>
    <mergeCell ref="G82:H82"/>
    <mergeCell ref="G83:H83"/>
    <mergeCell ref="G84:H84"/>
    <mergeCell ref="G85:H85"/>
    <mergeCell ref="G86:H86"/>
    <mergeCell ref="G87:H87"/>
    <mergeCell ref="G88:H88"/>
    <mergeCell ref="G96:H96"/>
    <mergeCell ref="G97:H97"/>
    <mergeCell ref="G98:H98"/>
    <mergeCell ref="G99:H99"/>
    <mergeCell ref="G89:H89"/>
    <mergeCell ref="G90:H90"/>
    <mergeCell ref="G91:H91"/>
    <mergeCell ref="G92:H92"/>
    <mergeCell ref="G93:H93"/>
    <mergeCell ref="G94:H94"/>
    <mergeCell ref="G95:H95"/>
  </mergeCells>
  <hyperlinks>
    <hyperlink ref="O49" location="'Bid Sheet'!A144"/>
    <hyperlink ref="O74" location="'Bid Sheet'!A176"/>
    <hyperlink ref="L76" location="Alternates!A1"/>
  </hyperlinks>
  <pageMargins left="0.7" right="0.7" top="0.75" bottom="0.75" header="0" footer="0"/>
  <ignoredErrors>
    <ignoredError numberStoredAsText="1" sqref="A2:O1000"/>
  </ignoredErrors>
</worksheet>
</file>

<file path=xl/worksheets/sheet7.xml><?xml version="1.0" encoding="utf-8"?>
<worksheet xmlns="http://schemas.openxmlformats.org/spreadsheetml/2006/main" xmlns:r="http://schemas.openxmlformats.org/officeDocument/2006/relationships">
  <dimension ref="A1:Y1000"/>
  <sheetViews>
    <sheetView workbookViewId="0" rightToLeft="0"/>
  </sheetViews>
  <cols>
    <col min="1" max="1" customWidth="1" width="8.71"/>
    <col min="2" max="2" customWidth="1" width="9.14"/>
    <col min="3" max="3" customWidth="1" width="45.14"/>
    <col min="4" max="4" customWidth="1" width="19.14"/>
    <col min="5" max="5" customWidth="1" width="19.14"/>
    <col min="6" max="6" customWidth="1" width="19.14"/>
    <col min="7" max="7" customWidth="1" width="11.86"/>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4"/>
    <col min="16" max="16" customWidth="1" width="16.14"/>
    <col min="17" max="17" customWidth="1" width="9.14"/>
    <col min="18" max="18" customWidth="1" width="9.14"/>
    <col min="19" max="19" customWidth="1" width="9.14"/>
    <col min="20" max="20" customWidth="1" width="9.14"/>
    <col min="21" max="21" customWidth="1" width="9.14"/>
    <col min="22" max="22" customWidth="1" width="9.14"/>
    <col min="23" max="23" customWidth="1" width="9.14"/>
    <col min="24" max="24" customWidth="1" width="8.71"/>
    <col min="25" max="25" customWidth="1" width="8.71"/>
    <col min="26" max="26" customWidth="1" width="8.71"/>
  </cols>
  <sheetData>
    <row r="1" ht="14.25" customHeight="1">
      <c r="B1" t="str">
        <v>Client</v>
      </c>
      <c r="C1" t="str">
        <v>DPR &amp; DGS</v>
      </c>
      <c r="H1" t="str">
        <v>Total GSF:</v>
      </c>
      <c r="I1" s="1">
        <v>20000</v>
      </c>
      <c r="J1" t="str">
        <v>Bid Date:</v>
      </c>
      <c r="K1" s="6">
        <v>46054</v>
      </c>
    </row>
    <row r="2" ht="14.25" customHeight="1">
      <c r="B2" t="str">
        <v>Project</v>
      </c>
      <c r="C2" t="str">
        <v>Jelleff Recreation Center</v>
      </c>
      <c r="H2" t="str">
        <v>Weeks:</v>
      </c>
      <c r="I2">
        <v>78</v>
      </c>
      <c r="J2" t="str">
        <v>Estimators:</v>
      </c>
      <c r="K2" t="str">
        <v>MK, Trade Estimators</v>
      </c>
    </row>
    <row r="3" ht="14.25" customHeight="1">
      <c r="B3" t="str">
        <v>Location</v>
      </c>
      <c r="C3" t="str">
        <v>3265 S St NW, Washington, DC 20007</v>
      </c>
      <c r="H3" t="str">
        <v>^^^  drop down - weeks or mos</v>
      </c>
      <c r="J3" t="str">
        <v>Revision:</v>
      </c>
      <c r="K3" t="str">
        <v>V0</v>
      </c>
    </row>
    <row r="4" ht="14.25" customHeight="1">
      <c r="B4" t="str">
        <v>Architect</v>
      </c>
      <c r="C4" t="str">
        <v>DLR Group</v>
      </c>
      <c r="H4" t="str">
        <v>Weeks:</v>
      </c>
      <c r="I4" s="2">
        <f>IF(H2="weeks:",I2,I2*(4.33333333333))</f>
        <v>78</v>
      </c>
    </row>
    <row r="5" ht="14.25" customHeight="1">
      <c r="B5" t="str">
        <v>Engineer</v>
      </c>
      <c r="C5" t="str">
        <v>Various</v>
      </c>
      <c r="H5" t="str">
        <v>Months:</v>
      </c>
      <c r="I5" s="2">
        <f>IF(H2="weeks:",I2/(4.33333333333),I2)</f>
        <v>18</v>
      </c>
    </row>
    <row r="6" ht="14.25" customHeight="1">
      <c r="H6" t="str">
        <v>Bidders</v>
      </c>
      <c r="Q6" t="str">
        <v>Certitifcation</v>
      </c>
    </row>
    <row r="7" ht="14.25" customHeight="1" xml:space="preserve">
      <c r="A7" t="str">
        <v>Est.</v>
      </c>
      <c r="B7" t="str" xml:space="preserve">
        <v xml:space="preserve">CSI for
Summary</v>
      </c>
      <c r="C7" t="str">
        <v>Trade</v>
      </c>
      <c r="D7" t="str">
        <v>Previous Budget</v>
      </c>
      <c r="E7" t="str">
        <v>Total (GMP 2026)</v>
      </c>
      <c r="F7" t="str">
        <v>Delta (New-old)</v>
      </c>
      <c r="G7" t="str" xml:space="preserve">
        <v xml:space="preserve">Cost /
GSF</v>
      </c>
      <c r="H7">
        <v>1</v>
      </c>
      <c r="I7">
        <v>2</v>
      </c>
      <c r="J7">
        <v>3</v>
      </c>
      <c r="K7">
        <v>4</v>
      </c>
      <c r="L7">
        <v>5</v>
      </c>
      <c r="M7">
        <v>6</v>
      </c>
      <c r="N7">
        <v>7</v>
      </c>
      <c r="P7" t="str">
        <v>$ PARTICIPATING</v>
      </c>
      <c r="Q7">
        <v>1</v>
      </c>
      <c r="R7">
        <v>2</v>
      </c>
      <c r="S7">
        <v>3</v>
      </c>
      <c r="T7">
        <v>4</v>
      </c>
      <c r="U7">
        <v>5</v>
      </c>
      <c r="V7">
        <v>6</v>
      </c>
      <c r="W7">
        <v>7</v>
      </c>
    </row>
    <row r="8" ht="14.25" customHeight="1">
      <c r="B8" s="13" t="str">
        <f>IF(ISBLANK(B9),"# NEED CSI #",IF(IFNA(MATCH(B9,'MCN Summary'!$A$9:$A$49,0),0)=0,"# WRONG CSI #",""))</f>
        <v/>
      </c>
    </row>
    <row r="9" ht="14.25" customHeight="1">
      <c r="A9" t="str">
        <v>MK</v>
      </c>
      <c r="B9" s="13">
        <v>10000</v>
      </c>
      <c r="C9" t="str">
        <v>GENERAL REQUIREMENTS</v>
      </c>
      <c r="D9" s="4">
        <v>416160</v>
      </c>
      <c r="E9" s="4">
        <f>D9</f>
        <v>416160</v>
      </c>
      <c r="F9" s="4">
        <f>E9-D9</f>
        <v>0</v>
      </c>
      <c r="G9" s="3">
        <f>E9/$I$1</f>
        <v>20.808</v>
      </c>
    </row>
    <row r="10" hidden="1" ht="14.25" customHeight="1">
      <c r="B10" s="13" t="str">
        <f>IF(ISBLANK(B11),"# NEED CSI #",IF(IFNA(MATCH(B11,'MCN Summary'!$A$9:$A$49,0),0)=0,"# WRONG CSI #",""))</f>
        <v/>
      </c>
    </row>
    <row r="11" hidden="1" ht="14.25" customHeight="1">
      <c r="B11" s="13">
        <v>61000</v>
      </c>
      <c r="C11" t="str">
        <f>FinalClean!$B$4</f>
        <v>01 - FINAL CLEANING</v>
      </c>
      <c r="E11" s="4">
        <v>0</v>
      </c>
      <c r="F11" s="4">
        <f>E11-D11</f>
        <v>0</v>
      </c>
      <c r="G11" s="3">
        <f>E11/$I$1</f>
        <v>0</v>
      </c>
      <c r="P11" s="4">
        <f>IFERROR(Q10*E11,0)</f>
        <v>0</v>
      </c>
      <c r="Y11" t="str">
        <f>FinalClean!$B$18</f>
        <v>Section 2 - Bid Breakdown</v>
      </c>
    </row>
    <row r="12" hidden="1" ht="14.25" customHeight="1">
      <c r="B12" s="13" t="str">
        <f>IF(ISBLANK(B13),"# NEED CSI #",IF(IFNA(MATCH(B13,'MCN Summary'!$A$9:$A$49,0),0)=0,"# WRONG CSI #",""))</f>
        <v/>
      </c>
    </row>
    <row r="13" hidden="1" ht="14.25" customHeight="1">
      <c r="B13" s="13">
        <v>61000</v>
      </c>
      <c r="C13" t="str">
        <f>Survey!$B$4</f>
        <v>01 - SURVEY</v>
      </c>
      <c r="E13" s="4">
        <v>0</v>
      </c>
      <c r="F13" s="4">
        <f>E13-D13</f>
        <v>0</v>
      </c>
      <c r="G13" s="3">
        <f>E13/$I$1</f>
        <v>0</v>
      </c>
      <c r="P13" s="4">
        <f>IFERROR(Q12*E13,0)</f>
        <v>0</v>
      </c>
      <c r="Y13" t="str">
        <f>Survey!$B$18</f>
        <v>Section 2 - Bid Breakdown</v>
      </c>
    </row>
    <row r="14" ht="14.25" customHeight="1">
      <c r="B14" s="13" t="str">
        <f>IF(ISBLANK(B15),"# NEED CSI #",IF(IFNA(MATCH(B15,'MCN Summary'!$A$9:$A$49,0),0)=0,"# WRONG CSI #",""))</f>
        <v/>
      </c>
      <c r="H14" s="4" t="str">
        <f>Demo!AI3</f>
        <v>Berg Demo</v>
      </c>
      <c r="I14" s="4" t="str">
        <f>Demo!AI4</f>
        <v>Marc's Demo</v>
      </c>
      <c r="J14" s="4" t="str">
        <f>Demo!AI5</f>
        <v>D&amp;H</v>
      </c>
      <c r="K14" s="4" t="str">
        <f>Demo!AI6</f>
        <v>Celtic Demo</v>
      </c>
    </row>
    <row r="15" ht="14.25" customHeight="1">
      <c r="A15" t="str">
        <v>SK</v>
      </c>
      <c r="B15" s="13">
        <v>24100</v>
      </c>
      <c r="C15" t="str">
        <f>Demo!$B$4</f>
        <v>02 - DEMOLITION</v>
      </c>
      <c r="D15" s="4">
        <v>448800</v>
      </c>
      <c r="E15" s="4">
        <f>I15</f>
        <v>244800</v>
      </c>
      <c r="F15" s="4">
        <f>E15-D15</f>
        <v>-204000</v>
      </c>
      <c r="G15" s="3">
        <f>E15/$I$1</f>
        <v>12.24</v>
      </c>
      <c r="H15" s="4">
        <f>Demo!AM3</f>
        <v>157922.52</v>
      </c>
      <c r="I15" s="4">
        <f>Demo!AM4</f>
        <v>244800</v>
      </c>
      <c r="J15" s="4">
        <f>Demo!AM5</f>
        <v>260100</v>
      </c>
      <c r="K15" s="4">
        <f>Demo!AM6</f>
        <v>295800</v>
      </c>
      <c r="P15" s="4">
        <f>IFERROR(Q14*E15,0)</f>
        <v>0</v>
      </c>
      <c r="Y15" t="str">
        <f>Demo!$B$18</f>
        <v>Section 2 - Bid Breakdown</v>
      </c>
    </row>
    <row r="16" ht="14.25" customHeight="1">
      <c r="B16" s="13" t="str">
        <f>IF(ISBLANK(B17),"# NEED CSI #",IF(IFNA(MATCH(B17,'MCN Summary'!$A$9:$A$49,0),0)=0,"# WRONG CSI #",""))</f>
        <v/>
      </c>
      <c r="D16" s="4" t="str">
        <v>Incl above</v>
      </c>
      <c r="H16" s="4" t="str">
        <v>D&amp;H - Completed</v>
      </c>
    </row>
    <row r="17" ht="14.25" customHeight="1">
      <c r="A17" t="str">
        <v>SK</v>
      </c>
      <c r="B17" s="13">
        <v>24100</v>
      </c>
      <c r="C17" t="str">
        <f>Abatement!$B$4</f>
        <v>02 - ABATEMENT</v>
      </c>
      <c r="D17" s="4">
        <v>0</v>
      </c>
      <c r="E17" s="4">
        <f>H17</f>
        <v>70380</v>
      </c>
      <c r="F17" s="4">
        <f>E17-D17</f>
        <v>70380</v>
      </c>
      <c r="G17" s="3">
        <f>E17/$I$1</f>
        <v>3.519</v>
      </c>
      <c r="H17" s="4">
        <f>69000*1.02</f>
        <v>70380</v>
      </c>
      <c r="P17" s="4">
        <f>IFERROR(Q16*E17,0)</f>
        <v>0</v>
      </c>
      <c r="Y17" t="str">
        <f>Abatement!$B$18</f>
        <v>Section 2 - Bid Breakdown</v>
      </c>
    </row>
    <row r="18" ht="14.25" customHeight="1">
      <c r="B18" s="13" t="str">
        <f>IF(ISBLANK(B19),"# NEED CSI #",IF(IFNA(MATCH(B19,'MCN Summary'!$A$9:$A$49,0),0)=0,"# WRONG CSI #",""))</f>
        <v/>
      </c>
      <c r="H18" s="4" t="str">
        <f>Conc!AI3</f>
        <v>Alcoa</v>
      </c>
      <c r="I18" s="4" t="str">
        <f>Conc!AI4</f>
        <v>LA Howard</v>
      </c>
      <c r="J18" s="4" t="str">
        <f>Conc!AI5</f>
        <v>Blackwood of DC</v>
      </c>
    </row>
    <row r="19" ht="14.25" customHeight="1">
      <c r="A19" t="str">
        <v>VJ</v>
      </c>
      <c r="B19" s="13">
        <v>33000</v>
      </c>
      <c r="C19" t="str">
        <f>Conc!$B$4</f>
        <v>03 - CONCRETE</v>
      </c>
      <c r="D19" s="4">
        <v>1867154.88</v>
      </c>
      <c r="E19" s="4">
        <f>H19</f>
        <v>1546885.61</v>
      </c>
      <c r="F19" s="4">
        <f>E19-D19</f>
        <v>-320269.2696</v>
      </c>
      <c r="G19" s="3">
        <f>E19/$I$1</f>
        <v>77.34428052</v>
      </c>
      <c r="H19" s="4">
        <f>Conc!AM3</f>
        <v>1546885.61</v>
      </c>
      <c r="I19" s="4">
        <f>Conc!AM4</f>
        <v>1793764.86</v>
      </c>
      <c r="J19" s="4">
        <f>Conc!AM5</f>
        <v>1833576.48</v>
      </c>
      <c r="P19" s="4">
        <f>IFERROR(Q18*E19,0)</f>
        <v>0</v>
      </c>
      <c r="Y19" t="str">
        <f>Conc!$B$18</f>
        <v>Section 2 - Bid Breakdown</v>
      </c>
    </row>
    <row r="20" hidden="1" ht="14.25" customHeight="1">
      <c r="B20" s="13" t="str">
        <f>IF(ISBLANK(B21),"# NEED CSI #",IF(IFNA(MATCH(B21,'MCN Summary'!$A$9:$A$49,0),0)=0,"# WRONG CSI #",""))</f>
        <v/>
      </c>
    </row>
    <row r="21" hidden="1" ht="14.25" customHeight="1">
      <c r="B21" s="13">
        <v>33000</v>
      </c>
      <c r="C21" t="str">
        <f>Gyp!$B$4</f>
        <v>03 - GYP UNDERLAYMENT</v>
      </c>
      <c r="E21" s="4" t="str">
        <f>H21</f>
        <v/>
      </c>
      <c r="F21" s="4">
        <f>E21-D21</f>
        <v>0</v>
      </c>
      <c r="G21" s="3">
        <f>E21/$I$1</f>
        <v>0</v>
      </c>
      <c r="P21" s="4">
        <f>IFERROR(Q20*E21,0)</f>
        <v>0</v>
      </c>
      <c r="Y21" t="str">
        <f>Gyp!$B$18</f>
        <v>Section 2 - Bid Breakdown</v>
      </c>
    </row>
    <row r="22" hidden="1" ht="14.25" customHeight="1">
      <c r="B22" s="13" t="str">
        <f>IF(ISBLANK(B23),"# NEED CSI #",IF(IFNA(MATCH(B23,'MCN Summary'!$A$9:$A$49,0),0)=0,"# WRONG CSI #",""))</f>
        <v/>
      </c>
    </row>
    <row r="23" hidden="1" ht="14.25" customHeight="1">
      <c r="B23" s="13">
        <v>34000</v>
      </c>
      <c r="C23" t="str">
        <f>Precast!$B$4</f>
        <v>03 - PRECAST</v>
      </c>
      <c r="E23" s="4">
        <v>0</v>
      </c>
      <c r="F23" s="4">
        <f>E23-D23</f>
        <v>0</v>
      </c>
      <c r="G23" s="3">
        <f>E23/$I$1</f>
        <v>0</v>
      </c>
      <c r="P23" s="4">
        <f>IFERROR(Q22*E23,0)</f>
        <v>0</v>
      </c>
      <c r="Y23" t="str">
        <f>Precast!$B$18</f>
        <v>Section 2 - Bid Breakdown</v>
      </c>
    </row>
    <row r="24" ht="14.25" customHeight="1">
      <c r="B24" s="13" t="str">
        <f>IF(ISBLANK(B25),"# NEED CSI #",IF(IFNA(MATCH(B25,'MCN Summary'!$A$9:$A$49,0),0)=0,"# WRONG CSI #",""))</f>
        <v/>
      </c>
      <c r="H24" s="4" t="str">
        <f>Masonry!AI3</f>
        <v xml:space="preserve">Forsythe DC </v>
      </c>
      <c r="I24" s="4" t="str">
        <f>Masonry!AI4</f>
        <v>Hammer Masonry</v>
      </c>
      <c r="J24" s="4" t="str">
        <f>Masonry!AI5</f>
        <v xml:space="preserve">JPN Masonry </v>
      </c>
    </row>
    <row r="25" ht="14.25" customHeight="1">
      <c r="A25" t="str">
        <v>NT</v>
      </c>
      <c r="B25" s="13">
        <v>42000</v>
      </c>
      <c r="C25" t="str">
        <f>Masonry!$B$4</f>
        <v>04 - MASONRY</v>
      </c>
      <c r="D25" s="4">
        <v>1578348</v>
      </c>
      <c r="E25" s="4">
        <f>I25</f>
        <v>1427888.82</v>
      </c>
      <c r="F25" s="4">
        <f>E25-D25</f>
        <v>-150459.18</v>
      </c>
      <c r="G25" s="3">
        <f>E25/$I$1</f>
        <v>71.394441</v>
      </c>
      <c r="H25" s="4">
        <f>Masonry!AM3</f>
        <v>1383999.24</v>
      </c>
      <c r="I25" s="4">
        <f>Masonry!AM4</f>
        <v>1427888.82</v>
      </c>
      <c r="J25" s="4">
        <f>Masonry!AM5</f>
        <v>1491087</v>
      </c>
      <c r="P25" s="4">
        <f>IFERROR(Q24*E25,0)</f>
        <v>0</v>
      </c>
      <c r="Y25" t="str">
        <f>Masonry!$B$18</f>
        <v>Section 2 - Bid Breakdown</v>
      </c>
    </row>
    <row r="26" hidden="1" ht="14.25" customHeight="1">
      <c r="B26" s="13" t="str">
        <f>IF(ISBLANK(B27),"# NEED CSI #",IF(IFNA(MATCH(B27,'MCN Summary'!$A$9:$A$49,0),0)=0,"# WRONG CSI #",""))</f>
        <v/>
      </c>
    </row>
    <row r="27" hidden="1" ht="14.25" customHeight="1">
      <c r="B27" s="13">
        <v>44000</v>
      </c>
      <c r="C27" t="str">
        <f>Stone!$B$4</f>
        <v>04 - STONE</v>
      </c>
      <c r="E27" s="4">
        <v>0</v>
      </c>
      <c r="F27" s="4">
        <f>E27-D27</f>
        <v>0</v>
      </c>
      <c r="G27" s="3">
        <f>E27/$I$1</f>
        <v>0</v>
      </c>
      <c r="P27" s="4">
        <f>IFERROR(Q26*E27,0)</f>
        <v>0</v>
      </c>
      <c r="Y27" t="str">
        <f>Stone!$B$18</f>
        <v>Section 2 - Bid Breakdown</v>
      </c>
    </row>
    <row r="28" ht="14.25" customHeight="1">
      <c r="B28" s="13" t="str">
        <f>IF(ISBLANK(B29),"# NEED CSI #",IF(IFNA(MATCH(B29,'MCN Summary'!$A$9:$A$49,0),0)=0,"# WRONG CSI #",""))</f>
        <v/>
      </c>
      <c r="H28" s="4" t="str">
        <f>'SS &amp; MM'!AI3</f>
        <v>East Coast</v>
      </c>
      <c r="I28" s="4" t="str">
        <f>'SS &amp; MM'!AI4</f>
        <v>Iron Fab</v>
      </c>
      <c r="J28" s="4" t="str">
        <v>BOLDMARK??</v>
      </c>
      <c r="K28" s="4" t="str">
        <f>'SS &amp; MM'!AI6</f>
        <v/>
      </c>
      <c r="L28" s="4" t="str">
        <f>'SS &amp; MM'!AI7</f>
        <v/>
      </c>
    </row>
    <row r="29" ht="14.25" customHeight="1">
      <c r="A29" t="str">
        <v>VJ</v>
      </c>
      <c r="B29" s="13">
        <v>51000</v>
      </c>
      <c r="C29" t="str">
        <f>'SS &amp; MM'!$B$4</f>
        <v>05 - SS &amp; MM</v>
      </c>
      <c r="D29" s="4">
        <f>1730430+500820</f>
        <v>2231250</v>
      </c>
      <c r="E29" s="4">
        <f>H29</f>
        <v>1808970</v>
      </c>
      <c r="F29" s="4">
        <f>E29-D29</f>
        <v>-422280</v>
      </c>
      <c r="G29" s="3">
        <f>E29/$I$1</f>
        <v>90.4485</v>
      </c>
      <c r="H29" s="4">
        <f>'SS &amp; MM'!AM3</f>
        <v>1808970</v>
      </c>
      <c r="I29" s="4">
        <f>'SS &amp; MM'!AM4</f>
        <v>1882308</v>
      </c>
      <c r="J29" s="4" t="str">
        <f>'SS &amp; MM'!AM5</f>
        <v/>
      </c>
      <c r="K29" s="4" t="str">
        <f>'SS &amp; MM'!AM6</f>
        <v/>
      </c>
      <c r="L29" s="4" t="str">
        <f>'SS &amp; MM'!AM7</f>
        <v/>
      </c>
      <c r="P29" s="4">
        <f>IFERROR(Q28*E29,0)</f>
        <v>0</v>
      </c>
      <c r="Y29" t="str">
        <f>'SS &amp; MM'!$B$18</f>
        <v>Section 2 - Bid Breakdown</v>
      </c>
    </row>
    <row r="30" hidden="1" ht="14.25" customHeight="1">
      <c r="B30" s="13" t="str">
        <f>IF(ISBLANK(B31),"# NEED CSI #",IF(IFNA(MATCH(B31,'MCN Summary'!$A$9:$A$49,0),0)=0,"# WRONG CSI #",""))</f>
        <v/>
      </c>
    </row>
    <row r="31" hidden="1" ht="14.25" customHeight="1">
      <c r="B31" s="13">
        <v>55000</v>
      </c>
      <c r="C31" t="str">
        <f>MiscMetal!$B$4</f>
        <v>05 - MISC METALS</v>
      </c>
      <c r="E31" s="4">
        <v>0</v>
      </c>
      <c r="F31" s="4">
        <f>E31-D31</f>
        <v>0</v>
      </c>
      <c r="G31" s="3">
        <f>E31/$I$1</f>
        <v>0</v>
      </c>
      <c r="P31" s="4">
        <f>IFERROR(Q30*E31,0)</f>
        <v>0</v>
      </c>
      <c r="Y31" t="str">
        <f>MiscMetal!$B$18</f>
        <v>Section 2 - Bid Breakdown</v>
      </c>
    </row>
    <row r="32" hidden="1" ht="14.25" customHeight="1">
      <c r="B32" s="13" t="str">
        <f>IF(ISBLANK(B33),"# NEED CSI #",IF(IFNA(MATCH(B33,'MCN Summary'!$A$9:$A$49,0),0)=0,"# WRONG CSI #",""))</f>
        <v/>
      </c>
    </row>
    <row r="33" hidden="1" ht="14.25" customHeight="1">
      <c r="B33" s="13">
        <v>55000</v>
      </c>
      <c r="C33" t="str">
        <f>Rails!$B$4</f>
        <v>05 - EXTERIOR RAILINGS</v>
      </c>
      <c r="E33" s="4">
        <v>0</v>
      </c>
      <c r="F33" s="4">
        <f>E33-D33</f>
        <v>0</v>
      </c>
      <c r="G33" s="3">
        <f>E33/$I$1</f>
        <v>0</v>
      </c>
      <c r="P33" s="4">
        <f>IFERROR(Q32*E33,0)</f>
        <v>0</v>
      </c>
      <c r="Y33" t="str">
        <f>Rails!$B$18</f>
        <v>Section 2 - Bid Breakdown</v>
      </c>
    </row>
    <row r="34" hidden="1" ht="14.25" customHeight="1">
      <c r="B34" s="13" t="str">
        <f>IF(ISBLANK(B35),"# NEED CSI #",IF(IFNA(MATCH(B35,'MCN Summary'!$A$9:$A$49,0),0)=0,"# WRONG CSI #",""))</f>
        <v/>
      </c>
    </row>
    <row r="35" hidden="1" ht="14.25" customHeight="1">
      <c r="B35" s="13">
        <v>61000</v>
      </c>
      <c r="C35" t="str">
        <f>FbrGls!$B$4</f>
        <v>06 - FIBER REINFORCED PLASTICS</v>
      </c>
      <c r="E35" s="4">
        <v>0</v>
      </c>
      <c r="F35" s="4">
        <f>E35-D35</f>
        <v>0</v>
      </c>
      <c r="G35" s="3">
        <f>E35/$I$1</f>
        <v>0</v>
      </c>
      <c r="P35" s="4">
        <f>IFERROR(Q34*E35,0)</f>
        <v>0</v>
      </c>
      <c r="Y35" t="str">
        <f>FbrGls!$B$18</f>
        <v>Section 2 - Bid Breakdown</v>
      </c>
    </row>
    <row r="36" ht="14.25" customHeight="1">
      <c r="B36" s="13" t="str">
        <f>IF(ISBLANK(B37),"# NEED CSI #",IF(IFNA(MATCH(B37,'MCN Summary'!$A$9:$A$49,0),0)=0,"# WRONG CSI #",""))</f>
        <v/>
      </c>
      <c r="H36" s="4" t="str">
        <v>MCN Build</v>
      </c>
    </row>
    <row r="37" ht="14.25" customHeight="1">
      <c r="A37" t="str">
        <v>MK</v>
      </c>
      <c r="B37" s="13">
        <v>61000</v>
      </c>
      <c r="C37" t="str">
        <f>'Rough Carpentry'!$B$4</f>
        <v>06 - ROUGH CARPENTRY</v>
      </c>
      <c r="D37" s="4">
        <v>189210</v>
      </c>
      <c r="E37" s="4">
        <f>H37</f>
        <v>145656</v>
      </c>
      <c r="F37" s="4">
        <f>E37-D37</f>
        <v>-43554</v>
      </c>
      <c r="G37" s="3">
        <f>E37/$I$1</f>
        <v>7.2828</v>
      </c>
      <c r="H37" s="4">
        <f>I1*7.14*1.02</f>
        <v>145656</v>
      </c>
      <c r="P37" s="4">
        <f>IFERROR(Q36*E37,0)</f>
        <v>0</v>
      </c>
      <c r="Y37" t="str">
        <f>'Rough Carpentry'!$B$18</f>
        <v>Section 2 - Bid Breakdown</v>
      </c>
    </row>
    <row r="38" hidden="1" ht="14.25" customHeight="1">
      <c r="B38" s="13" t="str">
        <f>IF(ISBLANK(B39),"# NEED CSI #",IF(IFNA(MATCH(B39,'MCN Summary'!$A$9:$A$49,0),0)=0,"# WRONG CSI #",""))</f>
        <v/>
      </c>
    </row>
    <row r="39" hidden="1" ht="14.25" customHeight="1">
      <c r="B39" s="13">
        <v>61000</v>
      </c>
      <c r="C39" t="str">
        <f>WoodFram!$B$4</f>
        <v>06 - WOOD FRAMING</v>
      </c>
      <c r="E39" s="4">
        <v>0</v>
      </c>
      <c r="F39" s="4">
        <f>E39-D39</f>
        <v>0</v>
      </c>
      <c r="G39" s="3">
        <f>E39/$I$1</f>
        <v>0</v>
      </c>
      <c r="P39" s="4">
        <f>IFERROR(Q38*E39,0)</f>
        <v>0</v>
      </c>
      <c r="Y39" t="str">
        <f>WoodFram!$B$18</f>
        <v>Section 2 - Bid Breakdown</v>
      </c>
    </row>
    <row r="40" hidden="1" ht="14.25" customHeight="1">
      <c r="B40" s="13" t="str">
        <f>IF(ISBLANK(B41),"# NEED CSI #",IF(IFNA(MATCH(B41,'MCN Summary'!$A$9:$A$49,0),0)=0,"# WRONG CSI #",""))</f>
        <v/>
      </c>
    </row>
    <row r="41" hidden="1" ht="14.25" customHeight="1">
      <c r="B41" s="13">
        <v>62000</v>
      </c>
      <c r="C41" t="str">
        <f>Trim!$B$4</f>
        <v>06 - FINISH CARPENTRY</v>
      </c>
      <c r="E41" s="4">
        <v>0</v>
      </c>
      <c r="F41" s="4">
        <f>E41-D41</f>
        <v>0</v>
      </c>
      <c r="G41" s="3">
        <f>E41/$I$1</f>
        <v>0</v>
      </c>
      <c r="P41" s="4">
        <f>IFERROR(Q40*E41,0)</f>
        <v>0</v>
      </c>
      <c r="Y41" t="str">
        <f>Trim!$B$18</f>
        <v>Section 2 - Bid Breakdown</v>
      </c>
    </row>
    <row r="42" ht="14.25" customHeight="1">
      <c r="B42" s="13" t="str">
        <f>IF(ISBLANK(B43),"# NEED CSI #",IF(IFNA(MATCH(B43,'MCN Summary'!$A$9:$A$49,0),0)=0,"# WRONG CSI #",""))</f>
        <v/>
      </c>
      <c r="H42" s="4" t="str">
        <f>Millwork!AI3</f>
        <v>Biltco LLC</v>
      </c>
      <c r="I42" s="4" t="str">
        <f>Millwork!AI4</f>
        <v>Columbia Woodworking</v>
      </c>
      <c r="J42" s="4" t="str">
        <v xml:space="preserve">Arch wood?? </v>
      </c>
    </row>
    <row r="43" ht="14.25" customHeight="1">
      <c r="A43" t="str">
        <v>NT</v>
      </c>
      <c r="B43" s="13">
        <v>64000</v>
      </c>
      <c r="C43" t="str">
        <f>Millwork!$B$4</f>
        <v>06 - MILLWORK</v>
      </c>
      <c r="D43" s="4">
        <v>173279.64</v>
      </c>
      <c r="E43" s="4">
        <f>I43</f>
        <v>110399.7</v>
      </c>
      <c r="F43" s="4">
        <f>E43-D43</f>
        <v>-62879.94</v>
      </c>
      <c r="G43" s="3">
        <f>E43/$I$1</f>
        <v>5.519985</v>
      </c>
      <c r="H43" s="4">
        <f>Millwork!AM3</f>
        <v>102000</v>
      </c>
      <c r="I43" s="4">
        <f>Millwork!AM4</f>
        <v>110399.7</v>
      </c>
      <c r="P43" s="4">
        <f>IFERROR(Q42*E43,0)</f>
        <v>0</v>
      </c>
      <c r="Y43" t="str">
        <f>Millwork!$B$18</f>
        <v>Section 2 - Bid Breakdown</v>
      </c>
    </row>
    <row r="44" hidden="1" ht="14.25" customHeight="1">
      <c r="B44" s="13" t="str">
        <f>IF(ISBLANK(B45),"# NEED CSI #",IF(IFNA(MATCH(B45,'MCN Summary'!$A$9:$A$49,0),0)=0,"# WRONG CSI #",""))</f>
        <v/>
      </c>
    </row>
    <row r="45" hidden="1" ht="14.25" customHeight="1">
      <c r="B45" s="13">
        <v>71000</v>
      </c>
      <c r="C45" t="str">
        <f>'Insulation - Residential'!$B$4</f>
        <v>07 - BUILDING INSULATION</v>
      </c>
      <c r="E45" s="4">
        <v>0</v>
      </c>
      <c r="F45" s="4">
        <f>E45-D45</f>
        <v>0</v>
      </c>
      <c r="G45" s="3">
        <f>E45/$I$1</f>
        <v>0</v>
      </c>
      <c r="P45" s="4">
        <f>IFERROR(Q44*E45,0)</f>
        <v>0</v>
      </c>
      <c r="Y45" t="str">
        <f>'Insulation - Residential'!$B$18</f>
        <v>Section 2 - Bid Breakdown</v>
      </c>
    </row>
    <row r="46" ht="14.25" customHeight="1">
      <c r="B46" s="13" t="str">
        <f>IF(ISBLANK(B47),"# NEED CSI #",IF(IFNA(MATCH(B47,'MCN Summary'!$A$9:$A$49,0),0)=0,"# WRONG CSI #",""))</f>
        <v/>
      </c>
      <c r="D46" s="4" t="str">
        <v>w/roofing</v>
      </c>
      <c r="H46" s="4" t="str">
        <f>Waterproof!AI3</f>
        <v>Davenport TruTeam</v>
      </c>
      <c r="I46" s="4" t="str">
        <f>Waterproof!AI4</f>
        <v>HRGM</v>
      </c>
      <c r="J46" s="4" t="str">
        <f>Waterproof!AI5</f>
        <v>Forsythe</v>
      </c>
      <c r="K46" s="4" t="str">
        <f>Waterproof!AI6</f>
        <v>LP</v>
      </c>
    </row>
    <row r="47" ht="14.25" customHeight="1">
      <c r="A47" t="str">
        <v>JC</v>
      </c>
      <c r="B47" s="13">
        <v>71000</v>
      </c>
      <c r="C47" t="str">
        <f>Waterproof!$B$4</f>
        <v>07 - WP &amp; AB</v>
      </c>
      <c r="E47" s="4">
        <f>J47</f>
        <v>353474.88</v>
      </c>
      <c r="F47" s="4">
        <f>E47-D47</f>
        <v>353474.88</v>
      </c>
      <c r="G47" s="3">
        <f>E47/$I$1</f>
        <v>17.673744</v>
      </c>
      <c r="H47" s="4">
        <f>Waterproof!AM3</f>
        <v>265967.346</v>
      </c>
      <c r="I47" s="4">
        <f>Waterproof!AM4</f>
        <v>343474.086</v>
      </c>
      <c r="J47" s="4">
        <f>Waterproof!AM5</f>
        <v>353474.88</v>
      </c>
      <c r="K47" s="4">
        <f>Waterproof!AM6</f>
        <v>413506.062</v>
      </c>
      <c r="P47" s="4">
        <f>IFERROR(Q46*E47,0)</f>
        <v>0</v>
      </c>
      <c r="Y47" t="str">
        <f>Waterproof!$B$18</f>
        <v>Section 2 - Bid Breakdown</v>
      </c>
    </row>
    <row r="48" hidden="1" ht="14.25" customHeight="1">
      <c r="B48" s="13" t="str">
        <f>IF(ISBLANK(B49),"# NEED CSI #",IF(IFNA(MATCH(B49,'MCN Summary'!$A$9:$A$49,0),0)=0,"# WRONG CSI #",""))</f>
        <v/>
      </c>
    </row>
    <row r="49" hidden="1" ht="14.25" customHeight="1">
      <c r="B49" s="13">
        <v>72400</v>
      </c>
      <c r="C49" t="str">
        <f>EIFS!$B$4</f>
        <v>07 - EIFS/STUCCO</v>
      </c>
      <c r="E49" s="4">
        <v>0</v>
      </c>
      <c r="F49" s="4">
        <f>E49-D49</f>
        <v>0</v>
      </c>
      <c r="G49" s="3">
        <f>E49/$I$1</f>
        <v>0</v>
      </c>
      <c r="P49" s="4">
        <f>IFERROR(Q48*E49,0)</f>
        <v>0</v>
      </c>
      <c r="Y49" t="str">
        <f>EIFS!$B$18</f>
        <v>Section 2 - Bid Breakdown</v>
      </c>
    </row>
    <row r="50" hidden="1" ht="14.25" customHeight="1">
      <c r="B50" s="13" t="str">
        <f>IF(ISBLANK(B51),"# NEED CSI #",IF(IFNA(MATCH(B51,'MCN Summary'!$A$9:$A$49,0),0)=0,"# WRONG CSI #",""))</f>
        <v/>
      </c>
    </row>
    <row r="51" hidden="1" ht="14.25" customHeight="1">
      <c r="B51" s="13">
        <v>72700</v>
      </c>
      <c r="C51" t="str">
        <f>AVB!$B$4</f>
        <v>07 - AIR BARRIER</v>
      </c>
      <c r="E51" s="4">
        <v>0</v>
      </c>
      <c r="F51" s="4">
        <f>E51-D51</f>
        <v>0</v>
      </c>
      <c r="G51" s="3">
        <f>E51/$I$1</f>
        <v>0</v>
      </c>
      <c r="H51" s="4" t="str">
        <v>IN WP ABOVE</v>
      </c>
      <c r="P51" s="4">
        <f>IFERROR(Q50*E51,0)</f>
        <v>0</v>
      </c>
      <c r="Y51" t="str">
        <f>AVB!$B$18</f>
        <v>Section 2 - Bid Breakdown</v>
      </c>
    </row>
    <row r="52" hidden="1" ht="14.25" customHeight="1">
      <c r="B52" s="13" t="str">
        <f>IF(ISBLANK(B53),"# NEED CSI #",IF(IFNA(MATCH(B53,'MCN Summary'!$A$9:$A$49,0),0)=0,"# WRONG CSI #",""))</f>
        <v/>
      </c>
    </row>
    <row r="53" hidden="1" ht="14.25" customHeight="1">
      <c r="B53" s="13">
        <v>78000</v>
      </c>
      <c r="C53" t="str">
        <f>SAFP!$B$4</f>
        <v>07 - FIREPROOFING</v>
      </c>
      <c r="E53" s="4">
        <v>0</v>
      </c>
      <c r="F53" s="4">
        <f>E53-D53</f>
        <v>0</v>
      </c>
      <c r="G53" s="3">
        <f>E53/$I$1</f>
        <v>0</v>
      </c>
      <c r="P53" s="4">
        <f>IFERROR(Q52*E53,0)</f>
        <v>0</v>
      </c>
      <c r="Y53" t="str">
        <f>SAFP!$B$18</f>
        <v>Section 2 - Bid Breakdown</v>
      </c>
    </row>
    <row r="54" hidden="1" ht="14.25" customHeight="1">
      <c r="B54" s="13" t="str">
        <f>IF(ISBLANK(B55),"# NEED CSI #",IF(IFNA(MATCH(B55,'MCN Summary'!$A$9:$A$49,0),0)=0,"# WRONG CSI #",""))</f>
        <v/>
      </c>
    </row>
    <row r="55" hidden="1" ht="14.25" customHeight="1">
      <c r="B55" s="13">
        <v>74000</v>
      </c>
      <c r="C55" t="str">
        <f>ExtPanel!$B$4</f>
        <v>07 - EXTERIOR PANELS</v>
      </c>
      <c r="E55" s="4">
        <v>0</v>
      </c>
      <c r="F55" s="4">
        <f>E55-D55</f>
        <v>0</v>
      </c>
      <c r="G55" s="3">
        <f>E55/$I$1</f>
        <v>0</v>
      </c>
      <c r="P55" s="4">
        <f>IFERROR(Q54*E55,0)</f>
        <v>0</v>
      </c>
      <c r="Y55" t="str">
        <f>ExtPanel!$B$18</f>
        <v>Section 2 - Bid Breakdown</v>
      </c>
    </row>
    <row r="56" ht="14.25" customHeight="1">
      <c r="B56" s="13" t="str">
        <f>IF(ISBLANK(B57),"# NEED CSI #",IF(IFNA(MATCH(B57,'MCN Summary'!$A$9:$A$49,0),0)=0,"# WRONG CSI #",""))</f>
        <v/>
      </c>
      <c r="D56" s="4" t="str">
        <v>w/roofing</v>
      </c>
      <c r="H56" s="4" t="str">
        <f>MetPanel!AI3</f>
        <v>RK International</v>
      </c>
      <c r="I56" s="4" t="str">
        <f>MetPanel!AI4</f>
        <v>Chu</v>
      </c>
      <c r="J56" s="4" t="str">
        <f>MetPanel!AI5</f>
        <v>Prestige</v>
      </c>
    </row>
    <row r="57" ht="14.25" customHeight="1">
      <c r="A57" t="str">
        <v>JC</v>
      </c>
      <c r="B57" s="13">
        <v>74000</v>
      </c>
      <c r="C57" t="str">
        <f>MetPanel!$B$4</f>
        <v>07 - METAL PANELS</v>
      </c>
      <c r="E57" s="4">
        <f>I57</f>
        <v>194004</v>
      </c>
      <c r="F57" s="4">
        <f>E57-D57</f>
        <v>194004</v>
      </c>
      <c r="G57" s="3">
        <f>E57/$I$1</f>
        <v>9.7002</v>
      </c>
      <c r="H57" s="4">
        <f>MetPanel!AM3</f>
        <v>185476.8</v>
      </c>
      <c r="I57" s="4">
        <f>MetPanel!AM4</f>
        <v>194004</v>
      </c>
      <c r="J57" s="4">
        <f>MetPanel!AM5</f>
        <v>286108.25</v>
      </c>
      <c r="P57" s="4">
        <f>IFERROR(Q56*E57,0)</f>
        <v>0</v>
      </c>
      <c r="Y57" t="str">
        <f>MetPanel!$B$18</f>
        <v>Section 2 - Bid Breakdown</v>
      </c>
    </row>
    <row r="58" ht="14.25" customHeight="1">
      <c r="B58" s="13" t="str">
        <f>IF(ISBLANK(B59),"# NEED CSI #",IF(IFNA(MATCH(B59,'MCN Summary'!$A$9:$A$49,0),0)=0,"# WRONG CSI #",""))</f>
        <v/>
      </c>
      <c r="H58" s="4" t="str">
        <f>Roof!AI3</f>
        <v>Chu</v>
      </c>
      <c r="I58" s="4" t="str">
        <f>Roof!AI4</f>
        <v>HRGM</v>
      </c>
      <c r="J58" s="4" t="str">
        <f>Roof!AI5</f>
        <v>Forsythe</v>
      </c>
      <c r="K58" s="4" t="str">
        <f>Roof!AI6</f>
        <v/>
      </c>
      <c r="L58" s="4" t="str">
        <f>Roof!AI7</f>
        <v/>
      </c>
      <c r="M58" s="4" t="str">
        <f>Roof!AI8</f>
        <v/>
      </c>
    </row>
    <row r="59" ht="14.25" customHeight="1">
      <c r="A59" t="str">
        <v>JC</v>
      </c>
      <c r="B59" s="13">
        <v>75000</v>
      </c>
      <c r="C59" t="str">
        <f>Roof!$B$4</f>
        <v>07 - ROOFING</v>
      </c>
      <c r="D59" s="4">
        <v>1961479.38</v>
      </c>
      <c r="E59" s="4">
        <f>I59</f>
        <v>901053.0176</v>
      </c>
      <c r="F59" s="4">
        <f>E59-D59</f>
        <v>-1060426.362</v>
      </c>
      <c r="G59" s="3">
        <f>E59/$I$1</f>
        <v>45.05265088</v>
      </c>
      <c r="H59" s="4">
        <f>Roof!AM3</f>
        <v>883728</v>
      </c>
      <c r="I59" s="4">
        <f>Roof!AM4</f>
        <v>901053.0176</v>
      </c>
      <c r="J59" s="4">
        <f>Roof!AM5</f>
        <v>912211.5</v>
      </c>
      <c r="K59" s="4" t="str">
        <f>Roof!AM6</f>
        <v/>
      </c>
      <c r="P59" s="4">
        <f>IFERROR(Q58*E59,0)</f>
        <v>0</v>
      </c>
      <c r="Y59" t="str">
        <f>Roof!$B$18</f>
        <v>Section 2 - Bid Breakdown</v>
      </c>
    </row>
    <row r="60" ht="14.25" customHeight="1">
      <c r="B60" s="13" t="str">
        <f>IF(ISBLANK(B61),"# NEED CSI #",IF(IFNA(MATCH(B61,'MCN Summary'!$A$9:$A$49,0),0)=0,"# WRONG CSI #",""))</f>
        <v/>
      </c>
      <c r="H60" s="4" t="str">
        <v>MCN Build</v>
      </c>
    </row>
    <row r="61" ht="14.25" customHeight="1">
      <c r="A61" t="str">
        <v>MK</v>
      </c>
      <c r="B61" s="13">
        <v>79000</v>
      </c>
      <c r="C61" t="str">
        <f>Sealants!$B$4</f>
        <v>07 - JOINT SEALANTS</v>
      </c>
      <c r="D61" s="4">
        <v>65076</v>
      </c>
      <c r="E61" s="4">
        <f>H61</f>
        <v>50184</v>
      </c>
      <c r="F61" s="4">
        <f>E61-D61</f>
        <v>-14892</v>
      </c>
      <c r="G61" s="3">
        <f>E61/$I$1</f>
        <v>2.5092</v>
      </c>
      <c r="H61" s="4">
        <f>I1*2.46*1.02</f>
        <v>50184</v>
      </c>
      <c r="P61" s="4">
        <f>IFERROR(Q60*E61,0)</f>
        <v>0</v>
      </c>
      <c r="Y61" t="str">
        <f>Sealants!$B$18</f>
        <v>Section 2 - Bid Breakdown</v>
      </c>
    </row>
    <row r="62" ht="14.25" customHeight="1">
      <c r="B62" s="13" t="str">
        <f>IF(ISBLANK(B63),"# NEED CSI #",IF(IFNA(MATCH(B63,'MCN Summary'!$A$9:$A$49,0),0)=0,"# WRONG CSI #",""))</f>
        <v/>
      </c>
      <c r="H62" s="4" t="str">
        <f>DFH!AI4</f>
        <v>Washington Door</v>
      </c>
      <c r="I62" s="4" t="str">
        <f>DFH!AI3</f>
        <v>Allegany Door</v>
      </c>
      <c r="J62" s="4" t="str">
        <f>DFH!AI5</f>
        <v xml:space="preserve">Aorbis </v>
      </c>
    </row>
    <row r="63" ht="14.25" customHeight="1">
      <c r="A63" t="str">
        <v>NT</v>
      </c>
      <c r="B63" s="13">
        <v>81000</v>
      </c>
      <c r="C63" t="str">
        <f>DFH!$B$4</f>
        <v>08 - DOORS, FRAMES, HARDWARE</v>
      </c>
      <c r="D63" s="4">
        <v>239021.7</v>
      </c>
      <c r="E63" s="4">
        <f>H63</f>
        <v>155478.192</v>
      </c>
      <c r="F63" s="4">
        <f>E63-D63</f>
        <v>-83543.508</v>
      </c>
      <c r="G63" s="3">
        <f>E63/$I$1</f>
        <v>7.7739096</v>
      </c>
      <c r="H63" s="4">
        <f>DFH!AM4</f>
        <v>155478.192</v>
      </c>
      <c r="I63" s="4">
        <f>DFH!AM3</f>
        <v>153000</v>
      </c>
      <c r="J63" s="4">
        <f>DFH!AM5</f>
        <v>204301.92</v>
      </c>
      <c r="P63" s="4">
        <f>IFERROR(Q62*E63,0)</f>
        <v>0</v>
      </c>
      <c r="Y63" t="str">
        <f>DFH!$B$18</f>
        <v>Section 2 - Bid Breakdown</v>
      </c>
    </row>
    <row r="64" ht="14.25" customHeight="1">
      <c r="B64" s="13" t="str">
        <f>IF(ISBLANK(B65),"# NEED CSI #",IF(IFNA(MATCH(B65,'MCN Summary'!$A$9:$A$49,0),0)=0,"# WRONG CSI #",""))</f>
        <v/>
      </c>
      <c r="D64" s="4" t="str">
        <v>w/dfh</v>
      </c>
      <c r="H64" s="4" t="str">
        <f>SpecDoor!AI3</f>
        <v>Miner Corp</v>
      </c>
      <c r="I64" s="4" t="str">
        <f>SpecDoor!AI4</f>
        <v>McKeon Door DC, Inc.</v>
      </c>
      <c r="J64" s="4" t="str">
        <f>SpecDoor!AI5</f>
        <v>OHD Co.</v>
      </c>
      <c r="K64" s="4" t="str">
        <f>SpecDoor!AI6</f>
        <v>Door Systems Inc</v>
      </c>
    </row>
    <row r="65" ht="14.25" customHeight="1">
      <c r="A65" t="str">
        <v>NT</v>
      </c>
      <c r="B65" s="13">
        <v>83000</v>
      </c>
      <c r="C65" t="str">
        <f>SpecDoor!$B$4</f>
        <v>08 - SPECIAL DOORS</v>
      </c>
      <c r="E65" s="4">
        <f>J65</f>
        <v>17229.84</v>
      </c>
      <c r="F65" s="4">
        <f>E65-D65</f>
        <v>17229.84</v>
      </c>
      <c r="G65" s="3">
        <f>E65/$I$1</f>
        <v>0.861492</v>
      </c>
      <c r="H65" s="4">
        <f>SpecDoor!AM3</f>
        <v>10606.2456</v>
      </c>
      <c r="I65" s="4">
        <f>SpecDoor!AM4</f>
        <v>12894.9012</v>
      </c>
      <c r="J65" s="4">
        <f>SpecDoor!AM5</f>
        <v>17229.84</v>
      </c>
      <c r="K65" s="4">
        <f>SpecDoor!AM6</f>
        <v>17442</v>
      </c>
      <c r="P65" s="4">
        <f>IFERROR(Q64*E65,0)</f>
        <v>0</v>
      </c>
      <c r="Y65" t="str">
        <f>SpecDoor!$B$18</f>
        <v>Section 2 - Bid Breakdown</v>
      </c>
    </row>
    <row r="66" hidden="1" ht="14.25" customHeight="1">
      <c r="B66" s="13" t="str">
        <f>IF(ISBLANK(B67),"# NEED CSI #",IF(IFNA(MATCH(B67,'MCN Summary'!$A$9:$A$49,0),0)=0,"# WRONG CSI #",""))</f>
        <v/>
      </c>
    </row>
    <row r="67" hidden="1" ht="14.25" customHeight="1">
      <c r="B67" s="13">
        <v>84000</v>
      </c>
      <c r="C67" t="str">
        <f>Glz!$B$4</f>
        <v>08 - GLASS &amp; GLAZING</v>
      </c>
      <c r="E67" s="4">
        <v>0</v>
      </c>
      <c r="F67" s="4">
        <f>E67-D67</f>
        <v>0</v>
      </c>
      <c r="G67" s="3">
        <f>E67/$I$1</f>
        <v>0</v>
      </c>
      <c r="P67" s="4">
        <f>IFERROR(Q66*E67,0)</f>
        <v>0</v>
      </c>
      <c r="Y67" t="str">
        <f>Glz!$B$18</f>
        <v>Section 2 - Bid Breakdown</v>
      </c>
    </row>
    <row r="68" ht="14.25" customHeight="1">
      <c r="B68" s="13" t="str">
        <f>IF(ISBLANK(B69),"# NEED CSI #",IF(IFNA(MATCH(B69,'MCN Summary'!$A$9:$A$49,0),0)=0,"# WRONG CSI #",""))</f>
        <v/>
      </c>
      <c r="H68" s="4" t="str">
        <f>Alum!AI3</f>
        <v>AGM Contracting</v>
      </c>
      <c r="I68" s="4" t="str">
        <f>Alum!AI4</f>
        <v>Ranger</v>
      </c>
      <c r="J68" s="4" t="str">
        <f>Alum!AI5</f>
        <v>Prestige</v>
      </c>
      <c r="K68" s="4" t="str">
        <f>Alum!AI6</f>
        <v>Innovo</v>
      </c>
    </row>
    <row r="69" ht="14.25" customHeight="1">
      <c r="A69" t="str">
        <v>JC</v>
      </c>
      <c r="B69" s="13">
        <v>84000</v>
      </c>
      <c r="C69" t="str">
        <f>Alum!$B$4</f>
        <v>08 - ALUM &amp; GLASS</v>
      </c>
      <c r="D69" s="4">
        <v>749516.4</v>
      </c>
      <c r="E69" s="4">
        <f>K69</f>
        <v>639450.24</v>
      </c>
      <c r="F69" s="4">
        <f>E69-D69</f>
        <v>-110066.16</v>
      </c>
      <c r="G69" s="3">
        <f>E69/$I$1</f>
        <v>31.972512</v>
      </c>
      <c r="H69" s="4">
        <f>Alum!AM3</f>
        <v>488784</v>
      </c>
      <c r="I69" s="4">
        <f>Alum!AM4</f>
        <v>585738.06</v>
      </c>
      <c r="J69" s="4">
        <f>Alum!AM5</f>
        <v>621435</v>
      </c>
      <c r="K69" s="4">
        <f>Alum!AM6</f>
        <v>639450.24</v>
      </c>
      <c r="P69" s="4">
        <f>IFERROR(Q68*E69,0)</f>
        <v>0</v>
      </c>
      <c r="Y69" t="str">
        <f>Alum!$B$18</f>
        <v>Section 2 - Bid Breakdown</v>
      </c>
    </row>
    <row r="70" hidden="1" ht="15.75" customHeight="1">
      <c r="B70" s="13" t="str">
        <f>IF(ISBLANK(B71),"# NEED CSI #",IF(IFNA(MATCH(B71,'MCN Summary'!$A$9:$A$49,0),0)=0,"# WRONG CSI #",""))</f>
        <v/>
      </c>
    </row>
    <row r="71" hidden="1" ht="14.25" customHeight="1">
      <c r="B71" s="13">
        <v>84000</v>
      </c>
      <c r="C71" t="str">
        <f>IntGlass!$B$4</f>
        <v>08 - INT GLASS</v>
      </c>
      <c r="E71" s="4">
        <v>0</v>
      </c>
      <c r="F71" s="4">
        <f>E71-D71</f>
        <v>0</v>
      </c>
      <c r="G71" s="3">
        <f>E71/$I$1</f>
        <v>0</v>
      </c>
      <c r="P71" s="4">
        <f>IFERROR(Q70*E71,0)</f>
        <v>0</v>
      </c>
      <c r="Y71" t="str">
        <f>IntGlass!$B$18</f>
        <v>Section 2 - Bid Breakdown</v>
      </c>
    </row>
    <row r="72" ht="14.25" customHeight="1">
      <c r="B72" s="13" t="str">
        <f>IF(ISBLANK(B73),"# NEED CSI #",IF(IFNA(MATCH(B73,'MCN Summary'!$A$9:$A$49,0),0)=0,"# WRONG CSI #",""))</f>
        <v/>
      </c>
      <c r="H72" s="4" t="str">
        <f>GWB!AI5</f>
        <v/>
      </c>
      <c r="I72" s="4" t="str">
        <f>GWB!AI3</f>
        <v>Uniconstruction</v>
      </c>
      <c r="J72" s="4" t="str">
        <f>GWB!AI4</f>
        <v>Dynamic Contracting</v>
      </c>
    </row>
    <row r="73" ht="14.25" customHeight="1">
      <c r="A73" t="str">
        <v>NT</v>
      </c>
      <c r="B73" s="13">
        <v>92000</v>
      </c>
      <c r="C73" t="str">
        <f>GWB!$B$4</f>
        <v>09 - DRYWALL &amp; CEILINGS</v>
      </c>
      <c r="D73" s="4">
        <f>1065450.18+76068</f>
        <v>1141518.18</v>
      </c>
      <c r="E73" s="4">
        <f>J73</f>
        <v>1207715.7</v>
      </c>
      <c r="F73" s="4">
        <f>E73-D73</f>
        <v>66197.52</v>
      </c>
      <c r="G73" s="3">
        <f>E73/$I$1</f>
        <v>60.385785</v>
      </c>
      <c r="H73" s="4" t="str">
        <f>GWB!AM5</f>
        <v/>
      </c>
      <c r="I73" s="4">
        <f>GWB!AM3</f>
        <v>814269.06</v>
      </c>
      <c r="J73" s="4">
        <f>GWB!AM4</f>
        <v>1207715.7</v>
      </c>
      <c r="P73" s="4">
        <f>IFERROR(Q72*E73,0)</f>
        <v>0</v>
      </c>
      <c r="Y73" t="str">
        <f>GWB!$B$18</f>
        <v>Section 2 - Bid Breakdown</v>
      </c>
    </row>
    <row r="74" ht="14.25" customHeight="1">
      <c r="B74" s="13" t="str">
        <f>IF(ISBLANK(B75),"# NEED CSI #",IF(IFNA(MATCH(B75,'MCN Summary'!$A$9:$A$49,0),0)=0,"# WRONG CSI #",""))</f>
        <v/>
      </c>
      <c r="H74" s="4" t="str">
        <f>Tile!AI3</f>
        <v xml:space="preserve">Floors Etc </v>
      </c>
      <c r="I74" s="4" t="str">
        <f>Tile!AI4</f>
        <v>Admiral</v>
      </c>
    </row>
    <row r="75" ht="14.25" customHeight="1">
      <c r="A75" t="str">
        <v>NT</v>
      </c>
      <c r="B75" s="13">
        <v>93000</v>
      </c>
      <c r="C75" t="str">
        <f>Tile!$B$4</f>
        <v>09 - TILE</v>
      </c>
      <c r="D75" s="4">
        <v>107100</v>
      </c>
      <c r="E75" s="4">
        <f>H75</f>
        <v>66059.28</v>
      </c>
      <c r="F75" s="4">
        <f>E75-D75</f>
        <v>-41040.72</v>
      </c>
      <c r="G75" s="3">
        <f>E75/$I$1</f>
        <v>3.302964</v>
      </c>
      <c r="H75" s="4">
        <f>Tile!AM3</f>
        <v>66059.28</v>
      </c>
      <c r="I75" s="4">
        <f>Tile!AM4</f>
        <v>102000</v>
      </c>
      <c r="P75" s="4">
        <f>IFERROR(Q74*E75,0)</f>
        <v>0</v>
      </c>
      <c r="Y75" t="str">
        <f>Tile!$B$18</f>
        <v>Section 2 - Bid Breakdown</v>
      </c>
    </row>
    <row r="76" hidden="1" ht="14.25" customHeight="1">
      <c r="B76" s="13" t="str">
        <f>IF(ISBLANK(B77),"# NEED CSI #",IF(IFNA(MATCH(B77,'MCN Summary'!$A$9:$A$49,0),0)=0,"# WRONG CSI #",""))</f>
        <v/>
      </c>
    </row>
    <row r="77" hidden="1" ht="14.25" customHeight="1">
      <c r="B77" s="13">
        <v>96000</v>
      </c>
      <c r="C77" t="str">
        <f>Terrazzo!$B$4</f>
        <v>09 - TERRAZZO</v>
      </c>
      <c r="E77" s="4">
        <v>0</v>
      </c>
      <c r="F77" s="4">
        <f>E77-D77</f>
        <v>0</v>
      </c>
      <c r="G77" s="3">
        <f>E77/$I$1</f>
        <v>0</v>
      </c>
      <c r="P77" s="4">
        <f>IFERROR(Q76*E77,0)</f>
        <v>0</v>
      </c>
      <c r="Y77" t="str">
        <f>Terrazzo!$B$18</f>
        <v>Section 2 - Bid Breakdown</v>
      </c>
    </row>
    <row r="78" ht="14.25" customHeight="1">
      <c r="B78" s="13" t="str">
        <f>IF(ISBLANK(B79),"# NEED CSI #",IF(IFNA(MATCH(B79,'MCN Summary'!$A$9:$A$49,0),0)=0,"# WRONG CSI #",""))</f>
        <v/>
      </c>
      <c r="H78" s="4" t="str">
        <f>Floor!AI3</f>
        <v xml:space="preserve">Admiral </v>
      </c>
      <c r="I78" s="4" t="str">
        <f>Floor!AI4</f>
        <v xml:space="preserve">Floors Etc </v>
      </c>
    </row>
    <row r="79" ht="14.25" customHeight="1">
      <c r="A79" t="str">
        <v>NT</v>
      </c>
      <c r="B79" s="13">
        <v>96000</v>
      </c>
      <c r="C79" t="str">
        <f>Floor!$B$4</f>
        <v xml:space="preserve">09 - CARPET, RESILIENT, RUBBER FLOORING </v>
      </c>
      <c r="D79" s="4">
        <v>680734.74</v>
      </c>
      <c r="E79" s="4">
        <f>H79</f>
        <v>221540.94</v>
      </c>
      <c r="F79" s="4">
        <f>E79-D79</f>
        <v>-459193.8</v>
      </c>
      <c r="G79" s="3">
        <f>E79/$I$1</f>
        <v>11.077047</v>
      </c>
      <c r="H79" s="4">
        <f>Floor!AM3</f>
        <v>221540.94</v>
      </c>
      <c r="I79" s="4">
        <f>Floor!AM4</f>
        <v>283407</v>
      </c>
      <c r="P79" s="4">
        <f>IFERROR(Q78*E79,0)</f>
        <v>0</v>
      </c>
      <c r="Y79" t="str">
        <f>Floor!$B$18</f>
        <v>Section 2 - Bid Breakdown</v>
      </c>
    </row>
    <row r="80" ht="14.25" customHeight="1">
      <c r="B80" s="13" t="str">
        <f>IF(ISBLANK(B81),"# NEED CSI #",IF(IFNA(MATCH(B81,'MCN Summary'!$A$9:$A$49,0),0)=0,"# WRONG CSI #",""))</f>
        <v/>
      </c>
      <c r="H80" s="4" t="str">
        <f>Paint!AI5</f>
        <v>Precision Wall Tech</v>
      </c>
      <c r="I80" s="4" t="str">
        <f>Paint!AI3</f>
        <v>Uniconstruction</v>
      </c>
      <c r="J80" s="4" t="str">
        <f>Paint!AI4</f>
        <v>District Construction</v>
      </c>
    </row>
    <row r="81" ht="14.25" customHeight="1">
      <c r="A81" t="str">
        <v>NT</v>
      </c>
      <c r="B81" s="13">
        <v>99000</v>
      </c>
      <c r="C81" t="str">
        <f>Paint!$B$4</f>
        <v>09 - PAINT &amp; WALL COVERING</v>
      </c>
      <c r="D81" s="4">
        <v>197052.78</v>
      </c>
      <c r="E81" s="4">
        <f>J81</f>
        <v>113230.2</v>
      </c>
      <c r="F81" s="4">
        <f>E81-D81</f>
        <v>-83822.58</v>
      </c>
      <c r="G81" s="3">
        <f>E81/$I$1</f>
        <v>5.66151</v>
      </c>
      <c r="H81" s="4">
        <f>Paint!AM5</f>
        <v>129540</v>
      </c>
      <c r="I81" s="4">
        <f>Paint!AM3</f>
        <v>109497</v>
      </c>
      <c r="J81" s="4">
        <f>Paint!AM4</f>
        <v>113230.2</v>
      </c>
      <c r="P81" s="4">
        <f>IFERROR(Q80*E81,0)</f>
        <v>0</v>
      </c>
      <c r="Y81" t="str">
        <f>Paint!$B$18</f>
        <v>Section 2 - Bid Breakdown</v>
      </c>
    </row>
    <row r="82" hidden="1" ht="14.25" customHeight="1">
      <c r="B82" s="13" t="str">
        <f>IF(ISBLANK(B83),"# NEED CSI #",IF(IFNA(MATCH(B83,'MCN Summary'!$A$9:$A$49,0),0)=0,"# WRONG CSI #",""))</f>
        <v/>
      </c>
      <c r="H82" s="4" t="str">
        <v>W/Specialties</v>
      </c>
    </row>
    <row r="83" hidden="1" ht="14.25" customHeight="1">
      <c r="B83" s="13">
        <v>100000</v>
      </c>
      <c r="C83" t="str">
        <f>TA!$B$4</f>
        <v>10 - TOILET ACCESSORIES</v>
      </c>
      <c r="E83" s="4">
        <v>0</v>
      </c>
      <c r="F83" s="4">
        <f>E83-D83</f>
        <v>0</v>
      </c>
      <c r="G83" s="3">
        <f>E83/$I$1</f>
        <v>0</v>
      </c>
      <c r="P83" s="4">
        <f>IFERROR(Q82*E83,0)</f>
        <v>0</v>
      </c>
      <c r="Y83" t="str">
        <f>TA!$B$18</f>
        <v>Section 2 - Bid Breakdown</v>
      </c>
    </row>
    <row r="84" hidden="1" ht="14.25" customHeight="1">
      <c r="B84" s="13" t="str">
        <f>IF(ISBLANK(B85),"# NEED CSI #",IF(IFNA(MATCH(B85,'MCN Summary'!$A$9:$A$49,0),0)=0,"# WRONG CSI #",""))</f>
        <v/>
      </c>
      <c r="H84" s="4" t="str">
        <v>W/Specialties</v>
      </c>
    </row>
    <row r="85" hidden="1" ht="14.25" customHeight="1">
      <c r="B85" s="13">
        <v>100000</v>
      </c>
      <c r="C85" t="str">
        <f>TPart!$B$4</f>
        <v>10 - TOILET PARTITIONS</v>
      </c>
      <c r="E85" s="4">
        <v>0</v>
      </c>
      <c r="F85" s="4">
        <f>E85-D85</f>
        <v>0</v>
      </c>
      <c r="G85" s="3">
        <f>E85/$I$1</f>
        <v>0</v>
      </c>
      <c r="P85" s="4">
        <f>IFERROR(Q84*E85,0)</f>
        <v>0</v>
      </c>
      <c r="Y85" t="str">
        <f>TPart!$B$18</f>
        <v>Section 2 - Bid Breakdown</v>
      </c>
    </row>
    <row r="86" ht="14.25" customHeight="1">
      <c r="B86" s="13" t="str">
        <f>IF(ISBLANK(B87),"# NEED CSI #",IF(IFNA(MATCH(B87,'MCN Summary'!$A$9:$A$49,0),0)=0,"# WRONG CSI #",""))</f>
        <v/>
      </c>
      <c r="D86" s="4" t="str">
        <v>w/specialties</v>
      </c>
      <c r="H86" s="4" t="str">
        <f>Sign!AI3</f>
        <v xml:space="preserve">Gelberg Signs </v>
      </c>
      <c r="I86" s="4" t="str">
        <f>Sign!AI4</f>
        <v xml:space="preserve">Modulex Mid Atlantic </v>
      </c>
    </row>
    <row r="87" ht="14.25" customHeight="1">
      <c r="A87" t="str">
        <v>NT</v>
      </c>
      <c r="B87" s="13">
        <v>100000</v>
      </c>
      <c r="C87" t="str">
        <f>Sign!$B$4</f>
        <v>10 - SIGNAGE</v>
      </c>
      <c r="D87" s="4">
        <v>0</v>
      </c>
      <c r="E87" s="4">
        <f>H87</f>
        <v>25798.86</v>
      </c>
      <c r="F87" s="4">
        <f>E87-D87</f>
        <v>25798.86</v>
      </c>
      <c r="G87" s="3">
        <f>E87/$I$1</f>
        <v>1.289943</v>
      </c>
      <c r="H87" s="4">
        <f>Sign!AM3</f>
        <v>25798.86</v>
      </c>
      <c r="I87" s="4">
        <f>Sign!AM4</f>
        <v>42067.0644</v>
      </c>
      <c r="P87" s="4">
        <f>IFERROR(Q86*E87,0)</f>
        <v>0</v>
      </c>
      <c r="Y87" t="str">
        <f>Sign!$B$18</f>
        <v>Section 2 - Bid Breakdown</v>
      </c>
    </row>
    <row r="88" ht="14.25" customHeight="1">
      <c r="B88" s="13" t="str">
        <f>IF(ISBLANK(B89),"# NEED CSI #",IF(IFNA(MATCH(B89,'MCN Summary'!$A$9:$A$49,0),0)=0,"# WRONG CSI #",""))</f>
        <v/>
      </c>
      <c r="H88" s="4" t="str">
        <f>Specialties!AI3</f>
        <v>Nelson Specialties</v>
      </c>
      <c r="I88" s="4" t="str">
        <f>Specialties!AI4</f>
        <v>Newton Distributing</v>
      </c>
      <c r="J88" s="4" t="str">
        <f>Specialties!AI5</f>
        <v>Washington Door</v>
      </c>
      <c r="K88" s="4" t="str">
        <f>Specialties!AI6</f>
        <v xml:space="preserve">Aorbis </v>
      </c>
    </row>
    <row r="89" ht="14.25" customHeight="1">
      <c r="A89" t="str">
        <v>NT</v>
      </c>
      <c r="B89" s="13">
        <v>100000</v>
      </c>
      <c r="C89" t="str">
        <f>Specialties!$B$4</f>
        <v xml:space="preserve">10 - SPECIALTIES (Visual Display Units, TA's FEC's, Lockers, op partitions,matts) </v>
      </c>
      <c r="D89" s="4">
        <v>254229.9</v>
      </c>
      <c r="E89" s="4">
        <f>H89</f>
        <v>344400.96</v>
      </c>
      <c r="F89" s="4">
        <f>E89-D89</f>
        <v>90171.06</v>
      </c>
      <c r="G89" s="3">
        <f>E89/$I$1</f>
        <v>17.220048</v>
      </c>
      <c r="H89" s="4">
        <f>Specialties!AM3</f>
        <v>344400.96</v>
      </c>
      <c r="I89" s="4">
        <f>Specialties!AM4</f>
        <v>351463.338</v>
      </c>
      <c r="J89" s="4">
        <f>Specialties!AM5</f>
        <v>386921.7</v>
      </c>
      <c r="K89" s="4">
        <f>Specialties!AM6</f>
        <v>464375.5836</v>
      </c>
      <c r="P89" s="4">
        <f>IFERROR(Q88*E89,0)</f>
        <v>0</v>
      </c>
      <c r="Y89" t="str">
        <f>Specialties!$B$18</f>
        <v>Section 2 - Bid Breakdown</v>
      </c>
    </row>
    <row r="90" hidden="1" ht="14.25" customHeight="1">
      <c r="B90" s="13" t="str">
        <f>IF(ISBLANK(B91),"# NEED CSI #",IF(IFNA(MATCH(B91,'MCN Summary'!$A$9:$A$49,0),0)=0,"# WRONG CSI #",""))</f>
        <v/>
      </c>
      <c r="H90" s="4" t="str">
        <v>W/Specialties</v>
      </c>
    </row>
    <row r="91" hidden="1" ht="14.25" customHeight="1">
      <c r="B91" s="13">
        <v>100000</v>
      </c>
      <c r="C91" t="str">
        <f>Lockers!$B$4</f>
        <v>10 - LOCKERS</v>
      </c>
      <c r="E91" s="4">
        <v>0</v>
      </c>
      <c r="F91" s="4">
        <f>E91-D91</f>
        <v>0</v>
      </c>
      <c r="G91" s="3">
        <f>E91/$I$1</f>
        <v>0</v>
      </c>
      <c r="P91" s="4">
        <f>IFERROR(Q90*E91,0)</f>
        <v>0</v>
      </c>
      <c r="Y91" t="str">
        <f>Lockers!$B$18</f>
        <v>Section 2 - Bid Breakdown</v>
      </c>
    </row>
    <row r="92" hidden="1" ht="14.25" customHeight="1">
      <c r="B92" s="13" t="str">
        <f>IF(ISBLANK(B93),"# NEED CSI #",IF(IFNA(MATCH(B93,'MCN Summary'!$A$9:$A$49,0),0)=0,"# WRONG CSI #",""))</f>
        <v/>
      </c>
    </row>
    <row r="93" hidden="1" ht="14.25" customHeight="1">
      <c r="B93" s="13">
        <v>61000</v>
      </c>
      <c r="C93" t="str">
        <f>NA!$B$4</f>
        <v>12 - FF&amp;E</v>
      </c>
      <c r="E93" s="4">
        <v>0</v>
      </c>
      <c r="F93" s="4">
        <f>E93-D93</f>
        <v>0</v>
      </c>
      <c r="G93" s="3">
        <f>E93/$I$1</f>
        <v>0</v>
      </c>
      <c r="P93" s="4">
        <f>IFERROR(Q92*E93,0)</f>
        <v>0</v>
      </c>
      <c r="Y93" t="str">
        <f>NA!$B$18</f>
        <v>Section 2 - Bid Breakdown</v>
      </c>
    </row>
    <row r="94" ht="14.25" customHeight="1">
      <c r="H94" s="4" t="str">
        <f>'Kitch Eq'!AI3</f>
        <v>Singer</v>
      </c>
      <c r="I94" s="4" t="str">
        <f>'Kitch Eq'!AI4</f>
        <v>11400, Inc.</v>
      </c>
    </row>
    <row r="95" ht="14.25" customHeight="1">
      <c r="A95" t="str">
        <v>VJ</v>
      </c>
      <c r="B95" s="13" t="str">
        <v>11 40 00</v>
      </c>
      <c r="C95" t="str">
        <f>'Kitch Eq'!$B$4</f>
        <v>11 - Kitchen Equipment</v>
      </c>
      <c r="D95" s="4">
        <v>890209.0800000001</v>
      </c>
      <c r="E95" s="4">
        <f>H95</f>
        <v>132227.7</v>
      </c>
      <c r="F95" s="4">
        <f>E95-D95</f>
        <v>-757981.38</v>
      </c>
      <c r="G95" s="3">
        <f>E95/$I$1</f>
        <v>6.611385</v>
      </c>
      <c r="H95" s="4">
        <f>'Kitch Eq'!AM3</f>
        <v>132227.7</v>
      </c>
      <c r="I95" s="4">
        <f>'Kitch Eq'!AM4</f>
        <v>170850</v>
      </c>
      <c r="P95" s="4">
        <f>IFERROR(Q94*E95,0)</f>
        <v>0</v>
      </c>
      <c r="Y95" t="str">
        <f>'Kitch Eq'!$B$18</f>
        <v>Section 2 - Bid Breakdown</v>
      </c>
    </row>
    <row r="96" ht="14.25" customHeight="1">
      <c r="D96" s="4" t="str">
        <v>w/kitchen equipment</v>
      </c>
      <c r="H96" s="4" t="str">
        <f>'Athl Eq'!AI3</f>
        <v>TJ Distributor</v>
      </c>
      <c r="I96" s="4" t="str">
        <f>'Athl Eq'!AI4</f>
        <v>Degler Whiting</v>
      </c>
    </row>
    <row r="97" ht="14.25" customHeight="1">
      <c r="A97" t="str">
        <v>VJ</v>
      </c>
      <c r="B97" s="13">
        <v>116600</v>
      </c>
      <c r="C97" t="str">
        <f>'Athl Eq'!$B$4</f>
        <v>11 - ATHELTIC EQUIPMENT</v>
      </c>
      <c r="D97" s="4">
        <v>0</v>
      </c>
      <c r="E97" s="4">
        <f>H97</f>
        <v>200940</v>
      </c>
      <c r="F97" s="4">
        <f>E97-D97</f>
        <v>200940</v>
      </c>
      <c r="G97" s="3">
        <f>E97/$I$1</f>
        <v>10.047</v>
      </c>
      <c r="H97" s="4">
        <f>'Athl Eq'!AM3</f>
        <v>200940</v>
      </c>
      <c r="I97" s="4">
        <f>'Athl Eq'!AM4</f>
        <v>205576.92</v>
      </c>
      <c r="P97" s="4">
        <f>IFERROR(Q96*E97,0)</f>
        <v>0</v>
      </c>
      <c r="Y97" t="str">
        <f>'Athl Eq'!$B$18</f>
        <v>Section 2 - Bid Breakdown</v>
      </c>
    </row>
    <row r="98" ht="14.25" customHeight="1">
      <c r="B98" s="13" t="str">
        <f>IF(ISBLANK(B99),"# NEED CSI #",IF(IFNA(MATCH(B99,'MCN Summary'!$A$9:$A$49,0),0)=0,"# WRONG CSI #",""))</f>
        <v/>
      </c>
      <c r="C98" t="str">
        <v>carrying matts w/specialties</v>
      </c>
      <c r="E98" s="4" t="str">
        <v>ADD FOR FITNESS EQUIPMENT</v>
      </c>
      <c r="H98" s="4" t="str">
        <v>DES</v>
      </c>
      <c r="I98" s="4" t="str">
        <v>SBE</v>
      </c>
    </row>
    <row r="99" ht="14.25" customHeight="1">
      <c r="A99" t="str">
        <v>MK</v>
      </c>
      <c r="B99" s="13">
        <v>120000</v>
      </c>
      <c r="C99" t="str">
        <f>FFE!$B$4</f>
        <v>12 - FF&amp;E</v>
      </c>
      <c r="D99" s="4">
        <v>292369.74</v>
      </c>
      <c r="E99" s="4">
        <f>H99</f>
        <v>101292.12</v>
      </c>
      <c r="F99" s="4">
        <f>E99-D99</f>
        <v>-191077.62</v>
      </c>
      <c r="G99" s="3">
        <f>E99/$I$1</f>
        <v>5.064606</v>
      </c>
      <c r="H99" s="4">
        <f>99306*1.02</f>
        <v>101292.12</v>
      </c>
      <c r="I99" s="4">
        <f>59943.75*1.32</f>
        <v>79125.75</v>
      </c>
      <c r="P99" s="4">
        <f>IFERROR(Q98*E99,0)</f>
        <v>0</v>
      </c>
      <c r="Y99" t="str">
        <f>FFE!$B$18</f>
        <v>Section 2 - Bid Breakdown</v>
      </c>
    </row>
    <row r="100" hidden="1" ht="14.25" customHeight="1">
      <c r="B100" s="13" t="str">
        <f>IF(ISBLANK(B101),"# NEED CSI #",IF(IFNA(MATCH(B101,'MCN Summary'!$A$9:$A$49,0),0)=0,"# WRONG CSI #",""))</f>
        <v/>
      </c>
    </row>
    <row r="101" hidden="1" ht="14.25" customHeight="1">
      <c r="B101" s="13">
        <v>123000</v>
      </c>
      <c r="C101" t="str">
        <f>ResCab!$B$4</f>
        <v>12 - RESIDENTIAL CABINETS</v>
      </c>
      <c r="E101" s="4">
        <v>0</v>
      </c>
      <c r="F101" s="4">
        <f>E101-D101</f>
        <v>0</v>
      </c>
      <c r="G101" s="3">
        <f>E101/$I$1</f>
        <v>0</v>
      </c>
      <c r="P101" s="4">
        <f>IFERROR(Q100*E101,0)</f>
        <v>0</v>
      </c>
      <c r="Y101" t="str">
        <f>ResCab!$B$18</f>
        <v>Section 2 - Bid Breakdown</v>
      </c>
    </row>
    <row r="102" hidden="1" ht="14.25" customHeight="1">
      <c r="B102" s="13" t="str">
        <f>IF(ISBLANK(B103),"# NEED CSI #",IF(IFNA(MATCH(B103,'MCN Summary'!$A$9:$A$49,0),0)=0,"# WRONG CSI #",""))</f>
        <v/>
      </c>
    </row>
    <row r="103" hidden="1" ht="14.25" customHeight="1">
      <c r="B103" s="13">
        <v>123000</v>
      </c>
      <c r="C103" t="str">
        <f>Counter!$B$4</f>
        <v>12 - COUNTERTOPS</v>
      </c>
      <c r="E103" s="4">
        <v>0</v>
      </c>
      <c r="F103" s="4">
        <f>E103-D103</f>
        <v>0</v>
      </c>
      <c r="G103" s="3">
        <f>E103/$I$1</f>
        <v>0</v>
      </c>
      <c r="P103" s="4">
        <f>IFERROR(Q102*E103,0)</f>
        <v>0</v>
      </c>
      <c r="Y103" t="str">
        <f>Counter!$B$18</f>
        <v>Section 2 - Bid Breakdown</v>
      </c>
    </row>
    <row r="104" ht="14.25" customHeight="1">
      <c r="B104" s="13" t="str">
        <f>IF(ISBLANK(B105),"# NEED CSI #",IF(IFNA(MATCH(B105,'MCN Summary'!$A$9:$A$49,0),0)=0,"# WRONG CSI #",""))</f>
        <v/>
      </c>
      <c r="D104" s="4" t="str">
        <v>w/FFE</v>
      </c>
      <c r="H104" s="4" t="str">
        <v>Total Shading</v>
      </c>
    </row>
    <row r="105" ht="14.25" customHeight="1">
      <c r="A105" t="str">
        <v>MK</v>
      </c>
      <c r="B105" s="13">
        <v>120000</v>
      </c>
      <c r="C105" t="str">
        <f>WT!$B$4</f>
        <v>12 - WINDOW TREATMENTS</v>
      </c>
      <c r="D105" s="4">
        <v>0</v>
      </c>
      <c r="E105" s="4">
        <f>H105</f>
        <v>85912.152</v>
      </c>
      <c r="F105" s="4">
        <f>E105-D105</f>
        <v>85912.152</v>
      </c>
      <c r="G105" s="3">
        <f>E105/$I$1</f>
        <v>4.2956076</v>
      </c>
      <c r="H105" s="4">
        <f>84227.6*1.02</f>
        <v>85912.152</v>
      </c>
      <c r="P105" s="4">
        <f>IFERROR(Q104*E105,0)</f>
        <v>0</v>
      </c>
      <c r="Y105" t="str">
        <f>WT!$B$18</f>
        <v>Section 2 - Bid Breakdown</v>
      </c>
    </row>
    <row r="106" ht="14.25" customHeight="1">
      <c r="H106" s="4" t="str">
        <v>Millenium- TBD</v>
      </c>
    </row>
    <row r="107" ht="14.25" customHeight="1">
      <c r="A107" t="str">
        <v>MK</v>
      </c>
      <c r="B107" s="13">
        <v>130000</v>
      </c>
      <c r="C107" t="str">
        <f>POOL!$B$4</f>
        <v>13 - POOLS</v>
      </c>
      <c r="D107" s="4">
        <v>393851.58</v>
      </c>
      <c r="E107" s="4">
        <f>D107</f>
        <v>393851.58</v>
      </c>
      <c r="F107" s="4">
        <f>E107-D107</f>
        <v>0</v>
      </c>
      <c r="G107" s="3">
        <f>E107/$I$1</f>
        <v>19.692579</v>
      </c>
      <c r="P107" s="4">
        <f>IFERROR(Q106*E107,0)</f>
        <v>0</v>
      </c>
      <c r="Y107" t="str">
        <f>POOL!$B$18</f>
        <v>Section 2 - Bid Breakdown</v>
      </c>
    </row>
    <row r="108" ht="14.25" customHeight="1">
      <c r="B108" s="13" t="str">
        <f>IF(ISBLANK(B109),"# NEED CSI #",IF(IFNA(MATCH(B109,'MCN Summary'!$A$9:$A$49,0),0)=0,"# WRONG CSI #",""))</f>
        <v/>
      </c>
      <c r="H108" s="4" t="str">
        <v xml:space="preserve">District </v>
      </c>
    </row>
    <row r="109" ht="14.25" customHeight="1">
      <c r="A109" t="str">
        <v>MK</v>
      </c>
      <c r="B109" s="13">
        <v>140000</v>
      </c>
      <c r="C109" t="str">
        <f>Elev!$B$4</f>
        <v>14 - ELEVATORS</v>
      </c>
      <c r="D109" s="4">
        <v>183600</v>
      </c>
      <c r="E109" s="4">
        <f>H109</f>
        <v>344148</v>
      </c>
      <c r="F109" s="4">
        <f>E109-D109</f>
        <v>160548</v>
      </c>
      <c r="G109" s="3">
        <f>E109/$I$1</f>
        <v>17.2074</v>
      </c>
      <c r="H109" s="4">
        <f>337400*1.02</f>
        <v>344148</v>
      </c>
      <c r="P109" s="4">
        <f>IFERROR(Q108*E109,0)</f>
        <v>0</v>
      </c>
      <c r="Y109" t="str">
        <f>Elev!$B$18</f>
        <v>Section 2 - Bid Breakdown</v>
      </c>
    </row>
    <row r="110" ht="14.25" customHeight="1">
      <c r="B110" s="13" t="str">
        <f>IF(ISBLANK(B111),"# NEED CSI #",IF(IFNA(MATCH(B111,'MCN Summary'!$A$9:$A$49,0),0)=0,"# WRONG CSI #",""))</f>
        <v/>
      </c>
      <c r="H110" s="4" t="str">
        <v>Bayside</v>
      </c>
      <c r="I110" s="4" t="str">
        <v>Continental</v>
      </c>
    </row>
    <row r="111" ht="14.25" customHeight="1">
      <c r="A111" t="str">
        <v>MK</v>
      </c>
      <c r="B111" s="13">
        <v>210000</v>
      </c>
      <c r="C111" t="str">
        <f>FireP!$B$4</f>
        <v>21 - FIRE PROTECTION</v>
      </c>
      <c r="D111" s="4">
        <v>230112</v>
      </c>
      <c r="E111" s="4">
        <v>0</v>
      </c>
      <c r="F111" s="4">
        <f>E111-D111</f>
        <v>-230112</v>
      </c>
      <c r="G111" s="3">
        <f>E111/$I$1</f>
        <v>0</v>
      </c>
      <c r="H111" s="4">
        <f>167485*1.02</f>
        <v>170834.7</v>
      </c>
      <c r="I111" s="4">
        <f>151000*1.02</f>
        <v>154020</v>
      </c>
      <c r="P111" s="4">
        <f>IFERROR(Q110*E111,0)</f>
        <v>0</v>
      </c>
      <c r="Y111" t="str">
        <f>FireP!$B$18</f>
        <v>Section 2 - Bid Breakdown</v>
      </c>
    </row>
    <row r="112" ht="14.25" customHeight="1">
      <c r="B112" s="13" t="str">
        <f>IF(ISBLANK(B113),"# NEED CSI #",IF(IFNA(MATCH(B113,'MCN Summary'!$A$9:$A$49,0),0)=0,"# WRONG CSI #",""))</f>
        <v/>
      </c>
      <c r="H112" s="4" t="str">
        <v>CornerStone</v>
      </c>
      <c r="I112" s="4" t="str">
        <v>Tomko</v>
      </c>
      <c r="J112" s="4" t="str">
        <v>VMG</v>
      </c>
    </row>
    <row r="113" ht="14.25" customHeight="1">
      <c r="A113" t="str">
        <v>MK</v>
      </c>
      <c r="B113" s="13">
        <v>220000</v>
      </c>
      <c r="C113" t="str">
        <f>Plumb!$B$4</f>
        <v>22 - PLUMBING</v>
      </c>
      <c r="D113" s="4">
        <v>1140105</v>
      </c>
      <c r="E113" s="4">
        <f>H113</f>
        <v>983280</v>
      </c>
      <c r="F113" s="4">
        <f>E113-D113</f>
        <v>-156825</v>
      </c>
      <c r="G113" s="3">
        <f>E113/$I$1</f>
        <v>49.164</v>
      </c>
      <c r="H113" s="4">
        <f>964000*1.02</f>
        <v>983280</v>
      </c>
      <c r="I113" s="4">
        <f>850000*1.02</f>
        <v>867000</v>
      </c>
      <c r="J113" s="4">
        <f>755630*1.02</f>
        <v>770742.6</v>
      </c>
      <c r="P113" s="4">
        <f>IFERROR(Q112*E113,0)</f>
        <v>0</v>
      </c>
      <c r="Y113" t="str">
        <f>Plumb!$B$18</f>
        <v>Section 2 - Bid Breakdown</v>
      </c>
    </row>
    <row r="114" ht="14.25" customHeight="1">
      <c r="B114" s="13" t="str">
        <f>IF(ISBLANK(B115),"# NEED CSI #",IF(IFNA(MATCH(B115,'MCN Summary'!$A$9:$A$49,0),0)=0,"# WRONG CSI #",""))</f>
        <v/>
      </c>
      <c r="H114" s="4" t="str">
        <v>CornerStone</v>
      </c>
      <c r="I114" s="4" t="str">
        <v>Tomko</v>
      </c>
      <c r="J114" s="4" t="str">
        <v>VMG</v>
      </c>
    </row>
    <row r="115" ht="14.25" customHeight="1">
      <c r="A115" t="str">
        <v>MK</v>
      </c>
      <c r="B115" s="13">
        <v>230000</v>
      </c>
      <c r="C115" t="str">
        <f>HVAC!$B$4</f>
        <v>23 - HVAC</v>
      </c>
      <c r="D115" s="4">
        <v>3679675.5</v>
      </c>
      <c r="E115" s="4">
        <f>H115</f>
        <v>1857313.92</v>
      </c>
      <c r="F115" s="4">
        <f>E115-D115</f>
        <v>-1822361.58</v>
      </c>
      <c r="G115" s="3">
        <f>E115/$I$1</f>
        <v>92.865696</v>
      </c>
      <c r="H115" s="4">
        <f>(1798000+22896)*1.02</f>
        <v>1857313.92</v>
      </c>
      <c r="I115" s="4">
        <f>(3310500-850000)*1.02</f>
        <v>2509710</v>
      </c>
      <c r="J115" s="4">
        <f>2016900*1.02</f>
        <v>2057238</v>
      </c>
      <c r="P115" s="4">
        <f>IFERROR(Q114*E115,0)</f>
        <v>0</v>
      </c>
      <c r="Y115" t="str">
        <f>HVAC!$B$18</f>
        <v>Section 2 - Bid Breakdown</v>
      </c>
    </row>
    <row r="116" ht="14.25" customHeight="1">
      <c r="B116" s="13" t="str">
        <f>IF(ISBLANK(B117),"# NEED CSI #",IF(IFNA(MATCH(B117,'MCN Summary'!$A$9:$A$49,0),0)=0,"# WRONG CSI #",""))</f>
        <v/>
      </c>
      <c r="H116" s="4" t="str">
        <f>Elect!AI3</f>
        <v>Mona</v>
      </c>
      <c r="I116" s="4" t="str">
        <f>Elect!AI4</f>
        <v>Robinson</v>
      </c>
      <c r="J116" s="4" t="str">
        <f>Elect!AI5</f>
        <v>Freestate</v>
      </c>
    </row>
    <row r="117" ht="14.25" customHeight="1">
      <c r="A117" t="str">
        <v>WS</v>
      </c>
      <c r="B117" s="13">
        <v>260000</v>
      </c>
      <c r="C117" t="str">
        <f>Elect!$B$4</f>
        <v>26 - ELECTRICAL</v>
      </c>
      <c r="D117" s="4">
        <v>3214618.74</v>
      </c>
      <c r="E117" s="4">
        <f>I117</f>
        <v>2827110.132</v>
      </c>
      <c r="F117" s="4">
        <f>E117-D117</f>
        <v>-387508.608</v>
      </c>
      <c r="G117" s="3">
        <f>E117/$I$1</f>
        <v>141.3555066</v>
      </c>
      <c r="H117" s="4">
        <f>Elect!AM3</f>
        <v>2790118.2</v>
      </c>
      <c r="I117" s="4">
        <f>Elect!AM4</f>
        <v>2827110.132</v>
      </c>
      <c r="J117" s="4">
        <f>Elect!AM5</f>
        <v>2983500</v>
      </c>
      <c r="P117" s="4">
        <f>IFERROR(Q116*E117,0)</f>
        <v>0</v>
      </c>
      <c r="Y117" t="str">
        <f>Elect!$B$18</f>
        <v>Section 2 - Bid Breakdown</v>
      </c>
    </row>
    <row r="118" ht="14.25" customHeight="1">
      <c r="B118" s="13" t="str">
        <f>IF(ISBLANK(B119),"# NEED CSI #",IF(IFNA(MATCH(B119,'MCN Summary'!$A$9:$A$49,0),0)=0,"# WRONG CSI #",""))</f>
        <v/>
      </c>
      <c r="H118" s="4" t="str">
        <f>LV!AI3</f>
        <v>Genesys</v>
      </c>
      <c r="I118" s="4" t="str">
        <f>LV!AI4</f>
        <v>Robinsons</v>
      </c>
    </row>
    <row r="119" ht="14.25" customHeight="1">
      <c r="A119" t="str">
        <v>WS</v>
      </c>
      <c r="B119" s="13">
        <v>270000</v>
      </c>
      <c r="C119" t="str">
        <f>LV!$B$4</f>
        <v>27 - LOW VOLTAGE</v>
      </c>
      <c r="D119" s="4">
        <v>420051.3</v>
      </c>
      <c r="E119" s="4">
        <f>H119</f>
        <v>428816.16</v>
      </c>
      <c r="F119" s="4">
        <f>E119-D119</f>
        <v>8764.86</v>
      </c>
      <c r="G119" s="3">
        <f>E119/$I$1</f>
        <v>21.440808</v>
      </c>
      <c r="H119" s="4">
        <f>LV!AM3</f>
        <v>428816.16</v>
      </c>
      <c r="I119" s="4">
        <f>LV!AM4</f>
        <v>484923.3</v>
      </c>
      <c r="P119" s="4">
        <f>IFERROR(Q118*E119,0)</f>
        <v>0</v>
      </c>
      <c r="Y119" t="str">
        <f>LV!$B$18</f>
        <v>Section 2 - Bid Breakdown</v>
      </c>
    </row>
    <row r="120" hidden="1" ht="14.25" customHeight="1">
      <c r="B120" s="13" t="str">
        <f>IF(ISBLANK(B121),"# NEED CSI #",IF(IFNA(MATCH(B121,'MCN Summary'!$A$9:$A$49,0),0)=0,"# WRONG CSI #",""))</f>
        <v/>
      </c>
    </row>
    <row r="121" hidden="1" ht="14.25" customHeight="1">
      <c r="B121" s="13">
        <v>310000</v>
      </c>
      <c r="C121" t="str">
        <f>SOE!$B$4</f>
        <v>31 - SUPPORT OF EXCAVATION</v>
      </c>
      <c r="E121" s="4">
        <v>0</v>
      </c>
      <c r="F121" s="4">
        <f>E121-D121</f>
        <v>0</v>
      </c>
      <c r="G121" s="3">
        <f>E121/$I$1</f>
        <v>0</v>
      </c>
      <c r="P121" s="4">
        <f>IFERROR(Q120*E121,0)</f>
        <v>0</v>
      </c>
      <c r="Y121" t="str">
        <f>SOE!$B$18</f>
        <v>Section 2 - Bid Breakdown</v>
      </c>
    </row>
    <row r="122" ht="14.25" customHeight="1">
      <c r="B122" s="13" t="str">
        <f>IF(ISBLANK(B123),"# NEED CSI #",IF(IFNA(MATCH(B123,'MCN Summary'!$A$9:$A$49,0),0)=0,"# WRONG CSI #",""))</f>
        <v/>
      </c>
      <c r="H122" s="4" t="str">
        <v>Hadcon</v>
      </c>
      <c r="I122" s="4" t="str">
        <v>GS</v>
      </c>
    </row>
    <row r="123" ht="14.25" customHeight="1">
      <c r="A123" t="str">
        <v>MK</v>
      </c>
      <c r="B123" s="13">
        <v>310000</v>
      </c>
      <c r="C123" t="str">
        <f>EARTH!$B$4</f>
        <v>31 - EARTHWORK &amp; SITE DEMO&amp;E,S</v>
      </c>
      <c r="D123" s="4">
        <v>1005720</v>
      </c>
      <c r="E123" s="4">
        <f>H123</f>
        <v>640382.52</v>
      </c>
      <c r="F123" s="4">
        <f>E123-D123</f>
        <v>-365337.48</v>
      </c>
      <c r="G123" s="3">
        <f>E123/$I$1</f>
        <v>32.019126</v>
      </c>
      <c r="H123" s="4">
        <f>(20000+87201+176000+258000+86625)*1.02</f>
        <v>640382.52</v>
      </c>
      <c r="I123" s="4">
        <f>659000*1.02</f>
        <v>672180</v>
      </c>
      <c r="P123" s="4">
        <f>IFERROR(Q122*E123,0)</f>
        <v>0</v>
      </c>
      <c r="Y123" t="str">
        <f>EARTH!$B$18</f>
        <v>Section 2 - Bid Breakdown</v>
      </c>
    </row>
    <row r="124" hidden="1" ht="14.25" customHeight="1">
      <c r="B124" s="13" t="str">
        <f>IF(ISBLANK(B125),"# NEED CSI #",IF(IFNA(MATCH(B125,'MCN Summary'!$A$9:$A$49,0),0)=0,"# WRONG CSI #",""))</f>
        <v/>
      </c>
    </row>
    <row r="125" hidden="1" ht="14.25" customHeight="1">
      <c r="B125" s="13">
        <v>310000</v>
      </c>
      <c r="C125" t="str">
        <f>DeepFnd!$B$4</f>
        <v>31 - DEEP FOUNDATIONS</v>
      </c>
      <c r="E125" s="4">
        <v>0</v>
      </c>
      <c r="F125" s="4">
        <f>E125-D125</f>
        <v>0</v>
      </c>
      <c r="G125" s="3">
        <f>E125/$I$1</f>
        <v>0</v>
      </c>
      <c r="P125" s="4">
        <f>IFERROR(Q124*E125,0)</f>
        <v>0</v>
      </c>
      <c r="Y125" t="str">
        <f>DeepFnd!$B$18</f>
        <v>Section 2 - Bid Breakdown</v>
      </c>
    </row>
    <row r="126" hidden="1" ht="14.25" customHeight="1">
      <c r="B126" s="13" t="str">
        <f>IF(ISBLANK(B127),"# NEED CSI #",IF(IFNA(MATCH(B127,'MCN Summary'!$A$9:$A$49,0),0)=0,"# WRONG CSI #",""))</f>
        <v/>
      </c>
    </row>
    <row r="127" hidden="1" ht="14.25" customHeight="1">
      <c r="B127" s="13">
        <v>310000</v>
      </c>
      <c r="C127" t="str">
        <f>DeWater!$B$4</f>
        <v>31 - DEWATERING</v>
      </c>
      <c r="E127" s="4">
        <v>0</v>
      </c>
      <c r="F127" s="4">
        <f>E127-D127</f>
        <v>0</v>
      </c>
      <c r="G127" s="3">
        <f>E127/$I$1</f>
        <v>0</v>
      </c>
      <c r="P127" s="4">
        <f>IFERROR(Q126*E127,0)</f>
        <v>0</v>
      </c>
      <c r="Y127" t="str">
        <f>DeWater!$B$18</f>
        <v>Section 2 - Bid Breakdown</v>
      </c>
    </row>
    <row r="128" ht="14.25" customHeight="1">
      <c r="B128" s="13" t="str">
        <f>IF(ISBLANK(B129),"# NEED CSI #",IF(IFNA(MATCH(B129,'MCN Summary'!$A$9:$A$49,0),0)=0,"# WRONG CSI #",""))</f>
        <v/>
      </c>
      <c r="D128" s="4" t="str">
        <v>w/landscaping</v>
      </c>
      <c r="H128" s="4" t="str">
        <f>Ashalt!AI3</f>
        <v>Metro Paving</v>
      </c>
      <c r="I128" s="4" t="str">
        <f>Ashalt!AI4</f>
        <v>Ruston</v>
      </c>
    </row>
    <row r="129" ht="14.25" customHeight="1">
      <c r="A129" t="str">
        <v>SK</v>
      </c>
      <c r="B129" s="13">
        <v>320000</v>
      </c>
      <c r="C129" t="str">
        <f>Ashalt!$B$4</f>
        <v>32 - ASPHALT</v>
      </c>
      <c r="E129" s="4">
        <f>I129</f>
        <v>353866.05</v>
      </c>
      <c r="F129" s="4">
        <f>E129-D129</f>
        <v>353866.05</v>
      </c>
      <c r="G129" s="3">
        <f>E129/$I$1</f>
        <v>17.6933025</v>
      </c>
      <c r="H129" s="4">
        <f>Ashalt!AM3</f>
        <v>345540.3</v>
      </c>
      <c r="I129" s="4">
        <f>Ashalt!AM4</f>
        <v>353866.05</v>
      </c>
      <c r="P129" s="4">
        <f>IFERROR(Q128*E129,0)</f>
        <v>0</v>
      </c>
      <c r="Y129" t="str">
        <f>Ashalt!$B$18</f>
        <v>Section 2 - Bid Breakdown</v>
      </c>
    </row>
    <row r="130" hidden="1" ht="14.25" customHeight="1">
      <c r="B130" s="13" t="str">
        <f>IF(ISBLANK(B131),"# NEED CSI #",IF(IFNA(MATCH(B131,'MCN Summary'!$A$9:$A$49,0),0)=0,"# WRONG CSI #",""))</f>
        <v/>
      </c>
    </row>
    <row r="131" hidden="1" ht="14.25" customHeight="1">
      <c r="B131" s="13">
        <v>320000</v>
      </c>
      <c r="C131" t="str">
        <f>SegWall!$B$4</f>
        <v>32 - SEGMENTAL WALLS</v>
      </c>
      <c r="E131" s="4">
        <v>0</v>
      </c>
      <c r="F131" s="4">
        <f>E131-D131</f>
        <v>0</v>
      </c>
      <c r="G131" s="3">
        <f>E131/$I$1</f>
        <v>0</v>
      </c>
      <c r="P131" s="4">
        <f>IFERROR(Q130*E131,0)</f>
        <v>0</v>
      </c>
      <c r="Y131" t="str">
        <f>SegWall!$B$18</f>
        <v>Section 2 - Bid Breakdown</v>
      </c>
    </row>
    <row r="132" ht="14.25" customHeight="1">
      <c r="B132" s="13" t="str">
        <f>IF(ISBLANK(B133),"# NEED CSI #",IF(IFNA(MATCH(B133,'MCN Summary'!$A$9:$A$49,0),0)=0,"# WRONG CSI #",""))</f>
        <v/>
      </c>
      <c r="D132" s="4" t="str">
        <v>w/landscaping</v>
      </c>
      <c r="H132" s="4" t="str">
        <f>SiteConc!AI3</f>
        <v>Alcoa</v>
      </c>
      <c r="I132" s="4" t="str">
        <f>SiteConc!AI4</f>
        <v>AMA Construciton</v>
      </c>
    </row>
    <row r="133" ht="14.25" customHeight="1">
      <c r="A133" t="str">
        <v>SK</v>
      </c>
      <c r="B133" s="13">
        <v>320000</v>
      </c>
      <c r="C133" t="str">
        <f>SiteConc!$B$4</f>
        <v>32 - SITE CONCRETE</v>
      </c>
      <c r="E133" s="4">
        <f>I133</f>
        <v>305592</v>
      </c>
      <c r="F133" s="4">
        <f>E133-D133</f>
        <v>305592</v>
      </c>
      <c r="G133" s="3">
        <f>E133/$I$1</f>
        <v>15.2796</v>
      </c>
      <c r="H133" s="4">
        <f>SiteConc!AM3</f>
        <v>221911.965</v>
      </c>
      <c r="I133" s="4">
        <f>SiteConc!AM4</f>
        <v>305592</v>
      </c>
      <c r="P133" s="4">
        <f>IFERROR(Q132*E133,0)</f>
        <v>0</v>
      </c>
      <c r="Y133" t="str">
        <f>SiteConc!$B$18</f>
        <v>Section 2 - Bid Breakdown</v>
      </c>
    </row>
    <row r="134" hidden="1" ht="14.25" customHeight="1">
      <c r="B134" s="13" t="str">
        <f>IF(ISBLANK(B135),"# NEED CSI #",IF(IFNA(MATCH(B135,'MCN Summary'!$A$9:$A$49,0),0)=0,"# WRONG CSI #",""))</f>
        <v/>
      </c>
    </row>
    <row r="135" hidden="1" ht="14.25" customHeight="1">
      <c r="B135" s="13">
        <v>320000</v>
      </c>
      <c r="C135" t="str">
        <f>Pavers!$B$4</f>
        <v>32 - PAVERS</v>
      </c>
      <c r="E135" s="4">
        <v>0</v>
      </c>
      <c r="F135" s="4">
        <f>E135-D135</f>
        <v>0</v>
      </c>
      <c r="G135" s="3">
        <f>E135/$I$1</f>
        <v>0</v>
      </c>
      <c r="P135" s="4">
        <f>IFERROR(Q134*E135,0)</f>
        <v>0</v>
      </c>
      <c r="Y135" t="str">
        <f>Pavers!$B$18</f>
        <v>Section 2 - Bid Breakdown</v>
      </c>
    </row>
    <row r="136" ht="14.25" customHeight="1">
      <c r="B136" s="13" t="str">
        <f>IF(ISBLANK(B137),"# NEED CSI #",IF(IFNA(MATCH(B137,'MCN Summary'!$A$9:$A$49,0),0)=0,"# WRONG CSI #",""))</f>
        <v/>
      </c>
      <c r="D136" s="4" t="str">
        <v>w/landscaping</v>
      </c>
      <c r="H136" s="4" t="str">
        <f>Fence!AI3</f>
        <v>Long Fence</v>
      </c>
    </row>
    <row r="137" ht="14.25" customHeight="1">
      <c r="A137" t="str">
        <v>SK</v>
      </c>
      <c r="B137" s="13">
        <v>320000</v>
      </c>
      <c r="C137" t="str">
        <f>Fence!$B$4</f>
        <v>32 - SITE FENCING</v>
      </c>
      <c r="E137" s="4">
        <f>H137</f>
        <v>103858.44</v>
      </c>
      <c r="F137" s="4">
        <f>E137-D137</f>
        <v>103858.44</v>
      </c>
      <c r="G137" s="3">
        <f>E137/$I$1</f>
        <v>5.192922</v>
      </c>
      <c r="H137" s="4">
        <f>Fence!AM3</f>
        <v>103858.44</v>
      </c>
      <c r="P137" s="4">
        <f>IFERROR(Q136*E137,0)</f>
        <v>0</v>
      </c>
      <c r="Y137" t="str">
        <f>Fence!$B$18</f>
        <v>Section 2 - Bid Breakdown</v>
      </c>
    </row>
    <row r="138" hidden="1" ht="14.25" customHeight="1">
      <c r="B138" s="13" t="str">
        <f>IF(ISBLANK(B139),"# NEED CSI #",IF(IFNA(MATCH(B139,'MCN Summary'!$A$9:$A$49,0),0)=0,"# WRONG CSI #",""))</f>
        <v/>
      </c>
    </row>
    <row r="139" hidden="1" ht="14.25" customHeight="1">
      <c r="B139" s="13">
        <v>320000</v>
      </c>
      <c r="C139" t="str">
        <f>SiteFurn!$B$4</f>
        <v>32 - SITE FURNISHINGS</v>
      </c>
      <c r="E139" s="4">
        <v>0</v>
      </c>
      <c r="F139" s="4">
        <f>E139-D139</f>
        <v>0</v>
      </c>
      <c r="G139" s="3">
        <f>E139/$I$1</f>
        <v>0</v>
      </c>
      <c r="P139" s="4">
        <f>IFERROR(Q138*E139,0)</f>
        <v>0</v>
      </c>
      <c r="Y139" t="str">
        <f>SiteFurn!$B$18</f>
        <v>Section 2 - Bid Breakdown</v>
      </c>
    </row>
    <row r="140" ht="14.25" customHeight="1">
      <c r="B140" s="13" t="str">
        <f>IF(ISBLANK(B141),"# NEED CSI #",IF(IFNA(MATCH(B141,'MCN Summary'!$A$9:$A$49,0),0)=0,"# WRONG CSI #",""))</f>
        <v/>
      </c>
      <c r="H140" s="4" t="str">
        <f>Lscape!AI3</f>
        <v>BeechField</v>
      </c>
      <c r="I140" s="4" t="str">
        <f>Lscape!AI4</f>
        <v>Complete</v>
      </c>
    </row>
    <row r="141" ht="14.25" customHeight="1">
      <c r="A141" t="str">
        <v>SK</v>
      </c>
      <c r="B141" s="13">
        <v>320000</v>
      </c>
      <c r="C141" t="str">
        <f>Lscape!$B$4</f>
        <v>32 - LANDSCAPING &amp; SITE FURN</v>
      </c>
      <c r="D141" s="4">
        <v>2168044.68</v>
      </c>
      <c r="E141" s="4">
        <f>I141</f>
        <v>284381.5488</v>
      </c>
      <c r="F141" s="4">
        <f>E141-D141</f>
        <v>-1883663.131</v>
      </c>
      <c r="G141" s="3">
        <f>E141/$I$1</f>
        <v>14.21907744</v>
      </c>
      <c r="H141" s="4">
        <f>Lscape!AM3</f>
        <v>261977.412</v>
      </c>
      <c r="I141" s="4">
        <f>Lscape!AM4</f>
        <v>284381.5488</v>
      </c>
      <c r="P141" s="4">
        <f>IFERROR(Q140*E141,0)</f>
        <v>0</v>
      </c>
      <c r="Y141" t="str">
        <f>Lscape!$B$18</f>
        <v>Section 2 - Bid Breakdown</v>
      </c>
    </row>
    <row r="142" ht="14.25" customHeight="1">
      <c r="B142" s="13" t="str">
        <f>IF(ISBLANK(B143),"# NEED CSI #",IF(IFNA(MATCH(B143,'MCN Summary'!$A$9:$A$49,0),0)=0,"# WRONG CSI #",""))</f>
        <v/>
      </c>
      <c r="H142" s="4" t="str">
        <v>Hadcon</v>
      </c>
      <c r="I142" s="4" t="str">
        <v>Magnolia</v>
      </c>
      <c r="J142" s="4" t="str">
        <v>Oakridge</v>
      </c>
    </row>
    <row r="143" ht="14.25" customHeight="1">
      <c r="A143" t="str">
        <v>MK</v>
      </c>
      <c r="B143" s="13">
        <v>330000</v>
      </c>
      <c r="C143" t="str">
        <f>WetUtil!$B$4</f>
        <v>33 - WET UTILITIES</v>
      </c>
      <c r="D143" s="4">
        <v>1419136.2</v>
      </c>
      <c r="E143" s="4">
        <f>H143</f>
        <v>1037865.565</v>
      </c>
      <c r="F143" s="4">
        <f>E143-D143</f>
        <v>-381270.6348</v>
      </c>
      <c r="G143" s="3">
        <f>E143/$I$1</f>
        <v>51.89327826</v>
      </c>
      <c r="H143" s="4">
        <f>1017515.26*1.02</f>
        <v>1037865.565</v>
      </c>
      <c r="I143" s="4">
        <f>968600*1.02</f>
        <v>987972</v>
      </c>
      <c r="J143" s="4">
        <f>1312501.58*1.02</f>
        <v>1338751.612</v>
      </c>
      <c r="P143" s="4">
        <f>IFERROR(Q142*E143,0)</f>
        <v>0</v>
      </c>
      <c r="Y143" t="str">
        <f>WetUtil!$B$18</f>
        <v>Section 2 - Bid Breakdown</v>
      </c>
    </row>
    <row r="144" ht="14.25" customHeight="1">
      <c r="B144" s="13" t="str">
        <f>IF(ISBLANK(B145),"# NEED CSI #",IF(IFNA(MATCH(B145,'MCN Summary'!$A$9:$A$49,0),0)=0,"# WRONG CSI #",""))</f>
        <v/>
      </c>
      <c r="D144" s="4" t="str">
        <v>w/wet utillities</v>
      </c>
      <c r="E144" s="4" t="str">
        <v>w/electrical</v>
      </c>
      <c r="H144" s="4" t="str">
        <v>Dry utilties system</v>
      </c>
    </row>
    <row r="145" ht="14.25" customHeight="1">
      <c r="A145" t="str">
        <v>MK</v>
      </c>
      <c r="B145" s="13">
        <v>330000</v>
      </c>
      <c r="C145" t="str">
        <f>DryUtil!$B$4</f>
        <v>33 - DRY UTILITIES</v>
      </c>
      <c r="E145" s="4">
        <v>0</v>
      </c>
      <c r="F145" s="4">
        <f>E145-D145</f>
        <v>0</v>
      </c>
      <c r="G145" s="3">
        <f>E145/$I$1</f>
        <v>0</v>
      </c>
      <c r="H145" s="4" t="str">
        <v>waiting for their number</v>
      </c>
      <c r="P145" s="4">
        <f>IFERROR(Q144*E145,0)</f>
        <v>0</v>
      </c>
      <c r="Y145" t="str">
        <f>DryUtil!$B$18</f>
        <v>Section 2 - Bid Breakdown</v>
      </c>
    </row>
    <row r="146" ht="14.25" customHeight="1">
      <c r="B146" s="13" t="str">
        <f>IF(ISBLANK(B147),"# NEED CSI #",IF(IFNA(MATCH(B147,'MCN Summary'!$A$9:$A$49,0),0)=0,"# WRONG CSI #",""))</f>
        <v/>
      </c>
      <c r="D146" s="4" t="str">
        <v>w/HVAC</v>
      </c>
      <c r="H146" s="4" t="str">
        <v>Allied</v>
      </c>
      <c r="I146" s="4" t="str">
        <v>Brightcore</v>
      </c>
    </row>
    <row r="147" ht="14.25" customHeight="1">
      <c r="A147" t="str">
        <v>MK</v>
      </c>
      <c r="B147" s="13">
        <v>330000</v>
      </c>
      <c r="C147" t="str">
        <f>Geotherm!$B$4</f>
        <v>33 - GEOTHERMAL</v>
      </c>
      <c r="E147" s="4">
        <f>H147</f>
        <v>795345</v>
      </c>
      <c r="F147" s="4">
        <f>E147-D147</f>
        <v>795345</v>
      </c>
      <c r="G147" s="3">
        <f>E147/$I$1</f>
        <v>39.76725</v>
      </c>
      <c r="H147" s="4">
        <f>779750*1.02</f>
        <v>795345</v>
      </c>
      <c r="I147" s="4">
        <f>25000*35*1.02</f>
        <v>892500</v>
      </c>
      <c r="P147" s="4">
        <f>IFERROR(Q146*E147,0)</f>
        <v>0</v>
      </c>
      <c r="Y147" t="str">
        <f>Geotherm!$B$18</f>
        <v>Section 2 - Bid Breakdown</v>
      </c>
    </row>
    <row r="148" hidden="1" ht="14.25" customHeight="1">
      <c r="B148" s="13" t="str">
        <f>IF(ISBLANK(B149),"# NEED CSI #",IF(IFNA(MATCH(B149,'MCN Summary'!$A$9:$A$49,0),0)=0,"# WRONG CSI #",""))</f>
        <v># NEED CSI #</v>
      </c>
    </row>
    <row r="149" hidden="1" ht="14.25" customHeight="1">
      <c r="C149" t="str">
        <f>SOWTemplate!$B$4</f>
        <v>TEMPLATE</v>
      </c>
      <c r="E149" s="4">
        <v>0</v>
      </c>
      <c r="F149" s="4">
        <f>E149-D149</f>
        <v>0</v>
      </c>
      <c r="G149" s="3">
        <f>E149/$I$1</f>
        <v>0</v>
      </c>
      <c r="P149" s="4">
        <f>IFERROR(Q148*E149,0)</f>
        <v>0</v>
      </c>
    </row>
    <row r="150" hidden="1" ht="6" customHeight="1"/>
    <row r="151" ht="14.25" customHeight="1"/>
    <row r="152" ht="14.25" customHeight="1">
      <c r="A152" t="str">
        <v>TRADE SUBTOTAL</v>
      </c>
      <c r="D152" s="3">
        <f>SUM($D$7:$D$151)</f>
        <v>27337425.42</v>
      </c>
      <c r="E152" s="3">
        <f>SUM($E$7:$E$151)</f>
        <v>20936943.13</v>
      </c>
      <c r="F152" s="4">
        <f>E152-D152</f>
        <v>-6400482.292</v>
      </c>
      <c r="G152" s="3">
        <f>E152/$I$1</f>
        <v>1046.847156</v>
      </c>
      <c r="P152" s="3">
        <f>SUM($P$7:$P$151)</f>
        <v>0</v>
      </c>
    </row>
    <row r="153" ht="14.25" customHeight="1">
      <c r="C153" t="str">
        <v>PERSONNEL GENERAL CONDITIONS</v>
      </c>
      <c r="D153" s="3">
        <v>1270000</v>
      </c>
      <c r="E153" s="3">
        <f>D153</f>
        <v>1270000</v>
      </c>
      <c r="F153" s="3">
        <f>E153-D153</f>
        <v>0</v>
      </c>
      <c r="G153" s="3">
        <f>E153/$I$1</f>
        <v>63.5</v>
      </c>
    </row>
    <row r="154" ht="14.25" customHeight="1">
      <c r="C154" t="str">
        <v>GENERAL CONDITIONS-NON PERSONNEL</v>
      </c>
      <c r="D154" s="3">
        <v>0</v>
      </c>
      <c r="E154" s="3">
        <v>0</v>
      </c>
      <c r="F154" s="3">
        <f>E154-D154</f>
        <v>0</v>
      </c>
      <c r="G154" s="3">
        <f>E154/$I$1</f>
        <v>0</v>
      </c>
    </row>
    <row r="155" ht="14.25" customHeight="1">
      <c r="C155" t="str">
        <v>PRECONSTRUCTION FEE (15% Base Design Build Fee)</v>
      </c>
      <c r="D155" s="3">
        <v>100000</v>
      </c>
      <c r="E155" s="3">
        <f>D155</f>
        <v>100000</v>
      </c>
      <c r="F155" s="3">
        <f>E155-D155</f>
        <v>0</v>
      </c>
      <c r="G155" s="3">
        <f>E155/$I$1</f>
        <v>5</v>
      </c>
    </row>
    <row r="156" ht="14.25" customHeight="1">
      <c r="C156" t="str">
        <v>DESIGN FEE (BY OWNER)</v>
      </c>
      <c r="D156" s="3">
        <v>0</v>
      </c>
      <c r="E156" s="3">
        <v>0</v>
      </c>
      <c r="F156" s="3">
        <f>E156-D156</f>
        <v>0</v>
      </c>
      <c r="G156" s="3">
        <f>E156/$I$1</f>
        <v>0</v>
      </c>
    </row>
    <row r="157" ht="14.25" customHeight="1">
      <c r="C157" t="str">
        <v>PERMITS (BY OWNER)</v>
      </c>
      <c r="D157" s="3">
        <v>0</v>
      </c>
      <c r="E157" s="3">
        <v>0</v>
      </c>
      <c r="F157" s="3">
        <f>E157-D157</f>
        <v>0</v>
      </c>
      <c r="G157" s="3">
        <f>E157/$I$1</f>
        <v>0</v>
      </c>
    </row>
    <row r="158" ht="14.25" customHeight="1">
      <c r="C158" t="str">
        <v>PUBLIC ART - Owner Allowance</v>
      </c>
      <c r="D158" s="3">
        <v>100000</v>
      </c>
      <c r="E158" s="3">
        <f>D158</f>
        <v>100000</v>
      </c>
      <c r="F158" s="3">
        <f>E158-D158</f>
        <v>0</v>
      </c>
      <c r="G158" s="3">
        <f>E158/$I$1</f>
        <v>5</v>
      </c>
    </row>
    <row r="159" ht="14.25" customHeight="1">
      <c r="C159" t="str">
        <v>UTILITIES CONSUMPTION (BY OWNER)</v>
      </c>
      <c r="D159" s="3">
        <v>0</v>
      </c>
      <c r="E159" s="3">
        <v>0</v>
      </c>
      <c r="F159" s="3">
        <f>E159-D159</f>
        <v>0</v>
      </c>
      <c r="G159" s="3">
        <f>E159/$I$1</f>
        <v>0</v>
      </c>
    </row>
    <row r="160" ht="14.25" customHeight="1">
      <c r="C160" t="str">
        <v>PUBLIC SPACE IMPROVEMENTS (BY OWNER)</v>
      </c>
      <c r="D160" s="3">
        <v>0</v>
      </c>
      <c r="E160" s="3">
        <v>0</v>
      </c>
      <c r="F160" s="3">
        <f>E160-D160</f>
        <v>0</v>
      </c>
      <c r="G160" s="3">
        <f>E160/$I$1</f>
        <v>0</v>
      </c>
    </row>
    <row r="161" ht="14.25" customHeight="1">
      <c r="B161" s="10">
        <v>0.05</v>
      </c>
      <c r="C161" t="str">
        <v xml:space="preserve">OWNER DIRECTED CONSTRUCTION CONTINGENCY </v>
      </c>
      <c r="D161" s="3">
        <v>1440371.247</v>
      </c>
      <c r="E161" s="3">
        <f>B161*SUM(E152:E160)</f>
        <v>1120347.156</v>
      </c>
      <c r="F161" s="3">
        <f>E161-D161</f>
        <v>-320024.0906</v>
      </c>
      <c r="G161" s="3">
        <f>E161/$I$1</f>
        <v>56.01735782</v>
      </c>
    </row>
    <row r="162" ht="14.25" customHeight="1">
      <c r="C162" t="str">
        <v>CONTAMINATED SOIL (BY OWNER)</v>
      </c>
      <c r="D162" s="3">
        <v>0</v>
      </c>
      <c r="E162" s="3">
        <v>0</v>
      </c>
      <c r="F162" s="3">
        <f>E162-D162</f>
        <v>0</v>
      </c>
      <c r="G162" s="3">
        <f>E162/$I$1</f>
        <v>0</v>
      </c>
    </row>
    <row r="163" ht="14.25" customHeight="1">
      <c r="C163" t="str">
        <v>TESTING AND INSPECTIONS (BY OWNER)</v>
      </c>
      <c r="D163" s="3">
        <v>0</v>
      </c>
      <c r="E163" s="3">
        <v>0</v>
      </c>
      <c r="F163" s="3">
        <f>E163-D163</f>
        <v>0</v>
      </c>
      <c r="G163" s="3">
        <f>E163/$I$1</f>
        <v>0</v>
      </c>
    </row>
    <row r="164" ht="14.25" customHeight="1">
      <c r="B164" s="10">
        <v>0.02</v>
      </c>
      <c r="C164" t="str">
        <v xml:space="preserve">INSURANCE BURDEN </v>
      </c>
      <c r="D164" s="3">
        <v>604955.9237400001</v>
      </c>
      <c r="E164" s="3">
        <f>B164*SUM(E152:E163)</f>
        <v>470545.8057</v>
      </c>
      <c r="F164" s="3">
        <f>E164-D164</f>
        <v>-134410.1181</v>
      </c>
      <c r="G164" s="3">
        <f>E164/$I$1</f>
        <v>23.52729028</v>
      </c>
    </row>
    <row r="165" ht="14.25" customHeight="1">
      <c r="B165" s="10">
        <v>0</v>
      </c>
      <c r="C165" t="str">
        <v>BUILDERS RISK INSURANCE</v>
      </c>
      <c r="D165" s="3">
        <v>0</v>
      </c>
      <c r="E165" s="3">
        <f>B165*SUM(E152:E164)</f>
        <v>0</v>
      </c>
      <c r="F165" s="3">
        <f>E165-D165</f>
        <v>0</v>
      </c>
      <c r="G165" s="3">
        <f>E165/$I$1</f>
        <v>0</v>
      </c>
    </row>
    <row r="166" ht="14.25" customHeight="1">
      <c r="B166" s="10">
        <v>0</v>
      </c>
      <c r="C166" t="str">
        <v>DESIGN CONTINGENCY</v>
      </c>
      <c r="D166" s="3">
        <v>0</v>
      </c>
      <c r="E166" s="3">
        <f>B166*SUM(E152:E165)</f>
        <v>0</v>
      </c>
      <c r="F166" s="3">
        <f>E166-D166</f>
        <v>0</v>
      </c>
      <c r="G166" s="3">
        <f>E166/$I$1</f>
        <v>0</v>
      </c>
    </row>
    <row r="167" ht="14.25" customHeight="1">
      <c r="B167" s="10">
        <v>0.04</v>
      </c>
      <c r="C167" t="str">
        <v xml:space="preserve">CONSTRUCTION CONTINGENCY </v>
      </c>
      <c r="D167" s="3">
        <v>1234110.0844296</v>
      </c>
      <c r="E167" s="3">
        <f>B167*SUM(E152:E166)</f>
        <v>959913.4436</v>
      </c>
      <c r="F167" s="3">
        <f>E167-D167</f>
        <v>-274196.6408</v>
      </c>
      <c r="G167" s="3">
        <f>E167/$I$1</f>
        <v>47.99567218</v>
      </c>
    </row>
    <row r="168" ht="14.25" customHeight="1">
      <c r="B168" s="10">
        <v>0</v>
      </c>
      <c r="C168" t="str">
        <v>ESCALATION</v>
      </c>
      <c r="D168" s="3">
        <v>0</v>
      </c>
      <c r="E168" s="3">
        <f>B168*SUM(E152:E167)</f>
        <v>0</v>
      </c>
      <c r="F168" s="3">
        <f>E168-D168</f>
        <v>0</v>
      </c>
      <c r="G168" s="3">
        <f>E168/$I$1</f>
        <v>0</v>
      </c>
    </row>
    <row r="169" ht="14.25" customHeight="1">
      <c r="B169" s="10">
        <v>0.013</v>
      </c>
      <c r="C169" t="str">
        <v xml:space="preserve">PERFORMANCE &amp; PAYMENT BOND </v>
      </c>
      <c r="D169" s="3">
        <v>417129.2085372049</v>
      </c>
      <c r="E169" s="3">
        <f>B169*SUM(E152:E168)</f>
        <v>324450.7439</v>
      </c>
      <c r="F169" s="3">
        <f>E169-D169</f>
        <v>-92678.4646</v>
      </c>
      <c r="G169" s="3">
        <f>E169/$I$1</f>
        <v>16.2225372</v>
      </c>
    </row>
    <row r="170" ht="14.25" customHeight="1">
      <c r="B170" t="str">
        <v>CONSTURCTION COST</v>
      </c>
      <c r="D170" s="3">
        <f>SUM(D152:D169)</f>
        <v>32503991.88</v>
      </c>
      <c r="E170" s="3">
        <f>SUM(E152:E169)</f>
        <v>25282200.28</v>
      </c>
      <c r="F170" s="3">
        <f>E170-D170</f>
        <v>-7221791.606</v>
      </c>
      <c r="G170" s="3">
        <f>E170/$I$1</f>
        <v>1264.110014</v>
      </c>
    </row>
    <row r="171" ht="14.25" customHeight="1">
      <c r="G171" s="3">
        <f>E171/$I$1</f>
        <v>0</v>
      </c>
    </row>
    <row r="172" ht="14.25" customHeight="1">
      <c r="B172" s="10" t="str">
        <v>FIXED</v>
      </c>
      <c r="C172" t="str">
        <v>GC/CM Fee</v>
      </c>
      <c r="D172" s="3">
        <v>825000</v>
      </c>
      <c r="E172" s="3">
        <f>D172</f>
        <v>825000</v>
      </c>
      <c r="F172" s="3">
        <f>E172-D172</f>
        <v>0</v>
      </c>
      <c r="G172" s="3">
        <f>E172/$I$1</f>
        <v>41.25</v>
      </c>
    </row>
    <row r="173" ht="14.25" customHeight="1">
      <c r="G173" s="3">
        <f>E173/$I$1</f>
        <v>0</v>
      </c>
    </row>
    <row r="174" ht="14.25" customHeight="1">
      <c r="B174" t="str">
        <v>TOTAL</v>
      </c>
      <c r="D174" s="3">
        <f>SUM(D170:D173)</f>
        <v>33328991.88</v>
      </c>
      <c r="E174" s="3">
        <f>SUM(E170:E173)</f>
        <v>26107200.28</v>
      </c>
      <c r="F174" s="3">
        <f>E174-D174</f>
        <v>-7221791.606</v>
      </c>
      <c r="G174" s="3">
        <f>E174/$I$1</f>
        <v>1305.360014</v>
      </c>
    </row>
    <row r="175" ht="14.25" customHeight="1"/>
    <row r="176" ht="14.25" customHeight="1"/>
    <row r="177" ht="14.25" customHeight="1"/>
    <row r="178" ht="14.25" customHeight="1">
      <c r="C178" t="str">
        <v>GCs/month</v>
      </c>
      <c r="E178" t="str">
        <v>GCs % of total</v>
      </c>
    </row>
    <row r="179" ht="14.25" customHeight="1">
      <c r="C179" s="3">
        <f>E154/I5</f>
        <v>0</v>
      </c>
      <c r="E179" s="5">
        <f>E154/$E$174</f>
        <v>0</v>
      </c>
    </row>
    <row r="180" ht="14.25" customHeight="1">
      <c r="E180" s="5">
        <f>E160/$E$174</f>
        <v>0</v>
      </c>
    </row>
    <row r="181" ht="14.25" customHeight="1">
      <c r="C181" t="str">
        <v>GRs/month</v>
      </c>
    </row>
    <row r="182" ht="14.25" customHeight="1">
      <c r="C182" s="3">
        <f>E9/I5</f>
        <v>23120</v>
      </c>
    </row>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H6:N6"/>
    <mergeCell ref="Q6:W6"/>
    <mergeCell ref="A152:C152"/>
    <mergeCell ref="B170:C170"/>
    <mergeCell ref="B174:C174"/>
  </mergeCells>
  <pageMargins left="0.7" right="0.7" top="0.75" bottom="0.75" header="0" footer="0"/>
  <ignoredErrors>
    <ignoredError numberStoredAsText="1" sqref="A1:Y1000"/>
  </ignoredErrors>
</worksheet>
</file>

<file path=xl/worksheets/sheet8.xml><?xml version="1.0" encoding="utf-8"?>
<worksheet xmlns="http://schemas.openxmlformats.org/spreadsheetml/2006/main" xmlns:r="http://schemas.openxmlformats.org/officeDocument/2006/relationships">
  <dimension ref="A1:AP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 min="42" max="42" customWidth="1" width="12.57"/>
  </cols>
  <sheetData>
    <row r="1" ht="15" customHeight="1">
      <c r="A1" t="str">
        <v>Project:</v>
      </c>
      <c r="B1" t="str">
        <f>'Bid Sheet'!$C$2</f>
        <v>Jelleff Recreation Center</v>
      </c>
      <c r="I1" t="str">
        <v>Subcontractor:</v>
      </c>
      <c r="K1" t="str">
        <v>Celtic Demo</v>
      </c>
      <c r="N1" t="str">
        <v>Marc's Demo</v>
      </c>
      <c r="Q1" t="str">
        <v>ACECO</v>
      </c>
      <c r="T1" t="str">
        <v>Berg Demo</v>
      </c>
      <c r="W1" t="str">
        <v>D&amp;H</v>
      </c>
      <c r="Z1" t="str">
        <v>Rath</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Alex Bruns</v>
      </c>
      <c r="N2" t="str">
        <v xml:space="preserve">Marc Dardaghani </v>
      </c>
      <c r="Q2" t="str">
        <v>mstocker@acecoworld.com</v>
      </c>
      <c r="T2" t="str">
        <v>Shawn Wells</v>
      </c>
      <c r="W2" t="str">
        <v>Hessler Espinal</v>
      </c>
      <c r="Z2" t="str">
        <v>Name</v>
      </c>
      <c r="AC2" t="str">
        <v>Name</v>
      </c>
      <c r="AH2" t="str">
        <v>MCN</v>
      </c>
      <c r="AM2" s="8">
        <f>I9</f>
        <v>0</v>
      </c>
      <c r="AO2" t="str">
        <v>MBE/CBE</v>
      </c>
    </row>
    <row r="3" ht="14.25" customHeight="1" outlineLevel="1">
      <c r="I3" t="str">
        <v>Email:</v>
      </c>
      <c r="K3" t="str">
        <v>Alex@celticdemo.com</v>
      </c>
      <c r="N3" t="str">
        <v>marc@marcsdemolitions.com</v>
      </c>
      <c r="T3" t="str">
        <v>Email</v>
      </c>
      <c r="W3" t="str">
        <v>Email</v>
      </c>
      <c r="Z3" t="str">
        <v>Email</v>
      </c>
      <c r="AC3" t="str">
        <v>Email</v>
      </c>
      <c r="AH3">
        <v>1</v>
      </c>
      <c r="AI3" t="str">
        <f>IFNA(INDEX($K$1:$AE$1,1,MATCH($AH3,$K$10:$AE$10,0)),"")</f>
        <v>Berg Demo</v>
      </c>
      <c r="AJ3" s="3">
        <f t="array" ref="AJ3">IFNA(INDEX($K$6:$AE$6,1,MATCH($AH3,$K$10:$AE$10,0)+1),"")</f>
        <v>154826</v>
      </c>
      <c r="AK3" s="3">
        <f t="array" ref="AK3">IFNA(INDEX($K$7:$AE$7,1,MATCH($AH3,$K$10:$AE$10,0)+1),"")</f>
        <v>0</v>
      </c>
      <c r="AL3" s="3">
        <f t="array" ref="AL3">IFNA(INDEX($K$8:$AE$8,1,MATCH($AH3,$K$10:$AE$10,0)+1),"")</f>
        <v>3096.52</v>
      </c>
      <c r="AM3" s="3">
        <f t="array" ref="AM3">IFNA(INDEX($K$9:$AE$9,1,MATCH($AH3,$K$10:$AE$10,0)+1),"")</f>
        <v>157922.52</v>
      </c>
      <c r="AO3" s="9">
        <f>IFERROR(AN3*AM3,0)</f>
        <v>0</v>
      </c>
    </row>
    <row r="4" ht="14.25" customHeight="1" outlineLevel="1">
      <c r="A4" t="str">
        <v>Trade:</v>
      </c>
      <c r="B4" t="str">
        <v>02 - DEMOLITION</v>
      </c>
      <c r="I4" t="str">
        <v>Phone:</v>
      </c>
      <c r="K4" t="str">
        <v>703-739-9103</v>
      </c>
      <c r="N4" t="str">
        <v>703-678-6719</v>
      </c>
      <c r="Q4" t="str">
        <v>443-677-5122</v>
      </c>
      <c r="T4" t="str">
        <v>681-285-4995</v>
      </c>
      <c r="W4" t="str">
        <v xml:space="preserve">240-495-4725 </v>
      </c>
      <c r="Z4" t="str">
        <v>Number</v>
      </c>
      <c r="AC4" t="str">
        <v>Number</v>
      </c>
      <c r="AH4">
        <v>2</v>
      </c>
      <c r="AI4" t="str">
        <f>IFNA(INDEX($K$1:$AE$1,1,MATCH($AH4,$K$10:$AE$10,0)),"")</f>
        <v>Marc's Demo</v>
      </c>
      <c r="AJ4" s="3">
        <f t="array" ref="AJ4">IFNA(INDEX($K$6:$AE$6,1,MATCH($AH4,$K$10:$AE$10,0)+1),"")</f>
        <v>240000</v>
      </c>
      <c r="AK4" s="3">
        <f t="array" ref="AK4">IFNA(INDEX($K$7:$AE$7,1,MATCH($AH4,$K$10:$AE$10,0)+1),"")</f>
        <v>0</v>
      </c>
      <c r="AL4" s="3">
        <f t="array" ref="AL4">IFNA(INDEX($K$8:$AE$8,1,MATCH($AH4,$K$10:$AE$10,0)+1),"")</f>
        <v>4800</v>
      </c>
      <c r="AM4" s="3">
        <f t="array" ref="AM4">IFNA(INDEX($K$9:$AE$9,1,MATCH($AH4,$K$10:$AE$10,0)+1),"")</f>
        <v>244800</v>
      </c>
      <c r="AO4" s="9">
        <f>IFERROR(AN4*AM4,0)</f>
        <v>0</v>
      </c>
    </row>
    <row r="5" ht="14.25" customHeight="1" outlineLevel="1">
      <c r="A5" t="str">
        <v>Rev/Date:</v>
      </c>
      <c r="B5" t="str">
        <v>Date Issued 01-27-2026</v>
      </c>
      <c r="C5" t="str">
        <v>Bidder:</v>
      </c>
      <c r="K5" t="str">
        <v>Level Scope?</v>
      </c>
      <c r="L5" s="4" t="str">
        <v>FULL SCOPE</v>
      </c>
      <c r="N5" t="str">
        <v>Level Scope?</v>
      </c>
      <c r="O5" s="4" t="str">
        <v>FULL SCOPE</v>
      </c>
      <c r="Q5" t="str">
        <v>Level Scope?</v>
      </c>
      <c r="R5" s="4" t="str">
        <v>FULL SCOPE</v>
      </c>
      <c r="T5" t="str">
        <v>Level Scope?</v>
      </c>
      <c r="U5" s="4" t="str">
        <v>FULL SCOPE</v>
      </c>
      <c r="W5" t="str">
        <v>Level Scope?</v>
      </c>
      <c r="X5" s="4" t="str">
        <v>FULL SCOPE</v>
      </c>
      <c r="Z5" t="str">
        <v>Level Scope?</v>
      </c>
      <c r="AA5" s="4" t="str">
        <v>NO</v>
      </c>
      <c r="AC5" t="str">
        <v>Level Scope?</v>
      </c>
      <c r="AD5" s="4" t="str">
        <v>NO</v>
      </c>
      <c r="AH5">
        <v>3</v>
      </c>
      <c r="AI5" t="str">
        <f>IFNA(INDEX($K$1:$AE$1,1,MATCH($AH5,$K$10:$AE$10,0)),"")</f>
        <v>D&amp;H</v>
      </c>
      <c r="AJ5" s="3">
        <f t="array" ref="AJ5">IFNA(INDEX($K$6:$AE$6,1,MATCH($AH5,$K$10:$AE$10,0)+1),"")</f>
        <v>255000</v>
      </c>
      <c r="AK5" s="3">
        <f t="array" ref="AK5">IFNA(INDEX($K$7:$AE$7,1,MATCH($AH5,$K$10:$AE$10,0)+1),"")</f>
        <v>0</v>
      </c>
      <c r="AL5" s="3">
        <f t="array" ref="AL5">IFNA(INDEX($K$8:$AE$8,1,MATCH($AH5,$K$10:$AE$10,0)+1),"")</f>
        <v>5100</v>
      </c>
      <c r="AM5" s="3">
        <f t="array" ref="AM5">IFNA(INDEX($K$9:$AE$9,1,MATCH($AH5,$K$10:$AE$10,0)+1),"")</f>
        <v>260100</v>
      </c>
      <c r="AO5" s="9">
        <f>IFERROR(AN5*AM5,0)</f>
        <v>0</v>
      </c>
    </row>
    <row r="6" ht="14.25" customHeight="1" outlineLevel="1">
      <c r="K6">
        <v>0</v>
      </c>
      <c r="L6" s="4">
        <v>290000</v>
      </c>
      <c r="N6">
        <v>0</v>
      </c>
      <c r="O6" s="4">
        <v>240000</v>
      </c>
      <c r="Q6">
        <v>0</v>
      </c>
      <c r="R6" s="4">
        <v>358597</v>
      </c>
      <c r="T6">
        <v>0</v>
      </c>
      <c r="U6" s="4">
        <v>154826</v>
      </c>
      <c r="W6">
        <v>0</v>
      </c>
      <c r="X6" s="4">
        <v>255000</v>
      </c>
      <c r="Z6">
        <v>0</v>
      </c>
      <c r="AA6" s="4">
        <v>260000</v>
      </c>
      <c r="AC6" t="str">
        <v>Base Bid:</v>
      </c>
      <c r="AH6">
        <v>4</v>
      </c>
      <c r="AI6" t="str">
        <f>IFNA(INDEX($K$1:$AE$1,1,MATCH($AH6,$K$10:$AE$10,0)),"")</f>
        <v>Celtic Demo</v>
      </c>
      <c r="AJ6" s="3">
        <f t="array" ref="AJ6">IFNA(INDEX($K$6:$AE$6,1,MATCH($AH6,$K$10:$AE$10,0)+1),"")</f>
        <v>290000</v>
      </c>
      <c r="AK6" s="3">
        <f t="array" ref="AK6">IFNA(INDEX($K$7:$AE$7,1,MATCH($AH6,$K$10:$AE$10,0)+1),"")</f>
        <v>0</v>
      </c>
      <c r="AL6" s="3">
        <f t="array" ref="AL6">IFNA(INDEX($K$8:$AE$8,1,MATCH($AH6,$K$10:$AE$10,0)+1),"")</f>
        <v>5800</v>
      </c>
      <c r="AM6" s="3">
        <f t="array" ref="AM6">IFNA(INDEX($K$9:$AE$9,1,MATCH($AH6,$K$10:$AE$10,0)+1),"")</f>
        <v>295800</v>
      </c>
      <c r="AO6" s="9">
        <f>IFERROR(AN6*AM6,0)</f>
        <v>0</v>
      </c>
    </row>
    <row r="7" ht="14.25" customHeight="1" outlineLevel="1">
      <c r="A7" t="str">
        <v>Contact:</v>
      </c>
      <c r="B7" t="str">
        <v>Safi Khan</v>
      </c>
      <c r="C7" t="str">
        <v>Contact:</v>
      </c>
      <c r="G7" s="8" t="str">
        <v>| MCN Budget</v>
      </c>
      <c r="I7" s="8">
        <f>SUM(I20:I91,I13:I18)</f>
        <v>0</v>
      </c>
      <c r="K7" t="str">
        <v>Adjustments:</v>
      </c>
      <c r="L7" s="4">
        <f>SUM(L13:L18,L20:L91)</f>
        <v>0</v>
      </c>
      <c r="N7" t="str">
        <v>Adjustments:</v>
      </c>
      <c r="O7" s="4">
        <f>SUM(O13:O18,O20:O91)</f>
        <v>0</v>
      </c>
      <c r="Q7" t="str">
        <v>Adjustments:</v>
      </c>
      <c r="R7" s="4">
        <f>SUM(R13:R18,R20:R91)</f>
        <v>0</v>
      </c>
      <c r="T7" t="str">
        <v>Adjustments:</v>
      </c>
      <c r="U7" s="4">
        <f>SUM(U13:U18,U20:U91)</f>
        <v>0</v>
      </c>
      <c r="W7" t="str">
        <v>Adjustments:</v>
      </c>
      <c r="X7" s="4">
        <f>SUM(X13:X18,X20:X91)</f>
        <v>0</v>
      </c>
      <c r="Z7" t="str">
        <v>Adjustments:</v>
      </c>
      <c r="AA7" s="4">
        <f>SUM(AA13:AA18,AA20:AA91)</f>
        <v>0</v>
      </c>
      <c r="AC7" t="str">
        <v>Adjustments:</v>
      </c>
      <c r="AD7" s="4">
        <f>SUM(AD13:AD18,AD20:AD91)</f>
        <v>0</v>
      </c>
      <c r="AH7">
        <v>5</v>
      </c>
      <c r="AI7" t="str">
        <f>IFNA(INDEX($K$1:$AE$1,1,MATCH($AH7,$K$10:$AE$10,0)),"")</f>
        <v>ACECO</v>
      </c>
      <c r="AJ7" s="3">
        <f t="array" ref="AJ7">IFNA(INDEX($K$6:$AE$6,1,MATCH($AH7,$K$10:$AE$10,0)+1),"")</f>
        <v>358597</v>
      </c>
      <c r="AK7" s="3">
        <f t="array" ref="AK7">IFNA(INDEX($K$7:$AE$7,1,MATCH($AH7,$K$10:$AE$10,0)+1),"")</f>
        <v>0</v>
      </c>
      <c r="AL7" s="3">
        <f t="array" ref="AL7">IFNA(INDEX($K$8:$AE$8,1,MATCH($AH7,$K$10:$AE$10,0)+1),"")</f>
        <v>7171.94</v>
      </c>
      <c r="AM7" s="3">
        <f t="array" ref="AM7">IFNA(INDEX($K$9:$AE$9,1,MATCH($AH7,$K$10:$AE$10,0)+1),"")</f>
        <v>365768.94</v>
      </c>
      <c r="AO7" s="9">
        <f>IFERROR(AN7*AM7,0)</f>
        <v>0</v>
      </c>
    </row>
    <row r="8" ht="15" customHeight="1" outlineLevel="1">
      <c r="A8" t="str">
        <v>Email:</v>
      </c>
      <c r="B8" t="str">
        <v>safi.khan@mcnbuild.com</v>
      </c>
      <c r="C8" t="str">
        <v>Email:</v>
      </c>
      <c r="F8" s="10">
        <v>0.02</v>
      </c>
      <c r="G8" s="8" t="str">
        <v>| Bond</v>
      </c>
      <c r="I8" s="8">
        <f>F8*I7</f>
        <v>0</v>
      </c>
      <c r="J8" s="10">
        <v>0.02</v>
      </c>
      <c r="K8" t="str">
        <v>Bond:</v>
      </c>
      <c r="L8" s="4">
        <f>J8*SUM(L6:L7)</f>
        <v>5800</v>
      </c>
      <c r="M8" s="10">
        <v>0.02</v>
      </c>
      <c r="N8" t="str">
        <v>Bond:</v>
      </c>
      <c r="O8" s="4">
        <f>M8*SUM(O6:O7)</f>
        <v>4800</v>
      </c>
      <c r="P8" s="10">
        <v>0.02</v>
      </c>
      <c r="Q8" t="str">
        <v>Bond:</v>
      </c>
      <c r="R8" s="4">
        <f>P8*SUM(R6:R7)</f>
        <v>7171.94</v>
      </c>
      <c r="S8" s="10">
        <v>0.02</v>
      </c>
      <c r="T8" t="str">
        <v>Bond:</v>
      </c>
      <c r="U8" s="4">
        <f>S8*SUM(U6:U7)</f>
        <v>3096.52</v>
      </c>
      <c r="V8" s="10">
        <v>0.02</v>
      </c>
      <c r="W8" t="str">
        <v>Bond:</v>
      </c>
      <c r="X8" s="4">
        <f>V8*SUM(X6:X7)</f>
        <v>5100</v>
      </c>
      <c r="Y8" s="10">
        <v>0.02</v>
      </c>
      <c r="Z8" t="str">
        <v>Bond:</v>
      </c>
      <c r="AA8" s="4">
        <f>Y8*SUM(AA6:AA7)</f>
        <v>5200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202-674-5842</v>
      </c>
      <c r="C9" t="str">
        <v>Phone:</v>
      </c>
      <c r="G9" t="str">
        <v>-----</v>
      </c>
      <c r="H9" s="8" t="str">
        <v xml:space="preserve">  --------&gt;</v>
      </c>
      <c r="I9" s="8">
        <f>SUM(I7:I8)</f>
        <v>0</v>
      </c>
      <c r="K9" t="str">
        <v>Total Bid:</v>
      </c>
      <c r="L9" s="4">
        <f>IF(L5="FULL SCOPE",SUM(L6:L8),"not level")</f>
        <v>295800</v>
      </c>
      <c r="N9" t="str">
        <v>Total Bid:</v>
      </c>
      <c r="O9" s="4">
        <f>IF(O5="FULL SCOPE",SUM(O6:O8),"not level")</f>
        <v>244800</v>
      </c>
      <c r="Q9" t="str">
        <v>Total Bid:</v>
      </c>
      <c r="R9" s="4">
        <f>IF(R5="FULL SCOPE",SUM(R6:R8),"not level")</f>
        <v>365768.94</v>
      </c>
      <c r="T9" t="str">
        <v>Total Bid:</v>
      </c>
      <c r="U9" s="4">
        <f>IF(U5="FULL SCOPE",SUM(U6:U8),"not level")</f>
        <v>157922.52</v>
      </c>
      <c r="W9" t="str">
        <v>Total Bid:</v>
      </c>
      <c r="X9" s="4">
        <f>IF(X5="FULL SCOPE",SUM(X6:X8),"not level")</f>
        <v>260100</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t="14.25" customHeight="1" outlineLevel="1">
      <c r="A10" t="str">
        <v>HIDE</v>
      </c>
      <c r="B10" t="str">
        <v>Rank</v>
      </c>
      <c r="D10" t="str">
        <v>HIDE</v>
      </c>
      <c r="F10" t="str">
        <v>HIDE</v>
      </c>
      <c r="H10" s="8" t="str">
        <v>HIDE</v>
      </c>
      <c r="I10" s="8" t="str">
        <v>RANK</v>
      </c>
      <c r="K10">
        <f>IF(L5="NO","INCOMPLETE",RANK.EQ(L9,$L$9:$AE$9,1))</f>
        <v>4</v>
      </c>
      <c r="N10">
        <f>IF(O5="NO","INCOMPLETE",RANK.EQ(O9,$L$9:$AE$9,1))</f>
        <v>2</v>
      </c>
      <c r="Q10">
        <f>IF(R5="NO","INCOMPLETE",RANK.EQ(R9,$L$9:$AE$9,1))</f>
        <v>5</v>
      </c>
      <c r="T10">
        <f>IF(U5="NO","INCOMPLETE",RANK.EQ(U9,$L$9:$AE$9,1))</f>
        <v>1</v>
      </c>
      <c r="W10">
        <f>IF(X5="NO","INCOMPLETE",RANK.EQ(X9,$L$9:$AE$9,1))</f>
        <v>3</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290000</v>
      </c>
      <c r="O19" s="8">
        <f>O6</f>
        <v>240000</v>
      </c>
      <c r="R19" s="8">
        <f>R6</f>
        <v>358597</v>
      </c>
      <c r="U19" s="8">
        <f>U6</f>
        <v>154826</v>
      </c>
      <c r="X19" s="8">
        <f>X6</f>
        <v>255000</v>
      </c>
      <c r="AA19" s="8">
        <f>AA6</f>
        <v>260000</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Structural and Interior Demo</v>
      </c>
      <c r="C22" t="str">
        <v>#</v>
      </c>
      <c r="D22" t="str">
        <v>$</v>
      </c>
      <c r="I22" s="8">
        <f>H22*F22</f>
        <v>0</v>
      </c>
    </row>
    <row r="23" ht="14.25" customHeight="1">
      <c r="A23">
        <f>A22+1</f>
        <v>5</v>
      </c>
      <c r="I23" s="8">
        <f>H23*F23</f>
        <v>0</v>
      </c>
    </row>
    <row r="24" hidden="1" ht="14.25" customHeight="1">
      <c r="A24">
        <f>A23+1</f>
        <v>6</v>
      </c>
      <c r="B24" t="str">
        <v>Key Quantity Breakdown</v>
      </c>
      <c r="I24" s="8">
        <f>H24*F24</f>
        <v>0</v>
      </c>
    </row>
    <row r="25" hidden="1" ht="14.25" customHeight="1">
      <c r="A25">
        <f>A24+1</f>
        <v>7</v>
      </c>
      <c r="B25" t="str">
        <v>Stuff</v>
      </c>
      <c r="C25" t="str">
        <v>#</v>
      </c>
      <c r="D25" t="str">
        <v>CY</v>
      </c>
      <c r="I25" s="8">
        <f>H25*F25</f>
        <v>0</v>
      </c>
    </row>
    <row r="26" hidden="1" ht="14.25" customHeight="1">
      <c r="A26">
        <f>A25+1</f>
        <v>8</v>
      </c>
      <c r="B26" t="str">
        <v>Thing</v>
      </c>
      <c r="C26" t="str">
        <v>#</v>
      </c>
      <c r="D26" t="str">
        <v>SF</v>
      </c>
      <c r="I26" s="8">
        <f>H26*F26</f>
        <v>0</v>
      </c>
    </row>
    <row r="27" hidden="1" ht="14.25" customHeight="1">
      <c r="A27">
        <f>A26+1</f>
        <v>9</v>
      </c>
      <c r="B27" t="str">
        <v>Stuff 2</v>
      </c>
      <c r="C27" t="str">
        <v>#</v>
      </c>
      <c r="D27" t="str">
        <v>LF</v>
      </c>
      <c r="I27" s="8">
        <f>H27*F27</f>
        <v>0</v>
      </c>
    </row>
    <row r="28" hidden="1" ht="14.25" customHeight="1">
      <c r="A28">
        <f>A27+1</f>
        <v>10</v>
      </c>
      <c r="B28" t="str">
        <v>Item</v>
      </c>
      <c r="C28" t="str">
        <v>#</v>
      </c>
      <c r="D28" t="str">
        <v>EA</v>
      </c>
      <c r="I28" s="8">
        <f>H28*F28</f>
        <v>0</v>
      </c>
    </row>
    <row r="29" hidden="1" ht="14.25" customHeight="1">
      <c r="I29" s="8">
        <f>H29*F29</f>
        <v>0</v>
      </c>
    </row>
    <row r="30" ht="14.25" customHeight="1">
      <c r="B30" t="str">
        <v>Section 3 - Scope of Work</v>
      </c>
    </row>
    <row r="31" ht="14.25" customHeight="1">
      <c r="B31" t="str">
        <v>Furnish and Install All Items UON</v>
      </c>
      <c r="C31" t="str">
        <v>Y</v>
      </c>
      <c r="J31" t="str">
        <v>Y</v>
      </c>
      <c r="K31" t="str">
        <v/>
      </c>
      <c r="L31" s="8">
        <v>0</v>
      </c>
      <c r="M31" t="str">
        <v/>
      </c>
      <c r="N31" t="str">
        <v/>
      </c>
      <c r="O31" s="8">
        <v>0</v>
      </c>
      <c r="P31" t="str">
        <v/>
      </c>
      <c r="Q31" t="str">
        <v/>
      </c>
      <c r="R31" s="8">
        <v>0</v>
      </c>
      <c r="S31" t="str">
        <v>Y</v>
      </c>
      <c r="T31" t="str">
        <v/>
      </c>
      <c r="U31" s="8">
        <v>0</v>
      </c>
      <c r="V31" t="str">
        <v/>
      </c>
      <c r="W31" t="str">
        <v/>
      </c>
      <c r="X31" s="8">
        <v>0</v>
      </c>
      <c r="Y31" t="str">
        <v/>
      </c>
      <c r="Z31" t="str">
        <v/>
      </c>
      <c r="AA31" s="8">
        <v>0</v>
      </c>
    </row>
    <row r="32" ht="14.25" customHeight="1">
      <c r="A32" t="str">
        <v>A</v>
      </c>
      <c r="B32" t="str">
        <v>Specifications</v>
      </c>
    </row>
    <row r="33" ht="14.25" customHeight="1">
      <c r="B33" t="str">
        <v>Division 01 - General Requirements</v>
      </c>
      <c r="C33" t="str">
        <v>Y</v>
      </c>
      <c r="J33" t="str">
        <v>Y</v>
      </c>
      <c r="K33" t="str">
        <v/>
      </c>
      <c r="L33" s="8">
        <v>0</v>
      </c>
      <c r="M33" t="str">
        <v/>
      </c>
      <c r="N33" t="str">
        <v/>
      </c>
      <c r="O33" s="8">
        <v>0</v>
      </c>
      <c r="P33" t="str">
        <v/>
      </c>
      <c r="Q33" t="str">
        <v/>
      </c>
      <c r="R33" s="8">
        <v>0</v>
      </c>
      <c r="S33" t="str">
        <v>Y</v>
      </c>
      <c r="T33" t="str">
        <v/>
      </c>
      <c r="U33" s="8">
        <v>0</v>
      </c>
      <c r="V33" t="str">
        <v/>
      </c>
      <c r="W33" t="str">
        <v/>
      </c>
      <c r="X33" s="8">
        <v>0</v>
      </c>
      <c r="Y33" t="str">
        <v/>
      </c>
      <c r="Z33" t="str">
        <v/>
      </c>
      <c r="AA33" s="8">
        <v>0</v>
      </c>
    </row>
    <row r="34" ht="14.25" customHeight="1">
      <c r="B34" t="str">
        <v>Division 2 - Demolition</v>
      </c>
      <c r="C34" t="str">
        <v>Y</v>
      </c>
      <c r="J34" t="str">
        <v>Y</v>
      </c>
      <c r="K34" t="str">
        <v/>
      </c>
      <c r="L34" s="8">
        <v>0</v>
      </c>
      <c r="M34" t="str">
        <v/>
      </c>
      <c r="N34" t="str">
        <v/>
      </c>
      <c r="O34" s="8">
        <v>0</v>
      </c>
      <c r="P34" t="str">
        <v/>
      </c>
      <c r="Q34" t="str">
        <v/>
      </c>
      <c r="R34" s="8">
        <v>0</v>
      </c>
      <c r="S34" t="str">
        <v>Y</v>
      </c>
      <c r="T34" t="str">
        <v/>
      </c>
      <c r="U34" s="8">
        <v>0</v>
      </c>
      <c r="V34" t="str">
        <v/>
      </c>
      <c r="W34" t="str">
        <v/>
      </c>
      <c r="X34" s="8">
        <v>0</v>
      </c>
      <c r="Y34" t="str">
        <v/>
      </c>
      <c r="Z34" t="str">
        <v/>
      </c>
      <c r="AA34" s="8">
        <v>0</v>
      </c>
    </row>
    <row r="35" ht="14.25" customHeight="1">
      <c r="B35" t="str">
        <v>31 00 00 - Earthwork</v>
      </c>
      <c r="C35" t="str">
        <v>Y</v>
      </c>
      <c r="J35" t="str">
        <v>Y</v>
      </c>
      <c r="K35" t="str">
        <v/>
      </c>
      <c r="L35" s="8">
        <v>0</v>
      </c>
      <c r="M35" t="str">
        <v/>
      </c>
      <c r="N35" t="str">
        <v/>
      </c>
      <c r="O35" s="8">
        <v>0</v>
      </c>
      <c r="P35" t="str">
        <v/>
      </c>
      <c r="Q35" t="str">
        <v/>
      </c>
      <c r="R35" s="8">
        <v>0</v>
      </c>
      <c r="S35" t="str">
        <v>Y</v>
      </c>
      <c r="T35" t="str">
        <v>by others</v>
      </c>
      <c r="U35" s="8">
        <v>0</v>
      </c>
      <c r="V35" t="str">
        <v/>
      </c>
      <c r="W35" t="str">
        <v/>
      </c>
      <c r="X35" s="8">
        <v>0</v>
      </c>
      <c r="Y35" t="str">
        <v/>
      </c>
      <c r="Z35" t="str">
        <v/>
      </c>
      <c r="AA35" s="8">
        <v>0</v>
      </c>
    </row>
    <row r="36" ht="14.25" customHeight="1">
      <c r="A36" t="str">
        <v>B</v>
      </c>
      <c r="B36" t="str">
        <v>Inclusions</v>
      </c>
    </row>
    <row r="37" ht="14.25" customHeight="1">
      <c r="A37">
        <v>1</v>
      </c>
      <c r="B37" t="str">
        <v>SPECIFIC SCOPE ITEMS</v>
      </c>
      <c r="C37" t="str">
        <v>Y</v>
      </c>
      <c r="I37" s="8">
        <f>H37*F37</f>
        <v>0</v>
      </c>
      <c r="J37" t="str">
        <v>Y</v>
      </c>
      <c r="K37" t="str">
        <v/>
      </c>
      <c r="L37" s="8">
        <v>0</v>
      </c>
      <c r="M37" t="str">
        <v/>
      </c>
      <c r="N37" t="str">
        <v/>
      </c>
      <c r="O37" s="8">
        <v>0</v>
      </c>
      <c r="P37" t="str">
        <v/>
      </c>
      <c r="Q37" t="str">
        <v/>
      </c>
      <c r="R37" s="8">
        <v>0</v>
      </c>
      <c r="S37" t="str">
        <v>Y</v>
      </c>
      <c r="T37" t="str">
        <v/>
      </c>
      <c r="U37" s="8">
        <v>0</v>
      </c>
      <c r="V37" t="str">
        <v/>
      </c>
      <c r="W37" t="str">
        <v/>
      </c>
      <c r="X37" s="8">
        <v>0</v>
      </c>
      <c r="Y37" t="str">
        <v/>
      </c>
      <c r="Z37" t="str">
        <v/>
      </c>
      <c r="AA37" s="8">
        <v>0</v>
      </c>
    </row>
    <row r="38" ht="14.25" customHeight="1">
      <c r="A38">
        <f>A37+1</f>
        <v>2</v>
      </c>
      <c r="B38" t="str">
        <v>BUILDING  &amp; EX. STRUCTURE DEMOLITION</v>
      </c>
      <c r="C38" t="str">
        <v>Y</v>
      </c>
      <c r="J38" t="str">
        <v>Y</v>
      </c>
      <c r="K38" t="str">
        <v/>
      </c>
      <c r="L38" s="8">
        <v>0</v>
      </c>
      <c r="M38" t="str">
        <v/>
      </c>
      <c r="N38" t="str">
        <v/>
      </c>
      <c r="O38" s="8">
        <v>0</v>
      </c>
      <c r="P38" t="str">
        <v/>
      </c>
      <c r="Q38" t="str">
        <v/>
      </c>
      <c r="R38" s="8">
        <v>0</v>
      </c>
      <c r="S38" t="str">
        <v>Y</v>
      </c>
      <c r="T38" t="str">
        <v/>
      </c>
      <c r="U38" s="8">
        <v>0</v>
      </c>
      <c r="V38" t="str">
        <v/>
      </c>
      <c r="W38" t="str">
        <v/>
      </c>
      <c r="X38" s="8">
        <v>0</v>
      </c>
      <c r="Y38" t="str">
        <v/>
      </c>
      <c r="Z38" t="str">
        <v/>
      </c>
      <c r="AA38" s="8">
        <v>0</v>
      </c>
    </row>
    <row r="39" ht="14.25" customHeight="1">
      <c r="A39">
        <f>A38+1</f>
        <v>3</v>
      </c>
      <c r="B39" t="str">
        <v>Demolition of existing building structure in its entirety.</v>
      </c>
      <c r="C39" t="str">
        <v>Y</v>
      </c>
      <c r="J39" t="str">
        <v>Y</v>
      </c>
      <c r="K39" t="str">
        <v/>
      </c>
      <c r="L39" s="8">
        <v>0</v>
      </c>
      <c r="M39" t="str">
        <v/>
      </c>
      <c r="N39" t="str">
        <v/>
      </c>
      <c r="O39" s="8">
        <v>0</v>
      </c>
      <c r="P39" t="str">
        <v/>
      </c>
      <c r="Q39" t="str">
        <v/>
      </c>
      <c r="R39" s="8">
        <v>0</v>
      </c>
      <c r="S39" t="str">
        <v>Y</v>
      </c>
      <c r="T39" t="str">
        <v/>
      </c>
      <c r="U39" s="8">
        <v>0</v>
      </c>
      <c r="V39" t="str">
        <v/>
      </c>
      <c r="W39" t="str">
        <v/>
      </c>
      <c r="X39" s="8">
        <v>0</v>
      </c>
      <c r="Y39" t="str">
        <v/>
      </c>
      <c r="Z39" t="str">
        <v/>
      </c>
      <c r="AA39" s="8">
        <v>0</v>
      </c>
    </row>
    <row r="40" ht="14.25" customHeight="1">
      <c r="A40">
        <f>A39+1</f>
        <v>4</v>
      </c>
      <c r="B40" t="str">
        <v>Conduct structural demolition shown in drawing including exterior walls, roof and floor Structure, utilities, concrete slab, and footings.</v>
      </c>
      <c r="C40" t="str">
        <v>Y</v>
      </c>
      <c r="J40" t="str">
        <v>Y</v>
      </c>
      <c r="K40" t="str">
        <v/>
      </c>
      <c r="L40" s="8">
        <v>0</v>
      </c>
      <c r="M40" t="str">
        <v/>
      </c>
      <c r="N40" t="str">
        <v/>
      </c>
      <c r="O40" s="8">
        <v>0</v>
      </c>
      <c r="P40" t="str">
        <v/>
      </c>
      <c r="Q40" t="str">
        <v/>
      </c>
      <c r="R40" s="8">
        <v>0</v>
      </c>
      <c r="S40" t="str">
        <v>Y</v>
      </c>
      <c r="T40" t="str">
        <v/>
      </c>
      <c r="U40" s="8">
        <v>0</v>
      </c>
      <c r="V40" t="str">
        <v/>
      </c>
      <c r="W40" t="str">
        <v/>
      </c>
      <c r="X40" s="8">
        <v>0</v>
      </c>
      <c r="Y40" t="str">
        <v/>
      </c>
      <c r="Z40" t="str">
        <v/>
      </c>
      <c r="AA40" s="8">
        <v>0</v>
      </c>
    </row>
    <row r="41" ht="14.25" customHeight="1">
      <c r="A41">
        <f>A40+1</f>
        <v>5</v>
      </c>
      <c r="B41" t="str">
        <v>Remove Exterior steps and guardrails / handrails.</v>
      </c>
      <c r="C41" t="str">
        <v>Y</v>
      </c>
      <c r="J41" t="str">
        <v>Y</v>
      </c>
      <c r="K41" t="str">
        <v/>
      </c>
      <c r="L41" s="8">
        <v>0</v>
      </c>
      <c r="M41" t="str">
        <v/>
      </c>
      <c r="N41" t="str">
        <v/>
      </c>
      <c r="O41" s="8">
        <v>0</v>
      </c>
      <c r="P41" t="str">
        <v/>
      </c>
      <c r="Q41" t="str">
        <v/>
      </c>
      <c r="R41" s="8">
        <v>0</v>
      </c>
      <c r="S41" t="str">
        <v>Y</v>
      </c>
      <c r="T41" t="str">
        <v/>
      </c>
      <c r="U41" s="8">
        <v>0</v>
      </c>
      <c r="V41" t="str">
        <v/>
      </c>
      <c r="W41" t="str">
        <v/>
      </c>
      <c r="X41" s="8">
        <v>0</v>
      </c>
      <c r="Y41" t="str">
        <v/>
      </c>
      <c r="Z41" t="str">
        <v/>
      </c>
      <c r="AA41" s="8">
        <v>0</v>
      </c>
    </row>
    <row r="42" ht="14.25" customHeight="1">
      <c r="A42">
        <f>A41+1</f>
        <v>6</v>
      </c>
      <c r="B42" t="str">
        <v>Raze all interior walls, partitions, ceilings, mezzanine ﬂoors, doors, windows, and ﬁnishes, as well as mechanical, electrical, and plumbing services as indicated in the plans, except as noted here-in.</v>
      </c>
      <c r="C42" t="str">
        <v>Y</v>
      </c>
      <c r="J42" t="str">
        <v>Y</v>
      </c>
      <c r="K42" t="str">
        <v/>
      </c>
      <c r="L42" s="8">
        <v>0</v>
      </c>
      <c r="M42" t="str">
        <v/>
      </c>
      <c r="N42" t="str">
        <v/>
      </c>
      <c r="O42" s="8">
        <v>0</v>
      </c>
      <c r="P42" t="str">
        <v/>
      </c>
      <c r="Q42" t="str">
        <v/>
      </c>
      <c r="R42" s="8">
        <v>0</v>
      </c>
      <c r="S42" t="str">
        <v>Y</v>
      </c>
      <c r="T42" t="str">
        <v/>
      </c>
      <c r="U42" s="8">
        <v>0</v>
      </c>
      <c r="V42" t="str">
        <v/>
      </c>
      <c r="W42" t="str">
        <v/>
      </c>
      <c r="X42" s="8">
        <v>0</v>
      </c>
      <c r="Y42" t="str">
        <v/>
      </c>
      <c r="Z42" t="str">
        <v/>
      </c>
      <c r="AA42" s="8">
        <v>0</v>
      </c>
    </row>
    <row r="43" ht="14.25" customHeight="1">
      <c r="A43">
        <f>A42+1</f>
        <v>7</v>
      </c>
      <c r="B43" t="str">
        <v>Remove interior stair and guardrails / handrails.</v>
      </c>
      <c r="C43" t="str">
        <v>Y</v>
      </c>
      <c r="J43" t="str">
        <v>Y</v>
      </c>
      <c r="K43" t="str">
        <v/>
      </c>
      <c r="L43" s="8">
        <v>0</v>
      </c>
      <c r="M43" t="str">
        <v/>
      </c>
      <c r="N43" t="str">
        <v/>
      </c>
      <c r="O43" s="8">
        <v>0</v>
      </c>
      <c r="P43" t="str">
        <v/>
      </c>
      <c r="Q43" t="str">
        <v/>
      </c>
      <c r="R43" s="8">
        <v>0</v>
      </c>
      <c r="S43" t="str">
        <v>Y</v>
      </c>
      <c r="T43" t="str">
        <v/>
      </c>
      <c r="U43" s="8">
        <v>0</v>
      </c>
      <c r="V43" t="str">
        <v/>
      </c>
      <c r="W43" t="str">
        <v/>
      </c>
      <c r="X43" s="8">
        <v>0</v>
      </c>
      <c r="Y43" t="str">
        <v/>
      </c>
      <c r="Z43" t="str">
        <v/>
      </c>
      <c r="AA43" s="8">
        <v>0</v>
      </c>
    </row>
    <row r="44" ht="14.25" customHeight="1">
      <c r="A44">
        <f>A43+1</f>
        <v>8</v>
      </c>
      <c r="B44" t="str">
        <v>Remove existing roof drains, rooftop equipment and associated curbs and flashing</v>
      </c>
      <c r="C44" t="str">
        <v>Y</v>
      </c>
      <c r="J44" t="str">
        <v>Y</v>
      </c>
      <c r="K44" t="str">
        <v/>
      </c>
      <c r="L44" s="8">
        <v>0</v>
      </c>
      <c r="M44" t="str">
        <v/>
      </c>
      <c r="N44" t="str">
        <v/>
      </c>
      <c r="O44" s="8">
        <v>0</v>
      </c>
      <c r="P44" t="str">
        <v/>
      </c>
      <c r="Q44" t="str">
        <v/>
      </c>
      <c r="R44" s="8">
        <v>0</v>
      </c>
      <c r="S44" t="str">
        <v>Y</v>
      </c>
      <c r="T44" t="str">
        <v>Make safe/abatement by others</v>
      </c>
      <c r="U44" s="8">
        <v>0</v>
      </c>
      <c r="V44" t="str">
        <v/>
      </c>
      <c r="W44" t="str">
        <v/>
      </c>
      <c r="X44" s="8">
        <v>0</v>
      </c>
      <c r="Y44" t="str">
        <v/>
      </c>
      <c r="Z44" t="str">
        <v/>
      </c>
      <c r="AA44" s="8">
        <v>0</v>
      </c>
    </row>
    <row r="45" ht="14.25" customHeight="1">
      <c r="A45">
        <f>A44+1</f>
        <v>9</v>
      </c>
      <c r="B45" t="str">
        <v>Demo &amp; haul off from the site.</v>
      </c>
      <c r="C45" t="str">
        <v>Y</v>
      </c>
      <c r="J45" t="str">
        <v>Y</v>
      </c>
      <c r="K45" t="str">
        <v/>
      </c>
      <c r="L45" s="8">
        <v>0</v>
      </c>
      <c r="M45" t="str">
        <v/>
      </c>
      <c r="N45" t="str">
        <v/>
      </c>
      <c r="O45" s="8">
        <v>0</v>
      </c>
      <c r="P45" t="str">
        <v/>
      </c>
      <c r="Q45" t="str">
        <v/>
      </c>
      <c r="R45" s="8">
        <v>0</v>
      </c>
      <c r="S45" t="str">
        <v>Y</v>
      </c>
      <c r="T45" t="str">
        <v/>
      </c>
      <c r="U45" s="8">
        <v>0</v>
      </c>
      <c r="V45" t="str">
        <v/>
      </c>
      <c r="W45" t="str">
        <v/>
      </c>
      <c r="X45" s="8">
        <v>0</v>
      </c>
      <c r="Y45" t="str">
        <v/>
      </c>
      <c r="Z45" t="str">
        <v/>
      </c>
      <c r="AA45" s="8">
        <v>0</v>
      </c>
    </row>
    <row r="46" ht="14.25" customHeight="1">
      <c r="A46">
        <f>A45+1</f>
        <v>10</v>
      </c>
      <c r="B46" t="str">
        <v>Demo existing structure &amp; footings/grade beams as per structure drawings</v>
      </c>
      <c r="C46" t="str">
        <v>Y</v>
      </c>
      <c r="J46" t="str">
        <v>Y</v>
      </c>
      <c r="K46" t="str">
        <v/>
      </c>
      <c r="L46" s="8">
        <v>0</v>
      </c>
      <c r="M46" t="str">
        <v/>
      </c>
      <c r="N46" t="str">
        <v/>
      </c>
      <c r="O46" s="8">
        <v>0</v>
      </c>
      <c r="P46" t="str">
        <v/>
      </c>
      <c r="Q46" t="str">
        <v/>
      </c>
      <c r="R46" s="8">
        <v>0</v>
      </c>
      <c r="S46" t="str">
        <v>Y</v>
      </c>
      <c r="T46" t="str">
        <v/>
      </c>
      <c r="U46" s="8">
        <v>0</v>
      </c>
      <c r="V46" t="str">
        <v/>
      </c>
      <c r="W46" t="str">
        <v/>
      </c>
      <c r="X46" s="8">
        <v>0</v>
      </c>
      <c r="Y46" t="str">
        <v/>
      </c>
      <c r="Z46" t="str">
        <v/>
      </c>
      <c r="AA46" s="8">
        <v>0</v>
      </c>
    </row>
    <row r="47" ht="14.25" customHeight="1">
      <c r="A47">
        <f>A46+1</f>
        <v>11</v>
      </c>
      <c r="B47" t="str">
        <v>Gas fireplace insert, shut-off valve, and flue to be removed. Gas to Be cut &amp; capped by others.</v>
      </c>
      <c r="C47" t="str">
        <v>Y</v>
      </c>
      <c r="J47" t="str">
        <v>Y</v>
      </c>
      <c r="K47" t="str">
        <v/>
      </c>
      <c r="L47" s="8">
        <v>0</v>
      </c>
      <c r="M47" t="str">
        <v/>
      </c>
      <c r="N47" t="str">
        <v/>
      </c>
      <c r="O47" s="8">
        <v>0</v>
      </c>
      <c r="P47" t="str">
        <v/>
      </c>
      <c r="Q47" t="str">
        <v/>
      </c>
      <c r="R47" s="8">
        <v>0</v>
      </c>
      <c r="S47" t="str">
        <v>Y</v>
      </c>
      <c r="T47" t="str">
        <v/>
      </c>
      <c r="U47" s="8">
        <v>0</v>
      </c>
      <c r="V47" t="str">
        <v/>
      </c>
      <c r="W47" t="str">
        <v/>
      </c>
      <c r="X47" s="8">
        <v>0</v>
      </c>
      <c r="Y47" t="str">
        <v/>
      </c>
      <c r="Z47" t="str">
        <v/>
      </c>
      <c r="AA47" s="8">
        <v>0</v>
      </c>
    </row>
    <row r="48" ht="14.25" customHeight="1">
      <c r="A48">
        <f>A47+1</f>
        <v>12</v>
      </c>
      <c r="B48" t="str">
        <v xml:space="preserve">FP piping, equipment, valves, pump, to be removed. </v>
      </c>
      <c r="C48" t="str">
        <v>Y</v>
      </c>
      <c r="J48" t="str">
        <v>Y</v>
      </c>
      <c r="K48" t="str">
        <v/>
      </c>
      <c r="L48" s="8">
        <v>0</v>
      </c>
      <c r="M48" t="str">
        <v/>
      </c>
      <c r="N48" t="str">
        <v/>
      </c>
      <c r="O48" s="8">
        <v>0</v>
      </c>
      <c r="P48" t="str">
        <v/>
      </c>
      <c r="Q48" t="str">
        <v/>
      </c>
      <c r="R48" s="8">
        <v>0</v>
      </c>
      <c r="S48" t="str">
        <v>Y</v>
      </c>
      <c r="T48" t="str">
        <v/>
      </c>
      <c r="U48" s="8">
        <v>0</v>
      </c>
      <c r="V48" t="str">
        <v/>
      </c>
      <c r="W48" t="str">
        <v/>
      </c>
      <c r="X48" s="8">
        <v>0</v>
      </c>
      <c r="Y48" t="str">
        <v/>
      </c>
      <c r="Z48" t="str">
        <v/>
      </c>
      <c r="AA48" s="8">
        <v>0</v>
      </c>
    </row>
    <row r="49" ht="14.25" customHeight="1">
      <c r="A49">
        <f>A48+1</f>
        <v>13</v>
      </c>
      <c r="B49" t="str">
        <v>Perform all demolition activities involving mechanical, electrical, and plumbing (MEP) systems in full compliance with established safety requirements, regulatory standards, and approved demolition protocols.</v>
      </c>
      <c r="C49" t="str">
        <v>Y</v>
      </c>
      <c r="J49" t="str">
        <v>Y</v>
      </c>
      <c r="K49" t="str">
        <v/>
      </c>
      <c r="L49" s="8">
        <v>0</v>
      </c>
      <c r="M49" t="str">
        <v/>
      </c>
      <c r="N49" t="str">
        <v/>
      </c>
      <c r="O49" s="8">
        <v>0</v>
      </c>
      <c r="P49" t="str">
        <v/>
      </c>
      <c r="Q49" t="str">
        <v/>
      </c>
      <c r="R49" s="8">
        <v>0</v>
      </c>
      <c r="S49" t="str">
        <v>Y</v>
      </c>
      <c r="T49" t="str">
        <v/>
      </c>
      <c r="U49" s="8">
        <v>0</v>
      </c>
      <c r="V49" t="str">
        <v/>
      </c>
      <c r="W49" t="str">
        <v/>
      </c>
      <c r="X49" s="8">
        <v>0</v>
      </c>
      <c r="Y49" t="str">
        <v/>
      </c>
      <c r="Z49" t="str">
        <v/>
      </c>
      <c r="AA49" s="8">
        <v>0</v>
      </c>
    </row>
    <row r="50" ht="14.25" customHeight="1" xml:space="preserve">
      <c r="A50">
        <f>A49+1</f>
        <v>14</v>
      </c>
      <c r="B50" t="str">
        <v>Assure to take extra precautions for demolition activities around the historic tree areas(exisitng Trees to Remain).</v>
      </c>
      <c r="C50" t="str">
        <v>Y</v>
      </c>
      <c r="J50" t="str">
        <v>Y</v>
      </c>
      <c r="K50" t="str">
        <v/>
      </c>
      <c r="L50" s="8">
        <v>0</v>
      </c>
      <c r="M50" t="str">
        <v/>
      </c>
      <c r="N50" t="str">
        <v/>
      </c>
      <c r="O50" s="8">
        <v>0</v>
      </c>
      <c r="P50" t="str">
        <v/>
      </c>
      <c r="Q50" t="str">
        <v/>
      </c>
      <c r="R50" s="8">
        <v>0</v>
      </c>
      <c r="S50" t="str">
        <v>Y</v>
      </c>
      <c r="T50" t="str" xml:space="preserve">
        <v xml:space="preserve">Tree protection
by others</v>
      </c>
      <c r="U50" s="8">
        <v>0</v>
      </c>
      <c r="V50" t="str">
        <v/>
      </c>
      <c r="W50" t="str">
        <v/>
      </c>
      <c r="X50" s="8">
        <v>0</v>
      </c>
      <c r="Y50" t="str">
        <v/>
      </c>
      <c r="Z50" t="str">
        <v/>
      </c>
      <c r="AA50" s="8">
        <v>0</v>
      </c>
    </row>
    <row r="51" ht="14.25" customHeight="1">
      <c r="A51">
        <f>A50+1</f>
        <v>15</v>
      </c>
      <c r="B51" t="str">
        <v>Be cognitive of all existing areas and portions designated to remain as indicated on the drawings, any damage incurred the sole responsibility of the subcontractor to repair.</v>
      </c>
      <c r="C51" t="str">
        <v>Y</v>
      </c>
      <c r="J51" t="str">
        <v>Y</v>
      </c>
      <c r="K51" t="str">
        <v/>
      </c>
      <c r="L51" s="8">
        <v>0</v>
      </c>
      <c r="M51" t="str">
        <v/>
      </c>
      <c r="N51" t="str">
        <v/>
      </c>
      <c r="O51" s="8">
        <v>0</v>
      </c>
      <c r="P51" t="str">
        <v/>
      </c>
      <c r="Q51" t="str">
        <v/>
      </c>
      <c r="R51" s="8">
        <v>0</v>
      </c>
      <c r="S51" t="str">
        <v>Y</v>
      </c>
      <c r="T51" t="str">
        <v/>
      </c>
      <c r="U51" s="8">
        <v>0</v>
      </c>
      <c r="V51" t="str">
        <v/>
      </c>
      <c r="W51" t="str">
        <v/>
      </c>
      <c r="X51" s="8">
        <v>0</v>
      </c>
      <c r="Y51" t="str">
        <v/>
      </c>
      <c r="Z51" t="str">
        <v/>
      </c>
      <c r="AA51" s="8">
        <v>0</v>
      </c>
    </row>
    <row r="52" ht="14.25" customHeight="1">
      <c r="A52">
        <f>A51+1</f>
        <v>16</v>
      </c>
      <c r="B52" t="str">
        <v>Salvage and protect reusable components for future installation or recycling, as directed by the project specifications and/or GC.</v>
      </c>
      <c r="C52" t="str">
        <v>Y</v>
      </c>
      <c r="J52" t="str">
        <v>Y</v>
      </c>
      <c r="K52" t="str">
        <v/>
      </c>
      <c r="L52" s="8">
        <v>0</v>
      </c>
      <c r="M52" t="str">
        <v/>
      </c>
      <c r="N52" t="str">
        <v/>
      </c>
      <c r="O52" s="8">
        <v>0</v>
      </c>
      <c r="P52" t="str">
        <v/>
      </c>
      <c r="Q52" t="str">
        <v/>
      </c>
      <c r="R52" s="8">
        <v>0</v>
      </c>
      <c r="S52" t="str">
        <v>N/A</v>
      </c>
      <c r="T52" t="str">
        <v/>
      </c>
      <c r="U52" s="8">
        <v>0</v>
      </c>
      <c r="V52" t="str">
        <v/>
      </c>
      <c r="W52" t="str">
        <v/>
      </c>
      <c r="X52" s="8">
        <v>0</v>
      </c>
      <c r="Y52" t="str">
        <v/>
      </c>
      <c r="Z52" t="str">
        <v/>
      </c>
      <c r="AA52" s="8">
        <v>0</v>
      </c>
    </row>
    <row r="53" ht="14.25" customHeight="1">
      <c r="A53">
        <f>A52+1</f>
        <v>17</v>
      </c>
      <c r="B53" t="str">
        <v>Salavage of bricks to neat piles for reuse. Cleaning of bricks is by others</v>
      </c>
      <c r="C53" t="str">
        <v>Y</v>
      </c>
      <c r="J53" t="str">
        <v>Y</v>
      </c>
      <c r="K53" t="str">
        <v/>
      </c>
      <c r="L53" s="8">
        <v>0</v>
      </c>
      <c r="M53" t="str">
        <v/>
      </c>
      <c r="N53" t="str">
        <v/>
      </c>
      <c r="O53" s="8">
        <v>0</v>
      </c>
      <c r="P53" t="str">
        <v/>
      </c>
      <c r="Q53" t="str">
        <v/>
      </c>
      <c r="R53" s="8">
        <v>0</v>
      </c>
      <c r="S53" t="str">
        <v>N/A</v>
      </c>
      <c r="T53" t="str">
        <v/>
      </c>
      <c r="U53" s="8">
        <v>0</v>
      </c>
      <c r="V53" t="str">
        <v/>
      </c>
      <c r="W53" t="str">
        <v/>
      </c>
      <c r="X53" s="8">
        <v>0</v>
      </c>
      <c r="Y53" t="str">
        <v/>
      </c>
      <c r="Z53" t="str">
        <v/>
      </c>
      <c r="AA53" s="8">
        <v>0</v>
      </c>
    </row>
    <row r="54" ht="14.25" customHeight="1">
      <c r="A54">
        <f>A53+1</f>
        <v>18</v>
      </c>
      <c r="B54" t="str">
        <v>Coordinate with all trades to ensure safe removal, proper handling, and compliance with site requirements.</v>
      </c>
      <c r="C54" t="str">
        <v>Y</v>
      </c>
      <c r="J54" t="str">
        <v>Y</v>
      </c>
      <c r="K54" t="str">
        <v/>
      </c>
      <c r="L54" s="8">
        <v>0</v>
      </c>
      <c r="M54" t="str">
        <v/>
      </c>
      <c r="N54" t="str">
        <v/>
      </c>
      <c r="O54" s="8">
        <v>0</v>
      </c>
      <c r="P54" t="str">
        <v/>
      </c>
      <c r="Q54" t="str">
        <v/>
      </c>
      <c r="R54" s="8">
        <v>0</v>
      </c>
      <c r="S54" t="str">
        <v>Y</v>
      </c>
      <c r="T54" t="str">
        <v/>
      </c>
      <c r="U54" s="8">
        <v>0</v>
      </c>
      <c r="V54" t="str">
        <v/>
      </c>
      <c r="W54" t="str">
        <v/>
      </c>
      <c r="X54" s="8">
        <v>0</v>
      </c>
      <c r="Y54" t="str">
        <v/>
      </c>
      <c r="Z54" t="str">
        <v/>
      </c>
      <c r="AA54" s="8">
        <v>0</v>
      </c>
    </row>
    <row r="55" ht="14.25" customHeight="1">
      <c r="A55">
        <f>A54+1</f>
        <v>19</v>
      </c>
      <c r="B55" t="str">
        <v>Safe excavation for the Work is the responsibility of this subcontractor. Assume open cut/layback as needed.</v>
      </c>
      <c r="C55" t="str">
        <v>Y</v>
      </c>
      <c r="J55" t="str">
        <v>Y</v>
      </c>
      <c r="K55" t="str">
        <v/>
      </c>
      <c r="L55" s="8">
        <v>0</v>
      </c>
      <c r="M55" t="str">
        <v/>
      </c>
      <c r="N55" t="str">
        <v/>
      </c>
      <c r="O55" s="8">
        <v>0</v>
      </c>
      <c r="P55" t="str">
        <v/>
      </c>
      <c r="Q55" t="str">
        <v/>
      </c>
      <c r="R55" s="8">
        <v>0</v>
      </c>
      <c r="S55" t="str">
        <v>Y</v>
      </c>
      <c r="T55" t="str">
        <v>Demolition contractor to remove foundation walls in coordination with excavation/ lay back / backfill by earthwork</v>
      </c>
      <c r="U55" s="8">
        <v>0</v>
      </c>
      <c r="V55" t="str">
        <v/>
      </c>
      <c r="W55" t="str">
        <v/>
      </c>
      <c r="X55" s="8">
        <v>0</v>
      </c>
      <c r="Y55" t="str">
        <v/>
      </c>
      <c r="Z55" t="str">
        <v/>
      </c>
      <c r="AA55" s="8">
        <v>0</v>
      </c>
    </row>
    <row r="56" ht="14.25" customHeight="1">
      <c r="A56">
        <f>A55+1</f>
        <v>20</v>
      </c>
      <c r="C56" t="str">
        <v>Y</v>
      </c>
      <c r="J56" t="str">
        <v>Y</v>
      </c>
      <c r="S56" t="str">
        <v>Y</v>
      </c>
    </row>
    <row r="57" ht="14.25" customHeight="1">
      <c r="A57">
        <f>A56+1</f>
        <v>21</v>
      </c>
      <c r="B57" t="str">
        <v>STANDARD / GENERAL SCOPE</v>
      </c>
      <c r="C57" t="str">
        <v>Y</v>
      </c>
      <c r="J57" t="str">
        <v>Y</v>
      </c>
      <c r="K57" t="str">
        <v/>
      </c>
      <c r="L57" s="8">
        <v>0</v>
      </c>
      <c r="M57" t="str">
        <v/>
      </c>
      <c r="N57" t="str">
        <v/>
      </c>
      <c r="O57" s="8">
        <v>0</v>
      </c>
      <c r="P57" t="str">
        <v/>
      </c>
      <c r="Q57" t="str">
        <v/>
      </c>
      <c r="R57" s="8">
        <v>0</v>
      </c>
      <c r="S57" t="str">
        <v>Y</v>
      </c>
      <c r="T57" t="str">
        <v/>
      </c>
      <c r="U57" s="8">
        <v>0</v>
      </c>
      <c r="V57" t="str">
        <v/>
      </c>
      <c r="W57" t="str">
        <v/>
      </c>
      <c r="X57" s="8">
        <v>0</v>
      </c>
      <c r="Y57" t="str">
        <v/>
      </c>
      <c r="Z57" t="str">
        <v/>
      </c>
      <c r="AA57" s="8">
        <v>0</v>
      </c>
    </row>
    <row r="58" ht="14.25" customHeight="1">
      <c r="A58">
        <f>A57+1</f>
        <v>22</v>
      </c>
      <c r="B58" t="str">
        <v>Provide all equipment, material, labor, tools, supervision, etc.</v>
      </c>
      <c r="C58" t="str">
        <v>Y</v>
      </c>
      <c r="J58" t="str">
        <v>Y</v>
      </c>
      <c r="K58" t="str">
        <v/>
      </c>
      <c r="L58" s="8">
        <v>0</v>
      </c>
      <c r="M58" t="str">
        <v/>
      </c>
      <c r="N58" t="str">
        <v/>
      </c>
      <c r="O58" s="8">
        <v>0</v>
      </c>
      <c r="P58" t="str">
        <v/>
      </c>
      <c r="Q58" t="str">
        <v/>
      </c>
      <c r="R58" s="8">
        <v>0</v>
      </c>
      <c r="S58" t="str">
        <v>Y</v>
      </c>
      <c r="T58" t="str">
        <v/>
      </c>
      <c r="U58" s="8">
        <v>0</v>
      </c>
      <c r="V58" t="str">
        <v/>
      </c>
      <c r="W58" t="str">
        <v/>
      </c>
      <c r="X58" s="8">
        <v>0</v>
      </c>
      <c r="Y58" t="str">
        <v/>
      </c>
      <c r="Z58" t="str">
        <v/>
      </c>
      <c r="AA58" s="8">
        <v>0</v>
      </c>
    </row>
    <row r="59" ht="14.25" customHeight="1">
      <c r="A59">
        <f>A58+1</f>
        <v>23</v>
      </c>
      <c r="B59" t="str">
        <v>Cooperate with Owner's Soil Testing Agency</v>
      </c>
      <c r="C59" t="str">
        <v>Y</v>
      </c>
      <c r="J59" t="str">
        <v>Y</v>
      </c>
      <c r="K59" t="str">
        <v/>
      </c>
      <c r="L59" s="8">
        <v>0</v>
      </c>
      <c r="M59" t="str">
        <v/>
      </c>
      <c r="N59" t="str">
        <v/>
      </c>
      <c r="O59" s="8">
        <v>0</v>
      </c>
      <c r="P59" t="str">
        <v/>
      </c>
      <c r="Q59" t="str">
        <v/>
      </c>
      <c r="R59" s="8">
        <v>0</v>
      </c>
      <c r="S59" t="str">
        <v>Y</v>
      </c>
      <c r="T59" t="str">
        <v/>
      </c>
      <c r="U59" s="8">
        <v>0</v>
      </c>
      <c r="V59" t="str">
        <v/>
      </c>
      <c r="W59" t="str">
        <v/>
      </c>
      <c r="X59" s="8">
        <v>0</v>
      </c>
      <c r="Y59" t="str">
        <v/>
      </c>
      <c r="Z59" t="str">
        <v/>
      </c>
      <c r="AA59" s="8">
        <v>0</v>
      </c>
    </row>
    <row r="60" ht="14.25" customHeight="1">
      <c r="A60">
        <f>A59+1</f>
        <v>24</v>
      </c>
      <c r="B60" t="str">
        <v>Provide necessary shoring and support for demo Work</v>
      </c>
      <c r="C60" t="str">
        <v>Y</v>
      </c>
      <c r="J60" t="str">
        <v>Y</v>
      </c>
      <c r="K60" t="str">
        <v/>
      </c>
      <c r="L60" s="8">
        <v>0</v>
      </c>
      <c r="M60" t="str">
        <v/>
      </c>
      <c r="N60" t="str">
        <v/>
      </c>
      <c r="O60" s="8">
        <v>0</v>
      </c>
      <c r="P60" t="str">
        <v/>
      </c>
      <c r="Q60" t="str">
        <v/>
      </c>
      <c r="R60" s="8">
        <v>0</v>
      </c>
      <c r="S60" t="str">
        <v>N/A</v>
      </c>
      <c r="T60" t="str">
        <v/>
      </c>
      <c r="U60" s="8">
        <v>0</v>
      </c>
      <c r="V60" t="str">
        <v/>
      </c>
      <c r="W60" t="str">
        <v/>
      </c>
      <c r="X60" s="8">
        <v>0</v>
      </c>
      <c r="Y60" t="str">
        <v/>
      </c>
      <c r="Z60" t="str">
        <v/>
      </c>
      <c r="AA60" s="8">
        <v>0</v>
      </c>
    </row>
    <row r="61" ht="14.25" customHeight="1">
      <c r="A61">
        <f>A60+1</f>
        <v>25</v>
      </c>
      <c r="B61" t="str">
        <v>Multiple mobilizations for the Work.</v>
      </c>
      <c r="C61" t="str">
        <v>Y</v>
      </c>
      <c r="J61" t="str">
        <v>Y</v>
      </c>
      <c r="K61" t="str">
        <v/>
      </c>
      <c r="L61" s="8">
        <v>0</v>
      </c>
      <c r="M61" t="str">
        <v/>
      </c>
      <c r="N61" t="str">
        <v/>
      </c>
      <c r="O61" s="8">
        <v>0</v>
      </c>
      <c r="P61" t="str">
        <v/>
      </c>
      <c r="Q61" t="str">
        <v/>
      </c>
      <c r="R61" s="8">
        <v>0</v>
      </c>
      <c r="S61" t="str">
        <v>Y</v>
      </c>
      <c r="T61" t="str">
        <v>1</v>
      </c>
      <c r="U61" s="8">
        <v>0</v>
      </c>
      <c r="V61" t="str">
        <v/>
      </c>
      <c r="W61" t="str">
        <v/>
      </c>
      <c r="X61" s="8">
        <v>0</v>
      </c>
      <c r="Y61" t="str">
        <v/>
      </c>
      <c r="Z61" t="str">
        <v/>
      </c>
      <c r="AA61" s="8">
        <v>0</v>
      </c>
    </row>
    <row r="62" ht="14.25" customHeight="1">
      <c r="A62">
        <f>A61+1</f>
        <v>26</v>
      </c>
      <c r="B62" t="str">
        <v>Traffic control as required for the Work</v>
      </c>
      <c r="C62" t="str">
        <v>Y</v>
      </c>
      <c r="J62" t="str">
        <v>Y</v>
      </c>
      <c r="K62" t="str">
        <v/>
      </c>
      <c r="L62" s="8">
        <v>0</v>
      </c>
      <c r="M62" t="str">
        <v/>
      </c>
      <c r="N62" t="str">
        <v/>
      </c>
      <c r="O62" s="8">
        <v>0</v>
      </c>
      <c r="P62" t="str">
        <v/>
      </c>
      <c r="Q62" t="str">
        <v/>
      </c>
      <c r="R62" s="8">
        <v>0</v>
      </c>
      <c r="S62" t="str">
        <v>Y</v>
      </c>
      <c r="T62" t="str">
        <v>Flag man nly</v>
      </c>
      <c r="U62" s="8">
        <v>0</v>
      </c>
      <c r="V62" t="str">
        <v/>
      </c>
      <c r="W62" t="str">
        <v/>
      </c>
      <c r="X62" s="8">
        <v>0</v>
      </c>
      <c r="Y62" t="str">
        <v/>
      </c>
      <c r="Z62" t="str">
        <v/>
      </c>
      <c r="AA62" s="8">
        <v>0</v>
      </c>
    </row>
    <row r="63" ht="14.25" customHeight="1">
      <c r="A63">
        <f>A62+1</f>
        <v>27</v>
      </c>
      <c r="B63" t="str">
        <v>Any necessary saw-cutting for the Work</v>
      </c>
      <c r="C63" t="str">
        <v>Y</v>
      </c>
      <c r="J63" t="str">
        <v>Y</v>
      </c>
      <c r="K63" t="str">
        <v/>
      </c>
      <c r="L63" s="8">
        <v>0</v>
      </c>
      <c r="M63" t="str">
        <v/>
      </c>
      <c r="N63" t="str">
        <v/>
      </c>
      <c r="O63" s="8">
        <v>0</v>
      </c>
      <c r="P63" t="str">
        <v/>
      </c>
      <c r="Q63" t="str">
        <v/>
      </c>
      <c r="R63" s="8">
        <v>0</v>
      </c>
      <c r="S63" t="str">
        <v>N/A</v>
      </c>
      <c r="T63" t="str">
        <v/>
      </c>
      <c r="U63" s="8">
        <v>0</v>
      </c>
      <c r="V63" t="str">
        <v/>
      </c>
      <c r="W63" t="str">
        <v/>
      </c>
      <c r="X63" s="8">
        <v>0</v>
      </c>
      <c r="Y63" t="str">
        <v/>
      </c>
      <c r="Z63" t="str">
        <v/>
      </c>
      <c r="AA63" s="8">
        <v>0</v>
      </c>
    </row>
    <row r="64" ht="14.25" customHeight="1">
      <c r="A64">
        <f>A63+1</f>
        <v>28</v>
      </c>
      <c r="B64" t="str">
        <v>Dust control for the Work.</v>
      </c>
      <c r="C64" t="str">
        <v>Y</v>
      </c>
      <c r="J64" t="str">
        <v>Y</v>
      </c>
      <c r="K64" t="str">
        <v/>
      </c>
      <c r="L64" s="8">
        <v>0</v>
      </c>
      <c r="M64" t="str">
        <v/>
      </c>
      <c r="N64" t="str">
        <v/>
      </c>
      <c r="O64" s="8">
        <v>0</v>
      </c>
      <c r="P64" t="str">
        <v/>
      </c>
      <c r="Q64" t="str">
        <v/>
      </c>
      <c r="R64" s="8">
        <v>0</v>
      </c>
      <c r="S64" t="str">
        <v>Y</v>
      </c>
      <c r="T64" t="str">
        <v>Wwater Source by others</v>
      </c>
      <c r="U64" s="8">
        <v>0</v>
      </c>
      <c r="V64" t="str">
        <v/>
      </c>
      <c r="W64" t="str">
        <v/>
      </c>
      <c r="X64" s="8">
        <v>0</v>
      </c>
      <c r="Y64" t="str">
        <v/>
      </c>
      <c r="Z64" t="str">
        <v/>
      </c>
      <c r="AA64" s="8">
        <v>0</v>
      </c>
    </row>
    <row r="65" ht="14.25" customHeight="1">
      <c r="I65" s="8">
        <f>H65*F65</f>
        <v>0</v>
      </c>
    </row>
    <row r="66" ht="14.25" customHeight="1">
      <c r="A66" t="str">
        <v>C</v>
      </c>
      <c r="B66" t="str">
        <v>Exclusions</v>
      </c>
    </row>
    <row r="67" ht="14.25" customHeight="1">
      <c r="A67">
        <v>1</v>
      </c>
      <c r="B67" t="str">
        <v>HAZ MAT remediation</v>
      </c>
      <c r="C67" t="str">
        <v>N</v>
      </c>
      <c r="D67" t="str">
        <v>by others</v>
      </c>
      <c r="J67" t="str">
        <v/>
      </c>
      <c r="K67" t="str">
        <v/>
      </c>
      <c r="L67" s="8">
        <v>0</v>
      </c>
      <c r="M67" t="str">
        <v/>
      </c>
      <c r="N67" t="str">
        <v/>
      </c>
      <c r="O67" s="8">
        <v>0</v>
      </c>
      <c r="P67" t="str">
        <v/>
      </c>
      <c r="Q67" t="str">
        <v/>
      </c>
      <c r="R67" s="8">
        <v>0</v>
      </c>
      <c r="S67" t="str">
        <v/>
      </c>
      <c r="T67" t="str">
        <v/>
      </c>
      <c r="U67" s="8">
        <v>0</v>
      </c>
      <c r="V67" t="str">
        <v/>
      </c>
      <c r="W67" t="str">
        <v/>
      </c>
      <c r="X67" s="8">
        <v>0</v>
      </c>
      <c r="Y67" t="str">
        <v/>
      </c>
      <c r="Z67" t="str">
        <v/>
      </c>
      <c r="AA67" s="8">
        <v>0</v>
      </c>
    </row>
    <row r="68" ht="14.25" customHeight="1">
      <c r="A68">
        <f>A67+1</f>
        <v>2</v>
      </c>
      <c r="B68" t="str">
        <v xml:space="preserve">Cut, Cap and Safe of MEP </v>
      </c>
      <c r="C68" t="str">
        <v>N</v>
      </c>
      <c r="D68" t="str">
        <v>by MEP Subcontractor</v>
      </c>
      <c r="J68" t="str">
        <v/>
      </c>
      <c r="K68" t="str">
        <v/>
      </c>
      <c r="L68" s="8">
        <v>0</v>
      </c>
      <c r="M68" t="str">
        <v/>
      </c>
      <c r="N68" t="str">
        <v/>
      </c>
      <c r="O68" s="8">
        <v>0</v>
      </c>
      <c r="P68" t="str">
        <v/>
      </c>
      <c r="Q68" t="str">
        <v/>
      </c>
      <c r="R68" s="8">
        <v>0</v>
      </c>
      <c r="S68" t="str">
        <v/>
      </c>
      <c r="T68" t="str">
        <v/>
      </c>
      <c r="U68" s="8">
        <v>0</v>
      </c>
      <c r="V68" t="str">
        <v/>
      </c>
      <c r="W68" t="str">
        <v/>
      </c>
      <c r="X68" s="8">
        <v>0</v>
      </c>
      <c r="Y68" t="str">
        <v/>
      </c>
      <c r="Z68" t="str">
        <v/>
      </c>
      <c r="AA68" s="8">
        <v>0</v>
      </c>
    </row>
    <row r="69" ht="14.25" customHeight="1">
      <c r="A69">
        <f>A68+1</f>
        <v>3</v>
      </c>
      <c r="B69" t="str">
        <v>Earthwork</v>
      </c>
      <c r="C69" t="str">
        <v>N</v>
      </c>
      <c r="D69" t="str">
        <v>by others</v>
      </c>
      <c r="J69" t="str">
        <v/>
      </c>
      <c r="K69" t="str">
        <v/>
      </c>
      <c r="L69" s="8">
        <v>0</v>
      </c>
      <c r="M69" t="str">
        <v/>
      </c>
      <c r="N69" t="str">
        <v/>
      </c>
      <c r="O69" s="8">
        <v>0</v>
      </c>
      <c r="P69" t="str">
        <v/>
      </c>
      <c r="Q69" t="str">
        <v/>
      </c>
      <c r="R69" s="8">
        <v>0</v>
      </c>
      <c r="S69" t="str">
        <v/>
      </c>
      <c r="T69" t="str">
        <v/>
      </c>
      <c r="U69" s="8">
        <v>0</v>
      </c>
      <c r="V69" t="str">
        <v/>
      </c>
      <c r="W69" t="str">
        <v/>
      </c>
      <c r="X69" s="8">
        <v>0</v>
      </c>
      <c r="Y69" t="str">
        <v/>
      </c>
      <c r="Z69" t="str">
        <v/>
      </c>
      <c r="AA69" s="8">
        <v>0</v>
      </c>
    </row>
    <row r="70" ht="14.25" customHeight="1">
      <c r="A70">
        <f>A69+1</f>
        <v>4</v>
      </c>
      <c r="B70" t="str">
        <v>Site Demo</v>
      </c>
      <c r="C70" t="str">
        <v>N</v>
      </c>
      <c r="D70" t="str">
        <v>by others</v>
      </c>
      <c r="J70" t="str">
        <v/>
      </c>
      <c r="K70" t="str">
        <v/>
      </c>
      <c r="L70" s="8">
        <v>0</v>
      </c>
      <c r="M70" t="str">
        <v/>
      </c>
      <c r="N70" t="str">
        <v/>
      </c>
      <c r="O70" s="8">
        <v>0</v>
      </c>
      <c r="P70" t="str">
        <v/>
      </c>
      <c r="Q70" t="str">
        <v/>
      </c>
      <c r="R70" s="8">
        <v>0</v>
      </c>
      <c r="S70" t="str">
        <v/>
      </c>
      <c r="T70" t="str">
        <v/>
      </c>
      <c r="U70" s="8">
        <v>0</v>
      </c>
      <c r="V70" t="str">
        <v/>
      </c>
      <c r="W70" t="str">
        <v/>
      </c>
      <c r="X70" s="8">
        <v>0</v>
      </c>
      <c r="Y70" t="str">
        <v/>
      </c>
      <c r="Z70" t="str">
        <v/>
      </c>
      <c r="AA70" s="8">
        <v>0</v>
      </c>
    </row>
    <row r="71" ht="14.25" customHeight="1">
      <c r="A71">
        <f>A70+1</f>
        <v>5</v>
      </c>
      <c r="B71" t="str">
        <v>Tree Protection</v>
      </c>
      <c r="C71" t="str">
        <v>N</v>
      </c>
      <c r="D71" t="str">
        <v>by others</v>
      </c>
      <c r="J71" t="str">
        <v/>
      </c>
      <c r="K71" t="str">
        <v/>
      </c>
      <c r="L71" s="8">
        <v>0</v>
      </c>
      <c r="M71" t="str">
        <v/>
      </c>
      <c r="N71" t="str">
        <v/>
      </c>
      <c r="O71" s="8">
        <v>0</v>
      </c>
      <c r="P71" t="str">
        <v/>
      </c>
      <c r="Q71" t="str">
        <v/>
      </c>
      <c r="R71" s="8">
        <v>0</v>
      </c>
      <c r="S71" t="str">
        <v/>
      </c>
      <c r="T71" t="str">
        <v/>
      </c>
      <c r="U71" s="8">
        <v>0</v>
      </c>
      <c r="V71" t="str">
        <v/>
      </c>
      <c r="W71" t="str">
        <v/>
      </c>
      <c r="X71" s="8">
        <v>0</v>
      </c>
      <c r="Y71" t="str">
        <v/>
      </c>
      <c r="Z71" t="str">
        <v/>
      </c>
      <c r="AA71" s="8">
        <v>0</v>
      </c>
    </row>
    <row r="72" ht="14.25" customHeight="1"/>
    <row r="73" ht="14.25" customHeight="1">
      <c r="A73" t="str">
        <v>D</v>
      </c>
      <c r="B73" t="str">
        <v>Schedule</v>
      </c>
    </row>
    <row r="74" ht="14.25" customHeight="1">
      <c r="A74">
        <v>1</v>
      </c>
      <c r="B74" t="str">
        <v>Meet MCN Schedule</v>
      </c>
      <c r="C74" t="str">
        <v>Y</v>
      </c>
      <c r="J74" t="str">
        <v/>
      </c>
      <c r="K74" t="str">
        <v/>
      </c>
      <c r="L74" s="8">
        <v>0</v>
      </c>
      <c r="M74" t="str">
        <v/>
      </c>
      <c r="N74" t="str">
        <v/>
      </c>
      <c r="O74" s="8">
        <v>0</v>
      </c>
      <c r="P74" t="str">
        <v/>
      </c>
      <c r="Q74" t="str">
        <v/>
      </c>
      <c r="R74" s="8">
        <v>0</v>
      </c>
      <c r="S74" t="str">
        <v/>
      </c>
      <c r="T74" t="str">
        <v/>
      </c>
      <c r="U74" s="8">
        <v>0</v>
      </c>
      <c r="V74" t="str">
        <v/>
      </c>
      <c r="W74" t="str">
        <v/>
      </c>
      <c r="X74" s="8">
        <v>0</v>
      </c>
      <c r="Y74" t="str">
        <v/>
      </c>
      <c r="Z74" t="str">
        <v/>
      </c>
      <c r="AA74" s="8">
        <v>0</v>
      </c>
    </row>
    <row r="75" ht="14.25" customHeight="1">
      <c r="A75">
        <f>A74+1</f>
        <v>2</v>
      </c>
      <c r="B75" t="str">
        <v>Advise of Durations</v>
      </c>
      <c r="J75" t="str">
        <v/>
      </c>
      <c r="K75" t="str">
        <v/>
      </c>
      <c r="L75" s="8">
        <v>0</v>
      </c>
      <c r="M75" t="str">
        <v/>
      </c>
      <c r="N75" t="str">
        <v/>
      </c>
      <c r="O75" s="8">
        <v>0</v>
      </c>
      <c r="P75" t="str">
        <v/>
      </c>
      <c r="Q75" t="str">
        <v/>
      </c>
      <c r="R75" s="8">
        <v>0</v>
      </c>
      <c r="S75" t="str">
        <v/>
      </c>
      <c r="T75" t="str">
        <v/>
      </c>
      <c r="U75" s="8">
        <v>0</v>
      </c>
      <c r="V75" t="str">
        <v/>
      </c>
      <c r="W75" t="str">
        <v/>
      </c>
      <c r="X75" s="8">
        <v>0</v>
      </c>
      <c r="Y75" t="str">
        <v/>
      </c>
      <c r="Z75" t="str">
        <v/>
      </c>
      <c r="AA75" s="8">
        <v>0</v>
      </c>
    </row>
    <row r="76" ht="14.25" customHeight="1">
      <c r="A76">
        <f>A75+1</f>
        <v>3</v>
      </c>
      <c r="C76" t="str">
        <v>---&gt;</v>
      </c>
      <c r="K76" t="str">
        <v>5 weeks</v>
      </c>
      <c r="L76" s="8" t="str">
        <v xml:space="preserve"> total duration</v>
      </c>
    </row>
    <row r="77" ht="14.25" customHeight="1">
      <c r="A77">
        <f>A76+1</f>
        <v>4</v>
      </c>
      <c r="C77" t="str">
        <v>---&gt;</v>
      </c>
    </row>
    <row r="78" ht="14.25" customHeight="1">
      <c r="A78">
        <f>A77+1</f>
        <v>5</v>
      </c>
      <c r="C78" t="str">
        <v>---&gt;</v>
      </c>
    </row>
    <row r="79" ht="14.25" customHeight="1">
      <c r="A79">
        <f>A78+1</f>
        <v>6</v>
      </c>
      <c r="B79" t="str">
        <v>Duration for Submittals and Shop Drawings</v>
      </c>
      <c r="C79" t="str">
        <v>---&gt;</v>
      </c>
      <c r="J79" t="str">
        <v/>
      </c>
      <c r="K79" t="str">
        <v/>
      </c>
      <c r="L79" s="8">
        <v>0</v>
      </c>
      <c r="M79" t="str">
        <v/>
      </c>
      <c r="N79" t="str">
        <v/>
      </c>
      <c r="O79" s="8">
        <v>0</v>
      </c>
      <c r="P79" t="str">
        <v/>
      </c>
      <c r="Q79" t="str">
        <v/>
      </c>
      <c r="R79" s="8">
        <v>0</v>
      </c>
      <c r="S79" t="str">
        <v/>
      </c>
      <c r="T79" t="str">
        <v/>
      </c>
      <c r="U79" s="8">
        <v>0</v>
      </c>
      <c r="V79" t="str">
        <v/>
      </c>
      <c r="W79" t="str">
        <v/>
      </c>
      <c r="X79" s="8">
        <v>0</v>
      </c>
      <c r="Y79" t="str">
        <v/>
      </c>
      <c r="Z79" t="str">
        <v/>
      </c>
      <c r="AA79" s="8">
        <v>0</v>
      </c>
    </row>
    <row r="80" ht="14.25" customHeight="1">
      <c r="A80">
        <f>A79+1</f>
        <v>7</v>
      </c>
      <c r="B80" t="str">
        <v>Advise of Lead Times:</v>
      </c>
      <c r="J80" t="str">
        <v/>
      </c>
      <c r="K80" t="str">
        <v/>
      </c>
      <c r="L80" s="8">
        <v>0</v>
      </c>
      <c r="M80" t="str">
        <v/>
      </c>
      <c r="N80" t="str">
        <v/>
      </c>
      <c r="O80" s="8">
        <v>0</v>
      </c>
      <c r="P80" t="str">
        <v/>
      </c>
      <c r="Q80" t="str">
        <v/>
      </c>
      <c r="R80" s="8">
        <v>0</v>
      </c>
      <c r="S80" t="str">
        <v/>
      </c>
      <c r="T80" t="str">
        <v/>
      </c>
      <c r="U80" s="8">
        <v>0</v>
      </c>
      <c r="V80" t="str">
        <v/>
      </c>
      <c r="W80" t="str">
        <v/>
      </c>
      <c r="X80" s="8">
        <v>0</v>
      </c>
      <c r="Y80" t="str">
        <v/>
      </c>
      <c r="Z80" t="str">
        <v/>
      </c>
      <c r="AA80" s="8">
        <v>0</v>
      </c>
    </row>
    <row r="81" ht="14.25" customHeight="1">
      <c r="A81">
        <f>A80+1</f>
        <v>8</v>
      </c>
      <c r="C81" t="str">
        <v>---&gt;</v>
      </c>
    </row>
    <row r="82" ht="14.25" customHeight="1">
      <c r="A82">
        <f>A81+1</f>
        <v>9</v>
      </c>
      <c r="C82" t="str">
        <v>---&gt;</v>
      </c>
    </row>
    <row r="83" ht="14.25" customHeight="1">
      <c r="A83">
        <f>A82+1</f>
        <v>10</v>
      </c>
      <c r="C83" t="str">
        <v>---&gt;</v>
      </c>
    </row>
    <row r="84" ht="14.25" customHeight="1"/>
    <row r="85" ht="14.25" customHeight="1"/>
    <row r="86" ht="14.25" customHeight="1">
      <c r="B86" t="str">
        <v>Allowances</v>
      </c>
    </row>
    <row r="87" ht="14.25" customHeight="1">
      <c r="A87">
        <v>1</v>
      </c>
    </row>
    <row r="88" ht="14.25" customHeight="1">
      <c r="A88">
        <f>A87+1</f>
        <v>2</v>
      </c>
    </row>
    <row r="89" ht="14.25" customHeight="1">
      <c r="A89">
        <f>A88+1</f>
        <v>3</v>
      </c>
    </row>
    <row r="90" ht="14.25" customHeight="1">
      <c r="A90">
        <f>A89+1</f>
        <v>4</v>
      </c>
    </row>
    <row r="91" ht="14.25" customHeight="1"/>
    <row r="92" ht="14.25" customHeight="1"/>
    <row r="93" ht="14.25" customHeight="1">
      <c r="B93" t="str">
        <v>Alternates</v>
      </c>
    </row>
    <row r="94" ht="14.25" customHeight="1">
      <c r="A94">
        <v>1</v>
      </c>
      <c r="C94" t="str">
        <v>#</v>
      </c>
    </row>
    <row r="95" ht="14.25" customHeight="1">
      <c r="A95">
        <f>A94+1</f>
        <v>2</v>
      </c>
      <c r="C95" t="str">
        <v>#</v>
      </c>
    </row>
    <row r="96" ht="14.25" customHeight="1">
      <c r="A96">
        <f>A95+1</f>
        <v>3</v>
      </c>
      <c r="C96" t="str">
        <v>#</v>
      </c>
    </row>
    <row r="97" ht="14.25" customHeight="1">
      <c r="A97">
        <f>A96+1</f>
        <v>4</v>
      </c>
      <c r="C97" t="str">
        <v>#</v>
      </c>
    </row>
    <row r="98" ht="14.25" customHeight="1">
      <c r="C98" t="str">
        <v>#</v>
      </c>
    </row>
    <row r="99" ht="14.25" customHeight="1">
      <c r="B99" t="str">
        <v>Unit Prices</v>
      </c>
    </row>
    <row r="100" ht="14.25" customHeight="1">
      <c r="A100">
        <v>1</v>
      </c>
      <c r="C100" t="str">
        <v>#</v>
      </c>
    </row>
    <row r="101" ht="14.25" customHeight="1">
      <c r="A101">
        <f>A100+1</f>
        <v>2</v>
      </c>
      <c r="C101" t="str">
        <v>#</v>
      </c>
    </row>
    <row r="102" ht="14.25" customHeight="1">
      <c r="A102">
        <f>A101+1</f>
        <v>3</v>
      </c>
      <c r="C102" t="str">
        <v>#</v>
      </c>
    </row>
    <row r="103" ht="14.25" customHeight="1">
      <c r="A103">
        <f>A102+1</f>
        <v>4</v>
      </c>
      <c r="C103" t="str">
        <v>#</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F11:I11"/>
    <mergeCell ref="A12:B12"/>
    <mergeCell ref="N1:O1"/>
    <mergeCell ref="N2:O2"/>
    <mergeCell ref="K3:L3"/>
    <mergeCell ref="N3:O3"/>
    <mergeCell ref="K4:L4"/>
    <mergeCell ref="N4:O4"/>
    <mergeCell ref="Q4:R4"/>
  </mergeCells>
  <hyperlinks>
    <hyperlink ref="F2" location="'Bid Sheet'!A1"/>
    <hyperlink ref="Q2" r:id="rId1"/>
    <hyperlink ref="K3" r:id="rId2"/>
    <hyperlink ref="N3" r:id="rId3"/>
    <hyperlink ref="B8" r:id="rId4"/>
  </hyperlinks>
  <pageMargins left="0.7" right="0.7" top="0.25" bottom="0.75" header="0" footer="0"/>
  <ignoredErrors>
    <ignoredError numberStoredAsText="1" sqref="A1:AP1000"/>
  </ignoredErrors>
</worksheet>
</file>

<file path=xl/worksheets/sheet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1"/>
    <col min="6" max="6" customWidth="1" width="10.29" hidden="true" level="1" outlineLevel="1"/>
    <col min="7" max="7" customWidth="1" width="5.43" hidden="true" level="1" outlineLevel="1"/>
    <col min="8" max="8" customWidth="1" width="9.14" hidden="true" level="1" outlineLevel="1"/>
    <col min="9" max="9" customWidth="1" width="14.29"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LA Howard</v>
      </c>
      <c r="N1" t="str">
        <v>Blackwood of DC</v>
      </c>
      <c r="Q1" t="str">
        <v>Alcoa</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Lazerrick Howard</v>
      </c>
      <c r="N2" t="str">
        <v>Dan Amaro</v>
      </c>
      <c r="Q2" t="str">
        <v>Rahi</v>
      </c>
      <c r="T2" t="str">
        <v>Name</v>
      </c>
      <c r="W2" t="str">
        <v>Name</v>
      </c>
      <c r="Z2" t="str">
        <v>Name</v>
      </c>
      <c r="AC2" t="str">
        <v>Name</v>
      </c>
      <c r="AH2" t="str">
        <v>MCN</v>
      </c>
      <c r="AM2" s="8">
        <f>I9</f>
        <v>0</v>
      </c>
    </row>
    <row r="3" ht="14.25" customHeight="1" outlineLevel="1">
      <c r="I3" t="str">
        <v>Email:</v>
      </c>
      <c r="K3" t="str">
        <v>lahowardconstruction@msn.com</v>
      </c>
      <c r="N3" t="str">
        <v xml:space="preserve">damaro@blackwood-dc.com </v>
      </c>
      <c r="Q3" t="str">
        <v>rahi@alcoacm.com</v>
      </c>
      <c r="T3" t="str">
        <v>Email</v>
      </c>
      <c r="W3" t="str">
        <v>Email</v>
      </c>
      <c r="Z3" t="str">
        <v>Email</v>
      </c>
      <c r="AC3" t="str">
        <v>Email</v>
      </c>
      <c r="AH3">
        <v>1</v>
      </c>
      <c r="AI3" t="str">
        <f>IFNA(INDEX($K$1:$AE$1,1,MATCH($AH3,$K$10:$AE$10,0)),"")</f>
        <v>Alcoa</v>
      </c>
      <c r="AJ3" s="3">
        <f t="array" ref="AJ3">IFNA(INDEX($K$6:$AE$6,1,MATCH($AH3,$K$10:$AE$10,0)+1),"")</f>
        <v>1301239.52</v>
      </c>
      <c r="AK3" s="3">
        <f t="array" ref="AK3">IFNA(INDEX($K$7:$AE$7,1,MATCH($AH3,$K$10:$AE$10,0)+1),"")</f>
        <v>215315</v>
      </c>
      <c r="AL3" s="3">
        <f t="array" ref="AL3">IFNA(INDEX($K$8:$AE$8,1,MATCH($AH3,$K$10:$AE$10,0)+1),"")</f>
        <v>30331.0904</v>
      </c>
      <c r="AM3" s="3">
        <f t="array" ref="AM3">IFNA(INDEX($K$9:$AE$9,1,MATCH($AH3,$K$10:$AE$10,0)+1),"")</f>
        <v>1546885.61</v>
      </c>
      <c r="AO3" s="9">
        <f>IFERROR(AN3*AM3,0)</f>
        <v>0</v>
      </c>
    </row>
    <row r="4" ht="14.25" customHeight="1" outlineLevel="1">
      <c r="A4" t="str">
        <v>Trade:</v>
      </c>
      <c r="B4" t="str">
        <v>03 - CONCRETE</v>
      </c>
      <c r="I4" t="str">
        <v>Phone:</v>
      </c>
      <c r="K4" t="str">
        <v>202-543-5399</v>
      </c>
      <c r="N4" t="str">
        <v>771-215-9514</v>
      </c>
      <c r="Q4" t="str">
        <v>(240) 505-6913</v>
      </c>
      <c r="T4" t="str">
        <v>Number</v>
      </c>
      <c r="W4" t="str">
        <v>Number</v>
      </c>
      <c r="Z4" t="str">
        <v>Number</v>
      </c>
      <c r="AC4" t="str">
        <v>Number</v>
      </c>
      <c r="AH4">
        <v>2</v>
      </c>
      <c r="AI4" t="str">
        <f>IFNA(INDEX($K$1:$AE$1,1,MATCH($AH4,$K$10:$AE$10,0)),"")</f>
        <v>LA Howard</v>
      </c>
      <c r="AJ4" s="3">
        <f t="array" ref="AJ4">IFNA(INDEX($K$6:$AE$6,1,MATCH($AH4,$K$10:$AE$10,0)+1),"")</f>
        <v>1528643</v>
      </c>
      <c r="AK4" s="3">
        <f t="array" ref="AK4">IFNA(INDEX($K$7:$AE$7,1,MATCH($AH4,$K$10:$AE$10,0)+1),"")</f>
        <v>229950</v>
      </c>
      <c r="AL4" s="3">
        <f t="array" ref="AL4">IFNA(INDEX($K$8:$AE$8,1,MATCH($AH4,$K$10:$AE$10,0)+1),"")</f>
        <v>35171.86</v>
      </c>
      <c r="AM4" s="3">
        <f t="array" ref="AM4">IFNA(INDEX($K$9:$AE$9,1,MATCH($AH4,$K$10:$AE$10,0)+1),"")</f>
        <v>1793764.86</v>
      </c>
      <c r="AO4" s="9">
        <f>IFERROR(AN4*AM4,0)</f>
        <v>0</v>
      </c>
    </row>
    <row r="5" ht="14.25" customHeight="1" outlineLevel="1">
      <c r="A5" t="str">
        <v>Rev/Date:</v>
      </c>
      <c r="B5" t="str">
        <v>Date Issued 01-26-2026</v>
      </c>
      <c r="C5" t="str">
        <v>Bidder:</v>
      </c>
      <c r="K5" t="str">
        <v>Level Scope?</v>
      </c>
      <c r="L5" s="4" t="str">
        <v>FULL SCOPE</v>
      </c>
      <c r="N5" t="str">
        <v>Level Scope?</v>
      </c>
      <c r="O5" s="4" t="str">
        <v>FULL SCOPE</v>
      </c>
      <c r="Q5" t="str">
        <v>Level Scope?</v>
      </c>
      <c r="R5" s="4" t="str">
        <v>FULL SCOPE</v>
      </c>
      <c r="T5" t="str">
        <v>Level Scope?</v>
      </c>
      <c r="U5" s="4" t="str">
        <v>NO</v>
      </c>
      <c r="W5" t="str">
        <v>Level Scope?</v>
      </c>
      <c r="X5" s="4" t="str">
        <v>NO</v>
      </c>
      <c r="Z5" t="str">
        <v>Level Scope?</v>
      </c>
      <c r="AA5" s="4" t="str">
        <v>NO</v>
      </c>
      <c r="AC5" t="str">
        <v>Level Scope?</v>
      </c>
      <c r="AD5" s="4" t="str">
        <v>NO</v>
      </c>
      <c r="AH5">
        <v>3</v>
      </c>
      <c r="AI5" t="str">
        <f>IFNA(INDEX($K$1:$AE$1,1,MATCH($AH5,$K$10:$AE$10,0)),"")</f>
        <v>Blackwood of DC</v>
      </c>
      <c r="AJ5" s="3">
        <f t="array" ref="AJ5">IFNA(INDEX($K$6:$AE$6,1,MATCH($AH5,$K$10:$AE$10,0)+1),"")</f>
        <v>1037365</v>
      </c>
      <c r="AK5" s="3">
        <f t="array" ref="AK5">IFNA(INDEX($K$7:$AE$7,1,MATCH($AH5,$K$10:$AE$10,0)+1),"")</f>
        <v>760259</v>
      </c>
      <c r="AL5" s="3">
        <f t="array" ref="AL5">IFNA(INDEX($K$8:$AE$8,1,MATCH($AH5,$K$10:$AE$10,0)+1),"")</f>
        <v>35952.48</v>
      </c>
      <c r="AM5" s="3">
        <f t="array" ref="AM5">IFNA(INDEX($K$9:$AE$9,1,MATCH($AH5,$K$10:$AE$10,0)+1),"")</f>
        <v>1833576.48</v>
      </c>
      <c r="AO5" s="9">
        <f>IFERROR(AN5*AM5,0)</f>
        <v>0</v>
      </c>
    </row>
    <row r="6" ht="14.25" customHeight="1" outlineLevel="1">
      <c r="K6" t="str">
        <v>Base Bid:</v>
      </c>
      <c r="L6" s="4">
        <v>1528643</v>
      </c>
      <c r="N6" t="str">
        <v>Base Bid:</v>
      </c>
      <c r="O6" s="4">
        <v>1037365</v>
      </c>
      <c r="Q6" t="str">
        <v>Base Bid:</v>
      </c>
      <c r="R6" s="4">
        <v>1301239.52</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Vaibhav Jain</v>
      </c>
      <c r="C7" t="str">
        <v>Contact:</v>
      </c>
      <c r="G7" s="8" t="str">
        <v>| MCN Budget</v>
      </c>
      <c r="I7" s="8">
        <f>SUM(I20:I137,I13:I18)</f>
        <v>0</v>
      </c>
      <c r="K7" t="str">
        <v>Adjustments:</v>
      </c>
      <c r="L7" s="4">
        <f>SUM(L13:L18,L20:L137)</f>
        <v>229950</v>
      </c>
      <c r="N7" t="str">
        <v>Adjustments:</v>
      </c>
      <c r="O7" s="4">
        <f>SUM(O13:O18,O20:O137)</f>
        <v>760259</v>
      </c>
      <c r="Q7" t="str">
        <v>Adjustments:</v>
      </c>
      <c r="R7" s="4">
        <f>SUM(R13:R18,R20:R137)</f>
        <v>215315</v>
      </c>
      <c r="T7" t="str">
        <v>Adjustments:</v>
      </c>
      <c r="U7" s="4">
        <f>SUM(U13:U18,U20:U137)</f>
        <v>0</v>
      </c>
      <c r="W7" t="str">
        <v>Adjustments:</v>
      </c>
      <c r="X7" s="4">
        <f>SUM(X13:X18,X20:X137)</f>
        <v>0</v>
      </c>
      <c r="Z7" t="str">
        <v>Adjustments:</v>
      </c>
      <c r="AA7" s="4">
        <f>SUM(AA13:AA18,AA20:AA137)</f>
        <v>0</v>
      </c>
      <c r="AC7" t="str">
        <v>Adjustments:</v>
      </c>
      <c r="AD7" s="4">
        <f>SUM(AD13:AD18,AD20:AD137)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vaibhav.jain@mcnbuild.com</v>
      </c>
      <c r="C8" t="str">
        <v>Email:</v>
      </c>
      <c r="F8" s="10">
        <v>0.02</v>
      </c>
      <c r="G8" s="8" t="str">
        <v>| Bond</v>
      </c>
      <c r="I8" s="8">
        <f>F8*I7</f>
        <v>0</v>
      </c>
      <c r="J8" s="10">
        <v>0.02</v>
      </c>
      <c r="K8" t="str">
        <v>Bond:</v>
      </c>
      <c r="L8" s="4">
        <f>J8*SUM(L6:L7)</f>
        <v>35171.86</v>
      </c>
      <c r="M8" s="10">
        <v>0.02</v>
      </c>
      <c r="N8" t="str">
        <v>Bond:</v>
      </c>
      <c r="O8" s="4">
        <f>M8*SUM(O6:O7)</f>
        <v>35952.48</v>
      </c>
      <c r="P8" s="10">
        <v>0.02</v>
      </c>
      <c r="Q8" t="str">
        <v>Bond:</v>
      </c>
      <c r="R8" s="4">
        <f>P8*SUM(R6:R7)</f>
        <v>30331.0904</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202-494-1156</v>
      </c>
      <c r="C9" t="str">
        <v>Phone:</v>
      </c>
      <c r="G9" t="str">
        <v>-----</v>
      </c>
      <c r="H9" s="8" t="str">
        <v xml:space="preserve">  --------&gt;</v>
      </c>
      <c r="I9" s="8">
        <f>SUM(I7:I8)</f>
        <v>0</v>
      </c>
      <c r="K9" t="str">
        <v>Total Bid:</v>
      </c>
      <c r="L9" s="4">
        <f>IF(L5="FULL SCOPE",SUM(L6:L8),"not level")</f>
        <v>1793764.86</v>
      </c>
      <c r="N9" t="str">
        <v>Total Bid:</v>
      </c>
      <c r="O9" s="4">
        <f>IF(O5="FULL SCOPE",SUM(O6:O8),"not level")</f>
        <v>1833576.48</v>
      </c>
      <c r="Q9" t="str">
        <v>Total Bid:</v>
      </c>
      <c r="R9" s="4">
        <f>IF(R5="FULL SCOPE",SUM(R6:R8),"not level")</f>
        <v>1546885.61</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3</v>
      </c>
      <c r="Q10">
        <f>IF(R5="NO","INCOMPLETE",RANK.EQ(R9,$L$9:$AE$9,1))</f>
        <v>1</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1528643</v>
      </c>
      <c r="O19" s="8">
        <f>O6</f>
        <v>1037365</v>
      </c>
      <c r="R19" s="8">
        <f>R6</f>
        <v>1301239.52</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 xml:space="preserve">Pool Structure </v>
      </c>
      <c r="C23" t="str">
        <v>#</v>
      </c>
      <c r="D23" t="str">
        <v>$</v>
      </c>
      <c r="I23" s="8">
        <f>H23*F23</f>
        <v>0</v>
      </c>
    </row>
    <row r="24" ht="14.25" customHeight="1">
      <c r="A24">
        <f>A23+1</f>
        <v>6</v>
      </c>
      <c r="B24" t="str">
        <v>Geo Vault</v>
      </c>
      <c r="C24" t="str">
        <v>#</v>
      </c>
      <c r="D24" t="str">
        <v>$</v>
      </c>
      <c r="I24" s="8">
        <f>H24*F24</f>
        <v>0</v>
      </c>
    </row>
    <row r="25" ht="14.25" customHeight="1">
      <c r="A25">
        <f>A23+1</f>
        <v>6</v>
      </c>
      <c r="I25" s="8">
        <f>H25*F25</f>
        <v>0</v>
      </c>
    </row>
    <row r="26" ht="14.25" customHeight="1">
      <c r="A26">
        <f>A25+1</f>
        <v>7</v>
      </c>
      <c r="B26" t="str">
        <v>Key Quantity Breakdown</v>
      </c>
      <c r="I26" s="8">
        <f>H26*F26</f>
        <v>0</v>
      </c>
    </row>
    <row r="27" ht="14.25" customHeight="1">
      <c r="A27">
        <f>A26+1</f>
        <v>8</v>
      </c>
      <c r="B27" t="str">
        <v xml:space="preserve">Foundation and Footing </v>
      </c>
      <c r="C27" t="str">
        <v>#</v>
      </c>
      <c r="D27" t="str">
        <v>CY</v>
      </c>
      <c r="I27" s="8">
        <f>H27*F27</f>
        <v>0</v>
      </c>
    </row>
    <row r="28" ht="14.25" customHeight="1">
      <c r="A28">
        <f>A27+1</f>
        <v>9</v>
      </c>
      <c r="B28" t="str">
        <v>SOG</v>
      </c>
      <c r="C28" t="str">
        <v>#</v>
      </c>
      <c r="D28" t="str">
        <v>SF</v>
      </c>
      <c r="I28" s="8">
        <f>H28*F28</f>
        <v>0</v>
      </c>
    </row>
    <row r="29" ht="14.25" customHeight="1">
      <c r="A29">
        <f>A28+1</f>
        <v>10</v>
      </c>
      <c r="B29" t="str">
        <v>SOMD</v>
      </c>
      <c r="C29" t="str">
        <v>#</v>
      </c>
      <c r="D29" t="str">
        <v>SF</v>
      </c>
      <c r="I29" s="8">
        <f>H29*F29</f>
        <v>0</v>
      </c>
    </row>
    <row r="30" ht="14.25" customHeight="1">
      <c r="I30" s="8">
        <f>H30*F30</f>
        <v>0</v>
      </c>
    </row>
    <row r="31" ht="14.25" customHeight="1">
      <c r="B31" t="str">
        <v>Section 3 - Scope of Work</v>
      </c>
    </row>
    <row r="32" ht="14.25" customHeight="1">
      <c r="B32" t="str">
        <v>Furnish and Install All Items UON</v>
      </c>
      <c r="C32" t="str">
        <v>Y</v>
      </c>
    </row>
    <row r="33" ht="14.25" customHeight="1">
      <c r="A33" t="str">
        <v>A</v>
      </c>
      <c r="B33" t="str">
        <v>Specifications</v>
      </c>
    </row>
    <row r="34" ht="14.25" customHeight="1">
      <c r="B34" t="str">
        <v>Division 01 - General Requirements</v>
      </c>
      <c r="C34" t="str">
        <v>Y</v>
      </c>
    </row>
    <row r="35" ht="14.25" customHeight="1">
      <c r="B35" t="str">
        <v>031000 - CONCRETE FORMING AND ACCESSORIES</v>
      </c>
      <c r="C35" t="str">
        <v>Y</v>
      </c>
    </row>
    <row r="36" ht="14.25" customHeight="1">
      <c r="B36" t="str">
        <v>032000 - CONCRETE REINFORCING</v>
      </c>
      <c r="C36" t="str">
        <v>Y</v>
      </c>
    </row>
    <row r="37" ht="14.25" customHeight="1">
      <c r="B37" t="str">
        <v>033000 - CAST-IN-PLACE CONCRETE</v>
      </c>
      <c r="C37" t="str">
        <v>Y</v>
      </c>
    </row>
    <row r="38" ht="14.25" customHeight="1">
      <c r="B38" t="str">
        <v xml:space="preserve">035300 - CONCRETE TOPPING </v>
      </c>
      <c r="C38" t="str">
        <v>Y</v>
      </c>
    </row>
    <row r="39" ht="14.25" customHeight="1">
      <c r="B39" t="str">
        <v>Geotech Report ID # by Engineer dated YYYY-MM-DD</v>
      </c>
      <c r="C39" t="str">
        <v>Y</v>
      </c>
    </row>
    <row r="40" ht="14.25" customHeight="1">
      <c r="A40" t="str">
        <v>B</v>
      </c>
      <c r="B40" t="str">
        <v>Inclusions</v>
      </c>
    </row>
    <row r="41" ht="14.25" customHeight="1">
      <c r="A41">
        <v>1</v>
      </c>
      <c r="B41" t="str">
        <v>Use this scope as a reference only. This scope was made to highlight major parts of the scope of work. Please provide pricing for a full scope of work based off the Plans and Specifications provided.</v>
      </c>
      <c r="C41" t="str">
        <v>Y</v>
      </c>
      <c r="I41" s="8">
        <f>H41*F41</f>
        <v>0</v>
      </c>
      <c r="J41" t="str">
        <v>Y</v>
      </c>
      <c r="M41" t="str">
        <v>Y</v>
      </c>
      <c r="P41" t="str">
        <v>Y</v>
      </c>
    </row>
    <row r="42" ht="14.25" customHeight="1">
      <c r="A42">
        <f>A41+1</f>
        <v>2</v>
      </c>
      <c r="B42" t="str">
        <v>SPECIFIC SCOPE ITEMS</v>
      </c>
      <c r="C42" t="str">
        <v>Y</v>
      </c>
      <c r="I42" s="8">
        <f>H42*F42</f>
        <v>0</v>
      </c>
      <c r="J42" t="str">
        <v>Y</v>
      </c>
      <c r="M42" t="str">
        <v>Y</v>
      </c>
      <c r="P42" t="str">
        <v>Y</v>
      </c>
    </row>
    <row r="43" ht="14.25" customHeight="1">
      <c r="A43">
        <f>A42+1</f>
        <v>3</v>
      </c>
      <c r="B43" t="str">
        <v>All cast-in-place concrete within the building footprint to include mats, footings, grade beams, walls, pits,  columns, piers, SOG, elevated slabs, topping slabs, beams, slab folds, drop heads, stairs, pads, curbs, etc. shown on the drawings to the lines and grades indicated</v>
      </c>
      <c r="C43" t="str">
        <v>Y</v>
      </c>
      <c r="I43" s="8">
        <f>H43*F43</f>
        <v>0</v>
      </c>
      <c r="J43" t="str">
        <v>Y</v>
      </c>
      <c r="M43" t="str">
        <v>Y</v>
      </c>
      <c r="P43" t="str">
        <v>Y</v>
      </c>
    </row>
    <row r="44" ht="14.25" customHeight="1">
      <c r="A44">
        <f>A43+1</f>
        <v>4</v>
      </c>
      <c r="B44" t="str">
        <v>Form to profiles indicated, strip &amp; reshore - designed &amp; engineered w/PE stamp</v>
      </c>
      <c r="C44" t="str">
        <v>Y</v>
      </c>
      <c r="I44" s="8">
        <f>H44*F44</f>
        <v>0</v>
      </c>
      <c r="J44" t="str">
        <v>Y</v>
      </c>
      <c r="M44" t="str">
        <v>Y</v>
      </c>
      <c r="P44" t="str">
        <v>Y</v>
      </c>
    </row>
    <row r="45" ht="14.25" customHeight="1">
      <c r="A45">
        <f>A44+1</f>
        <v>5</v>
      </c>
      <c r="B45" t="str">
        <v xml:space="preserve">Supply &amp; place ready-mix; incl. admixtures </v>
      </c>
      <c r="C45" t="str">
        <v>Y</v>
      </c>
      <c r="I45" s="8">
        <f>H45*F45</f>
        <v>0</v>
      </c>
      <c r="J45" t="str">
        <v>Y</v>
      </c>
      <c r="M45" t="str">
        <v>Y</v>
      </c>
      <c r="P45" t="str">
        <v>Y</v>
      </c>
    </row>
    <row r="46" ht="14.25" customHeight="1">
      <c r="A46">
        <f>A45+1</f>
        <v>6</v>
      </c>
      <c r="B46" t="str">
        <v>Excavation from SOG subgrade for all footings, grade beams &amp; pits.</v>
      </c>
      <c r="C46" t="str">
        <v>Y</v>
      </c>
      <c r="I46" s="8">
        <f>H46*F46</f>
        <v>0</v>
      </c>
      <c r="J46" t="str">
        <v>Y</v>
      </c>
      <c r="M46" t="str">
        <v>Y</v>
      </c>
      <c r="P46" t="str">
        <v>Y</v>
      </c>
    </row>
    <row r="47" ht="14.25" customHeight="1">
      <c r="A47">
        <f>A46+1</f>
        <v>7</v>
      </c>
      <c r="B47" t="str">
        <v xml:space="preserve">Excavation for footings. </v>
      </c>
      <c r="C47" t="str">
        <v>Y</v>
      </c>
      <c r="I47" s="8">
        <f>H47*F47</f>
        <v>0</v>
      </c>
      <c r="J47" t="str">
        <v>Y</v>
      </c>
      <c r="M47" t="str">
        <v>Y</v>
      </c>
      <c r="P47" t="str">
        <v>Y</v>
      </c>
    </row>
    <row r="48" ht="14.25" customHeight="1">
      <c r="A48">
        <f>A47+1</f>
        <v>8</v>
      </c>
      <c r="B48" t="str">
        <v xml:space="preserve">Bench excavations per OSHA requirements </v>
      </c>
      <c r="C48" t="str">
        <v>Y</v>
      </c>
      <c r="I48" s="8">
        <f>H48*F48</f>
        <v>0</v>
      </c>
      <c r="J48" t="str">
        <v>Y</v>
      </c>
      <c r="M48" t="str">
        <v>Y</v>
      </c>
      <c r="P48" t="str">
        <v>Y</v>
      </c>
    </row>
    <row r="49" ht="14.25" customHeight="1">
      <c r="A49">
        <f>A48+1</f>
        <v>9</v>
      </c>
      <c r="B49" t="str">
        <v>Backfill and compaction to SOG subgrade after pour</v>
      </c>
      <c r="C49" t="str">
        <v>Y</v>
      </c>
      <c r="I49" s="8">
        <f>H49*F49</f>
        <v>0</v>
      </c>
      <c r="J49" t="str">
        <v>Y</v>
      </c>
      <c r="M49" t="str">
        <v>Y</v>
      </c>
      <c r="P49" t="str">
        <v>Y</v>
      </c>
    </row>
    <row r="50" ht="14.25" customHeight="1">
      <c r="A50">
        <f>A49+1</f>
        <v>10</v>
      </c>
      <c r="B50" t="str">
        <v>Locate spoils in a central location for removal from site by others</v>
      </c>
      <c r="C50" t="str">
        <v>Y</v>
      </c>
      <c r="I50" s="8">
        <f>H50*F50</f>
        <v>0</v>
      </c>
      <c r="J50" t="str">
        <v>Y</v>
      </c>
      <c r="M50" t="str">
        <v>Y</v>
      </c>
      <c r="P50" t="str">
        <v>Y</v>
      </c>
    </row>
    <row r="51" ht="14.25" customHeight="1">
      <c r="A51">
        <f>A50+1</f>
        <v>11</v>
      </c>
      <c r="B51" t="str">
        <v>Advise of spoil quantity to be disposed of ________CY.</v>
      </c>
      <c r="C51" t="str">
        <v>Y</v>
      </c>
      <c r="I51" s="8">
        <f>H51*F51</f>
        <v>0</v>
      </c>
      <c r="J51" t="str">
        <v>Y</v>
      </c>
      <c r="M51" t="str">
        <v>Y</v>
      </c>
      <c r="P51" t="str">
        <v>Y</v>
      </c>
    </row>
    <row r="52" ht="14.25" customHeight="1">
      <c r="A52">
        <f>A51+1</f>
        <v>12</v>
      </c>
      <c r="B52" t="str">
        <v>Fine grading for the Work from +/- 0.2’ of design subgrade (of slab-on-grade).</v>
      </c>
      <c r="C52" t="str">
        <v>Y</v>
      </c>
      <c r="I52" s="8">
        <f>H52*F52</f>
        <v>0</v>
      </c>
      <c r="J52" t="str">
        <v>Y</v>
      </c>
      <c r="M52" t="str">
        <v>Y</v>
      </c>
      <c r="P52" t="str">
        <v>Y</v>
      </c>
    </row>
    <row r="53" ht="14.25" customHeight="1">
      <c r="A53">
        <f>A52+1</f>
        <v>13</v>
      </c>
      <c r="B53" t="str">
        <v>Concrete Work as indicated on the Contract Documents, including but not limited to the following.</v>
      </c>
      <c r="C53" t="str">
        <v>Y</v>
      </c>
      <c r="I53" s="8">
        <f>H53*F53</f>
        <v>0</v>
      </c>
      <c r="J53" t="str">
        <v>Y</v>
      </c>
      <c r="M53" t="str">
        <v>Y</v>
      </c>
      <c r="P53" t="str">
        <v>Y</v>
      </c>
    </row>
    <row r="54" ht="14.25" customHeight="1">
      <c r="A54">
        <f>A53+1</f>
        <v>14</v>
      </c>
      <c r="B54" t="str">
        <v>Wall and column footing, grade beam and piers.</v>
      </c>
      <c r="C54" t="str">
        <v>Y</v>
      </c>
      <c r="I54" s="8">
        <f>H54*F54</f>
        <v>0</v>
      </c>
      <c r="J54" t="str">
        <v>Y</v>
      </c>
      <c r="M54" t="str">
        <v>Y</v>
      </c>
      <c r="P54" t="str">
        <v>Y</v>
      </c>
    </row>
    <row r="55" ht="14.25" customHeight="1">
      <c r="A55">
        <f>A54+1</f>
        <v>15</v>
      </c>
      <c r="B55" t="str">
        <v>Spread footing, refer schedule on S101</v>
      </c>
      <c r="C55" t="str">
        <v>Y</v>
      </c>
      <c r="I55" s="8">
        <f>H55*F55</f>
        <v>0</v>
      </c>
      <c r="J55" t="str">
        <v>Y</v>
      </c>
      <c r="M55" t="str">
        <v>Y</v>
      </c>
      <c r="P55" t="str">
        <v>Y</v>
      </c>
    </row>
    <row r="56" ht="14.25" customHeight="1">
      <c r="A56">
        <f>A55+1</f>
        <v>16</v>
      </c>
      <c r="B56" t="str">
        <v>Grade Beam &amp; concrete pier, refer schedule on S-112</v>
      </c>
      <c r="C56" t="str">
        <v>Y</v>
      </c>
      <c r="I56" s="8">
        <f>H56*F56</f>
        <v>0</v>
      </c>
      <c r="J56" t="str">
        <v>Y</v>
      </c>
      <c r="M56" t="str">
        <v>Y</v>
      </c>
      <c r="P56" t="str">
        <v>Y</v>
      </c>
    </row>
    <row r="57" ht="14.25" customHeight="1">
      <c r="A57">
        <f>A56+1</f>
        <v>17</v>
      </c>
      <c r="B57" t="str">
        <v>Continuous wall &amp; retaining wall footing</v>
      </c>
      <c r="C57" t="str">
        <v>Y</v>
      </c>
      <c r="I57" s="8">
        <f>H57*F57</f>
        <v>0</v>
      </c>
      <c r="J57" t="str">
        <v>Y</v>
      </c>
      <c r="M57" t="str">
        <v>Y</v>
      </c>
      <c r="P57" t="str">
        <v>Y</v>
      </c>
    </row>
    <row r="58" ht="14.25" customHeight="1">
      <c r="A58">
        <f>A57+1</f>
        <v>18</v>
      </c>
      <c r="B58" t="str">
        <v>Stair footing</v>
      </c>
      <c r="C58" t="str">
        <v>Y</v>
      </c>
      <c r="I58" s="8">
        <f>H58*F58</f>
        <v>0</v>
      </c>
      <c r="J58" t="str">
        <v>Y</v>
      </c>
      <c r="M58" t="str">
        <v>Y</v>
      </c>
      <c r="P58" t="str">
        <v>Y</v>
      </c>
    </row>
    <row r="59" ht="14.25" customHeight="1">
      <c r="A59">
        <f>A58+1</f>
        <v>19</v>
      </c>
      <c r="B59" t="str">
        <v xml:space="preserve">CIP Concrete wall </v>
      </c>
      <c r="C59" t="str">
        <v>Y</v>
      </c>
      <c r="I59" s="8">
        <f>H59*F59</f>
        <v>0</v>
      </c>
      <c r="J59" t="str">
        <v>Y</v>
      </c>
      <c r="M59" t="str">
        <v>Y</v>
      </c>
      <c r="P59" t="str">
        <v>Y</v>
      </c>
    </row>
    <row r="60" ht="14.25" customHeight="1">
      <c r="A60">
        <f>A59+1</f>
        <v>20</v>
      </c>
      <c r="B60" t="str">
        <v>Bioretention walls, refer sheet S602.</v>
      </c>
      <c r="C60" t="str">
        <v>Y</v>
      </c>
      <c r="I60" s="8">
        <f>H60*F60</f>
        <v>0</v>
      </c>
      <c r="J60" t="str">
        <v>Y</v>
      </c>
      <c r="M60" t="str">
        <v>Y</v>
      </c>
      <c r="P60" t="str">
        <v>Y</v>
      </c>
    </row>
    <row r="61" ht="14.25" customHeight="1">
      <c r="A61">
        <f>A60+1</f>
        <v>21</v>
      </c>
      <c r="B61" t="str">
        <v>Slab-on-Grade &amp; Slab Edge.</v>
      </c>
      <c r="C61" t="str">
        <v>Y</v>
      </c>
      <c r="I61" s="8">
        <f>H61*F61</f>
        <v>0</v>
      </c>
      <c r="J61" t="str">
        <v>Y</v>
      </c>
      <c r="M61" t="str">
        <v>Y</v>
      </c>
      <c r="P61" t="str">
        <v>Y</v>
      </c>
    </row>
    <row r="62" ht="14.25" customHeight="1">
      <c r="A62">
        <f>A61+1</f>
        <v>22</v>
      </c>
      <c r="B62" t="str">
        <v xml:space="preserve">SOG including rebar/WWF, vapor barrier &amp; stone base. </v>
      </c>
      <c r="C62" t="str">
        <v>Y</v>
      </c>
      <c r="I62" s="8">
        <f>H62*F62</f>
        <v>0</v>
      </c>
      <c r="J62" t="str">
        <v>Y</v>
      </c>
      <c r="M62" t="str">
        <v>Y</v>
      </c>
      <c r="P62" t="str">
        <v>Y</v>
      </c>
    </row>
    <row r="63" ht="14.25" customHeight="1">
      <c r="A63">
        <f>A62+1</f>
        <v>23</v>
      </c>
      <c r="B63" t="str">
        <v xml:space="preserve">Turn down slab, thickened slab. </v>
      </c>
      <c r="C63" t="str">
        <v>Y</v>
      </c>
      <c r="I63" s="8">
        <f>H63*F63</f>
        <v>0</v>
      </c>
      <c r="J63" t="str">
        <v>Y</v>
      </c>
      <c r="M63" t="str">
        <v>Y</v>
      </c>
      <c r="P63" t="str">
        <v>Y</v>
      </c>
    </row>
    <row r="64" ht="14.25" customHeight="1">
      <c r="A64">
        <f>A63+1</f>
        <v>24</v>
      </c>
      <c r="B64" t="str">
        <v>Interior slab on grade stairs</v>
      </c>
      <c r="C64" t="str">
        <v>Y</v>
      </c>
      <c r="I64" s="8">
        <f>H64*F64</f>
        <v>0</v>
      </c>
      <c r="J64" t="str">
        <v>Y</v>
      </c>
      <c r="M64" t="str">
        <v>Y</v>
      </c>
      <c r="P64" t="str">
        <v>Y</v>
      </c>
    </row>
    <row r="65" ht="14.25" customHeight="1">
      <c r="A65">
        <f>A64+1</f>
        <v>25</v>
      </c>
      <c r="B65" t="str">
        <v>Slab on Metal deck.</v>
      </c>
      <c r="C65" t="str">
        <v>Y</v>
      </c>
      <c r="I65" s="8">
        <f>H65*F65</f>
        <v>0</v>
      </c>
      <c r="J65" t="str">
        <v>Y</v>
      </c>
      <c r="M65" t="str">
        <v>Y</v>
      </c>
      <c r="P65" t="str">
        <v>Y</v>
      </c>
    </row>
    <row r="66" ht="14.25" customHeight="1">
      <c r="A66">
        <f>A65+1</f>
        <v>26</v>
      </c>
      <c r="B66" t="str">
        <v xml:space="preserve">Light weight concrete with reinforcement. </v>
      </c>
      <c r="C66" t="str">
        <v>Y</v>
      </c>
      <c r="I66" s="8">
        <f>H66*F66</f>
        <v>0</v>
      </c>
      <c r="J66" t="str">
        <v>Y</v>
      </c>
      <c r="M66" t="str">
        <v>Y</v>
      </c>
      <c r="P66" t="str">
        <v>Y</v>
      </c>
    </row>
    <row r="67" ht="14.25" customHeight="1">
      <c r="A67">
        <f>A66+1</f>
        <v>27</v>
      </c>
      <c r="B67" t="str">
        <v>Pool Building, as per S603, including.</v>
      </c>
      <c r="C67" t="str">
        <v>Y</v>
      </c>
      <c r="I67" s="8">
        <f>H67*F67</f>
        <v>0</v>
      </c>
      <c r="J67" t="str">
        <v>N</v>
      </c>
      <c r="L67" s="8">
        <v>14635</v>
      </c>
      <c r="M67" t="str">
        <v>Y</v>
      </c>
      <c r="O67" s="8">
        <v>14635</v>
      </c>
      <c r="P67" t="str">
        <v>Y</v>
      </c>
    </row>
    <row r="68" ht="14.25" customHeight="1">
      <c r="A68">
        <f>A67+1</f>
        <v>28</v>
      </c>
      <c r="B68" t="str">
        <v>Wall Footing</v>
      </c>
      <c r="C68" t="str">
        <v>Y</v>
      </c>
      <c r="I68" s="8">
        <f>H68*F68</f>
        <v>0</v>
      </c>
      <c r="J68" t="str">
        <v>Y</v>
      </c>
      <c r="M68" t="str">
        <v>Y</v>
      </c>
      <c r="P68" t="str">
        <v>Y</v>
      </c>
    </row>
    <row r="69" ht="14.25" customHeight="1">
      <c r="A69">
        <f>A68+1</f>
        <v>29</v>
      </c>
      <c r="B69" t="str">
        <v xml:space="preserve">PV Canopy post footing </v>
      </c>
      <c r="C69" t="str">
        <v>Y</v>
      </c>
      <c r="I69" s="8">
        <f>H69*F69</f>
        <v>0</v>
      </c>
      <c r="J69" t="str">
        <v>Y</v>
      </c>
      <c r="M69" t="str">
        <v>Y</v>
      </c>
      <c r="P69" t="str">
        <v>Y</v>
      </c>
    </row>
    <row r="70" ht="14.25" customHeight="1">
      <c r="A70">
        <f>A69+1</f>
        <v>30</v>
      </c>
      <c r="B70" t="str">
        <v>Underground Geo Vault , as per A2.3, including.</v>
      </c>
      <c r="C70" t="str">
        <v>Y</v>
      </c>
      <c r="I70" s="8">
        <f>H70*F70</f>
        <v>0</v>
      </c>
      <c r="J70" t="str">
        <v>Y</v>
      </c>
      <c r="M70" t="str">
        <v>Y</v>
      </c>
      <c r="O70" s="8">
        <v>530309</v>
      </c>
      <c r="P70" t="str">
        <v>Y</v>
      </c>
    </row>
    <row r="71" ht="14.25" customHeight="1">
      <c r="A71">
        <f>A70+1</f>
        <v>31</v>
      </c>
      <c r="B71" t="str">
        <v xml:space="preserve">Concrete wall &amp; footing. </v>
      </c>
      <c r="C71" t="str">
        <v>Y</v>
      </c>
      <c r="I71" s="8">
        <f>H71*F71</f>
        <v>0</v>
      </c>
      <c r="J71" t="str">
        <v>Y</v>
      </c>
      <c r="M71" t="str">
        <v>Y</v>
      </c>
      <c r="P71" t="str">
        <v>Y</v>
      </c>
    </row>
    <row r="72" ht="14.25" customHeight="1">
      <c r="A72">
        <f>A71+1</f>
        <v>32</v>
      </c>
      <c r="B72" t="str">
        <v xml:space="preserve">SOG including rebar/WWF, vapor barrier &amp; stone base. </v>
      </c>
      <c r="C72" t="str">
        <v>Y</v>
      </c>
      <c r="I72" s="8">
        <f>H72*F72</f>
        <v>0</v>
      </c>
      <c r="J72" t="str">
        <v>Y</v>
      </c>
      <c r="M72" t="str">
        <v>Y</v>
      </c>
      <c r="P72" t="str">
        <v>Y</v>
      </c>
    </row>
    <row r="73" ht="14.25" customHeight="1">
      <c r="A73">
        <f>A68+1</f>
        <v>29</v>
      </c>
      <c r="B73" t="str">
        <v>Concrete Pad for Mockup work, demo by others, refer A1.0</v>
      </c>
      <c r="C73" t="str">
        <v>Y</v>
      </c>
      <c r="I73" s="8">
        <f>H73*F73</f>
        <v>0</v>
      </c>
      <c r="J73" t="str">
        <v>Y</v>
      </c>
      <c r="M73" t="str">
        <v>Y</v>
      </c>
      <c r="P73" t="str">
        <v>Y</v>
      </c>
    </row>
    <row r="74" ht="14.25" customHeight="1">
      <c r="A74">
        <f>A69+1</f>
        <v>30</v>
      </c>
      <c r="B74" t="str">
        <v>Elevator pit concrete slab, footing and walls.</v>
      </c>
      <c r="C74" t="str">
        <v>Y</v>
      </c>
      <c r="I74" s="8">
        <f>H74*F74</f>
        <v>0</v>
      </c>
      <c r="J74" t="str">
        <v>Y</v>
      </c>
      <c r="M74" t="str">
        <v>Y</v>
      </c>
      <c r="P74" t="str">
        <v>Y</v>
      </c>
    </row>
    <row r="75" ht="14.25" customHeight="1">
      <c r="A75">
        <f>A74+1</f>
        <v>31</v>
      </c>
      <c r="B75" t="str">
        <v>Concrete fills for steel pan stairs &amp; landings, bollards, etc.</v>
      </c>
      <c r="C75" t="str">
        <v>Y</v>
      </c>
      <c r="I75" s="8">
        <f>H75*F75</f>
        <v>0</v>
      </c>
      <c r="J75" t="str">
        <v>Y</v>
      </c>
      <c r="M75" t="str">
        <v>Y</v>
      </c>
      <c r="P75" t="str">
        <v>Y</v>
      </c>
    </row>
    <row r="76" ht="14.25" customHeight="1">
      <c r="A76">
        <f>A75+1</f>
        <v>32</v>
      </c>
      <c r="B76" t="str">
        <v>Concrete equipment pads and equipment curbs</v>
      </c>
      <c r="C76" t="str">
        <v>Y</v>
      </c>
      <c r="I76" s="8">
        <f>H76*F76</f>
        <v>0</v>
      </c>
      <c r="J76" t="str">
        <v>Y</v>
      </c>
      <c r="M76" t="str">
        <v>Y</v>
      </c>
      <c r="P76" t="str">
        <v>Y</v>
      </c>
    </row>
    <row r="77" ht="14.25" customHeight="1">
      <c r="A77">
        <f>A76+1</f>
        <v>33</v>
      </c>
      <c r="B77" t="str">
        <v xml:space="preserve">Epoxy coated rebar/WWF at exposed area for the Work. </v>
      </c>
      <c r="C77" t="str">
        <v>Y</v>
      </c>
      <c r="I77" s="8">
        <f>H77*F77</f>
        <v>0</v>
      </c>
      <c r="J77" t="str">
        <v>Y</v>
      </c>
      <c r="M77" t="str">
        <v>Y</v>
      </c>
      <c r="P77" t="str">
        <v>Y</v>
      </c>
    </row>
    <row r="78" ht="14.25" customHeight="1">
      <c r="A78">
        <f>A77+1</f>
        <v>34</v>
      </c>
      <c r="B78" t="str">
        <v>Polystyrene or Rigid insulation for the Work</v>
      </c>
      <c r="C78" t="str">
        <v>Y</v>
      </c>
      <c r="I78" s="8">
        <f>H78*F78</f>
        <v>0</v>
      </c>
      <c r="J78" t="str">
        <v>Y</v>
      </c>
      <c r="M78" t="str">
        <v>Y</v>
      </c>
      <c r="P78" t="str">
        <v>Y</v>
      </c>
    </row>
    <row r="79" ht="14.25" customHeight="1">
      <c r="A79">
        <f>A78+1</f>
        <v>35</v>
      </c>
      <c r="B79" t="str">
        <v>Provide perimeter safety cable, orange safety fence &amp; toe boards at edges of elevated slabs &amp; shaft openings until permanent is in place; removal by others</v>
      </c>
      <c r="C79" t="str">
        <v>Y</v>
      </c>
      <c r="I79" s="8">
        <f>H79*F79</f>
        <v>0</v>
      </c>
      <c r="J79" t="str">
        <v>Y</v>
      </c>
      <c r="M79" t="str">
        <v>Y</v>
      </c>
      <c r="P79" t="str">
        <v>Y</v>
      </c>
    </row>
    <row r="80" ht="14.25" customHeight="1">
      <c r="A80">
        <f>A79+1</f>
        <v>36</v>
      </c>
      <c r="B80" t="str">
        <v>Provide pumps for dewatering of rain water in footing excavations</v>
      </c>
      <c r="C80" t="str">
        <v>Y</v>
      </c>
      <c r="I80" s="8">
        <f>H80*F80</f>
        <v>0</v>
      </c>
      <c r="J80" t="str">
        <v>Y</v>
      </c>
      <c r="M80" t="str">
        <v>Y</v>
      </c>
      <c r="P80" t="str">
        <v>Y</v>
      </c>
    </row>
    <row r="81" ht="14.25" customHeight="1">
      <c r="A81">
        <f>A80+1</f>
        <v>37</v>
      </c>
      <c r="B81" t="str">
        <v>Strip placing sequence for SOG; construction joints as shown</v>
      </c>
      <c r="C81" t="str">
        <v>Y</v>
      </c>
      <c r="I81" s="8">
        <f>H81*F81</f>
        <v>0</v>
      </c>
      <c r="J81" t="str">
        <v>Y</v>
      </c>
      <c r="M81" t="str">
        <v>Y</v>
      </c>
      <c r="P81" t="str">
        <v>Y</v>
      </c>
    </row>
    <row r="82" ht="14.25" customHeight="1">
      <c r="A82">
        <f>A81+1</f>
        <v>38</v>
      </c>
      <c r="B82" t="str">
        <v>Vapor barrier and aggregate subbase under SOG</v>
      </c>
      <c r="C82" t="str">
        <v>Y</v>
      </c>
      <c r="I82" s="8">
        <f>H82*F82</f>
        <v>0</v>
      </c>
      <c r="J82" t="str">
        <v>Y</v>
      </c>
      <c r="M82" t="str">
        <v>Y</v>
      </c>
      <c r="P82" t="str">
        <v>Y</v>
      </c>
    </row>
    <row r="83" ht="14.25" customHeight="1">
      <c r="A83">
        <f>A82+1</f>
        <v>39</v>
      </c>
      <c r="B83" t="str">
        <v>Saw cutting of control joints in SOG; isolation joints around columns</v>
      </c>
      <c r="C83" t="str">
        <v>Y</v>
      </c>
      <c r="I83" s="8">
        <f>H83*F83</f>
        <v>0</v>
      </c>
      <c r="J83" t="str">
        <v>Y</v>
      </c>
      <c r="M83" t="str">
        <v>Y</v>
      </c>
      <c r="P83" t="str">
        <v>Y</v>
      </c>
    </row>
    <row r="84" ht="14.25" customHeight="1">
      <c r="A84">
        <f>A83+1</f>
        <v>40</v>
      </c>
      <c r="B84" t="str">
        <v>Build box outs for MEP penetrations for placement by others; strip boxes</v>
      </c>
      <c r="C84" t="str">
        <v>Y</v>
      </c>
      <c r="I84" s="8">
        <f>H84*F84</f>
        <v>0</v>
      </c>
      <c r="J84" t="str">
        <v>Y</v>
      </c>
      <c r="M84" t="str">
        <v>Y</v>
      </c>
      <c r="P84" t="str">
        <v>Y</v>
      </c>
    </row>
    <row r="85" ht="14.25" customHeight="1">
      <c r="A85">
        <f>A84+1</f>
        <v>41</v>
      </c>
      <c r="B85" t="str">
        <v>Insulation under slab on grade at building perimeter</v>
      </c>
      <c r="C85" t="str">
        <v>Y</v>
      </c>
      <c r="I85" s="8">
        <f>H85*F85</f>
        <v>0</v>
      </c>
      <c r="J85" t="str">
        <v>Y</v>
      </c>
      <c r="M85" t="str">
        <v>Y</v>
      </c>
      <c r="P85" t="str">
        <v>Y</v>
      </c>
    </row>
    <row r="86" ht="14.25" customHeight="1">
      <c r="A86">
        <f>A85+1</f>
        <v>42</v>
      </c>
      <c r="B86" t="str">
        <v>Allowance of [10] cubic yards for additional MEP pads not indicated</v>
      </c>
      <c r="C86" t="str">
        <v>Y</v>
      </c>
      <c r="I86" s="8">
        <f>H86*F86</f>
        <v>0</v>
      </c>
      <c r="J86" t="str">
        <v>Y</v>
      </c>
      <c r="M86" t="str">
        <v>Y</v>
      </c>
      <c r="P86" t="str">
        <v>Y</v>
      </c>
    </row>
    <row r="87" ht="14.25" customHeight="1">
      <c r="A87">
        <f>A86+1</f>
        <v>43</v>
      </c>
      <c r="B87" t="str">
        <v>Accessories to include chamfer strips, waterstops, form ties, release agent, keyways, blockouts, PEJs, reglets, etc.</v>
      </c>
      <c r="C87" t="str">
        <v>Y</v>
      </c>
      <c r="I87" s="8">
        <f>H87*F87</f>
        <v>0</v>
      </c>
      <c r="J87" t="str">
        <v>Y</v>
      </c>
      <c r="M87" t="str">
        <v>Y</v>
      </c>
      <c r="P87" t="str">
        <v>Y</v>
      </c>
    </row>
    <row r="88" ht="14.25" customHeight="1">
      <c r="A88">
        <f>A87+1</f>
        <v>44</v>
      </c>
      <c r="B88" t="str">
        <v>Setting of embedded items to include anchor bolts, weld plates/angles, curtainwall embeds, corner guards, railing sleeves, tennis fencing post, stair nosing's, wedge anchors, window washing tie-backs, etc.</v>
      </c>
      <c r="C88" t="str">
        <v>Y</v>
      </c>
      <c r="I88" s="8">
        <f>H88*F88</f>
        <v>0</v>
      </c>
      <c r="J88" t="str">
        <v>Y</v>
      </c>
      <c r="M88" t="str">
        <v>Y</v>
      </c>
      <c r="P88" t="str">
        <v>Y</v>
      </c>
    </row>
    <row r="89" ht="14.25" customHeight="1">
      <c r="A89">
        <f>A88+1</f>
        <v>45</v>
      </c>
      <c r="B89" t="str">
        <v>Furnish and install dovetail slot where concrete abuts brick masonry.</v>
      </c>
      <c r="C89" t="str">
        <v>Y</v>
      </c>
      <c r="I89" s="8">
        <f>H89*F89</f>
        <v>0</v>
      </c>
      <c r="J89" t="str">
        <v>Y</v>
      </c>
      <c r="M89" t="str">
        <v>Y</v>
      </c>
      <c r="P89" t="str">
        <v>Y</v>
      </c>
    </row>
    <row r="90" ht="14.25" customHeight="1">
      <c r="A90">
        <f>A89+1</f>
        <v>46</v>
      </c>
      <c r="B90" t="str">
        <v xml:space="preserve">Setting of column leveling plates and grouting of column base. </v>
      </c>
      <c r="C90" t="str">
        <v>Y</v>
      </c>
      <c r="I90" s="8">
        <f>H90*F90</f>
        <v>0</v>
      </c>
      <c r="J90" t="str">
        <v>Y</v>
      </c>
      <c r="M90" t="str">
        <v>Y</v>
      </c>
      <c r="P90" t="str">
        <v>Y</v>
      </c>
    </row>
    <row r="91" ht="14.25" customHeight="1">
      <c r="A91">
        <f>A90+1</f>
        <v>47</v>
      </c>
      <c r="B91" t="str">
        <v>Grouting of elevator sills</v>
      </c>
      <c r="C91" t="str">
        <v>Y</v>
      </c>
      <c r="I91" s="8">
        <f>H91*F91</f>
        <v>0</v>
      </c>
      <c r="J91" t="str">
        <v>Y</v>
      </c>
      <c r="M91" t="str">
        <v>Y</v>
      </c>
      <c r="P91" t="str">
        <v>Y</v>
      </c>
    </row>
    <row r="92" ht="14.25" customHeight="1">
      <c r="A92">
        <f>A91+1</f>
        <v>48</v>
      </c>
      <c r="B92" t="str">
        <v xml:space="preserve">Furnish and install all reinforcing bars (cut to length, bent) and wire mesh  </v>
      </c>
      <c r="C92" t="str">
        <v>Y</v>
      </c>
      <c r="I92" s="8">
        <f>H92*F92</f>
        <v>0</v>
      </c>
      <c r="J92" t="str">
        <v>Y</v>
      </c>
      <c r="M92" t="str">
        <v>Y</v>
      </c>
      <c r="P92" t="str">
        <v>Y</v>
      </c>
    </row>
    <row r="93" ht="14.25" customHeight="1">
      <c r="A93">
        <f>A92+1</f>
        <v>49</v>
      </c>
      <c r="B93" t="str">
        <v>Furnish only rebar for CMU walls</v>
      </c>
      <c r="C93" t="str">
        <v>Y</v>
      </c>
      <c r="I93" s="8">
        <f>H93*F93</f>
        <v>0</v>
      </c>
      <c r="J93" t="str">
        <v>Y</v>
      </c>
      <c r="M93" t="str">
        <v>Y</v>
      </c>
      <c r="P93" t="str">
        <v>Y</v>
      </c>
    </row>
    <row r="94" ht="14.25" customHeight="1">
      <c r="A94">
        <f>A93+1</f>
        <v>50</v>
      </c>
      <c r="B94" t="str">
        <v>Provide embedded dowels in slabs at CMU wall locations as req'd</v>
      </c>
      <c r="C94" t="str">
        <v>Y</v>
      </c>
      <c r="I94" s="8">
        <f>H94*F94</f>
        <v>0</v>
      </c>
      <c r="J94" t="str">
        <v>Y</v>
      </c>
      <c r="M94" t="str">
        <v>Y</v>
      </c>
      <c r="P94" t="str">
        <v>Y</v>
      </c>
    </row>
    <row r="95" ht="14.25" customHeight="1">
      <c r="A95">
        <f>A94+1</f>
        <v>51</v>
      </c>
      <c r="B95" t="str">
        <v>Epoxy-coated rebar where indicated</v>
      </c>
      <c r="C95" t="str">
        <v>Y</v>
      </c>
      <c r="I95" s="8">
        <f>H95*F95</f>
        <v>0</v>
      </c>
      <c r="J95" t="str">
        <v>Y</v>
      </c>
      <c r="M95" t="str">
        <v>Y</v>
      </c>
      <c r="P95" t="str">
        <v>Y</v>
      </c>
    </row>
    <row r="96" ht="14.25" customHeight="1">
      <c r="A96">
        <f>A95+1</f>
        <v>52</v>
      </c>
      <c r="B96" t="str">
        <v>Accessories to include chairs, tie wire, trim bars, tendon sheathing, anchorage devices/couplers, coating compound, grease</v>
      </c>
      <c r="C96" t="str">
        <v>Y</v>
      </c>
      <c r="I96" s="8">
        <f>H96*F96</f>
        <v>0</v>
      </c>
      <c r="J96" t="str">
        <v>Y</v>
      </c>
      <c r="M96" t="str">
        <v>Y</v>
      </c>
      <c r="P96" t="str">
        <v>Y</v>
      </c>
    </row>
    <row r="97" ht="14.25" customHeight="1">
      <c r="A97">
        <f>A96+1</f>
        <v>53</v>
      </c>
      <c r="B97" t="str">
        <v>Included costs to provide 3-day break cylinders to facilitate early formwork stripping operations</v>
      </c>
      <c r="C97" t="str">
        <v>Y</v>
      </c>
      <c r="I97" s="8">
        <f>H97*F97</f>
        <v>0</v>
      </c>
      <c r="J97" t="str">
        <v>Y</v>
      </c>
      <c r="M97" t="str">
        <v>Y</v>
      </c>
      <c r="P97" t="str">
        <v>Y</v>
      </c>
    </row>
    <row r="98" ht="14.25" customHeight="1">
      <c r="A98">
        <f>A97+1</f>
        <v>54</v>
      </c>
      <c r="C98" t="str">
        <v>Y</v>
      </c>
      <c r="I98" s="8">
        <f>H98*F98</f>
        <v>0</v>
      </c>
      <c r="J98" t="str">
        <v>Y</v>
      </c>
      <c r="M98" t="str">
        <v>Y</v>
      </c>
      <c r="P98" t="str">
        <v>Y</v>
      </c>
    </row>
    <row r="99" ht="14.25" customHeight="1">
      <c r="A99">
        <f>A98+1</f>
        <v>55</v>
      </c>
      <c r="B99" t="str">
        <v>STANDARD / GENERAL SCOPE</v>
      </c>
      <c r="C99" t="str">
        <v>Y</v>
      </c>
      <c r="I99" s="8">
        <f>H99*F99</f>
        <v>0</v>
      </c>
      <c r="J99" t="str">
        <v>Y</v>
      </c>
      <c r="M99" t="str">
        <v>Y</v>
      </c>
      <c r="P99" t="str">
        <v>Y</v>
      </c>
    </row>
    <row r="100" ht="14.25" customHeight="1">
      <c r="A100">
        <f>A99+1</f>
        <v>56</v>
      </c>
      <c r="B100" t="str">
        <v>Tentative concrete schedule/duration (concrete start: August 2026)</v>
      </c>
      <c r="C100" t="str">
        <v>Y</v>
      </c>
      <c r="I100" s="8">
        <f>H100*F100</f>
        <v>0</v>
      </c>
      <c r="J100" t="str">
        <v>Y</v>
      </c>
      <c r="M100" t="str">
        <v>Y</v>
      </c>
      <c r="P100" t="str">
        <v>Y</v>
      </c>
    </row>
    <row r="101" ht="14.25" customHeight="1">
      <c r="A101">
        <f>A100+1</f>
        <v>57</v>
      </c>
      <c r="B101" t="str">
        <v>Layout from GC control lines and benchmarks</v>
      </c>
      <c r="C101" t="str">
        <v>Y</v>
      </c>
      <c r="I101" s="8">
        <f>H101*F101</f>
        <v>0</v>
      </c>
      <c r="J101" t="str">
        <v>Y</v>
      </c>
      <c r="M101" t="str">
        <v>Y</v>
      </c>
      <c r="P101" t="str">
        <v>Y</v>
      </c>
    </row>
    <row r="102" ht="14.25" customHeight="1">
      <c r="A102">
        <f>A101+1</f>
        <v>58</v>
      </c>
      <c r="B102" t="str">
        <v>Shop drawings, submittals, product data, mix designs, test reports, certs, etc.</v>
      </c>
      <c r="C102" t="str">
        <v>Y</v>
      </c>
      <c r="I102" s="8">
        <f>H102*F102</f>
        <v>0</v>
      </c>
      <c r="J102" t="str">
        <v>Y</v>
      </c>
      <c r="M102" t="str">
        <v>Y</v>
      </c>
      <c r="P102" t="str">
        <v>Y</v>
      </c>
    </row>
    <row r="103" ht="14.25" customHeight="1">
      <c r="A103">
        <f>A102+1</f>
        <v>59</v>
      </c>
      <c r="B103" t="str">
        <v>All cranes, pumps, tools, equipment, hoisting, supervision, etc. for this work</v>
      </c>
      <c r="C103" t="str">
        <v>Y</v>
      </c>
      <c r="I103" s="8">
        <f>H103*F103</f>
        <v>0</v>
      </c>
      <c r="J103" t="str">
        <v>Y</v>
      </c>
      <c r="M103" t="str">
        <v>Y</v>
      </c>
      <c r="P103" t="str">
        <v>Y</v>
      </c>
    </row>
    <row r="104" ht="14.25" customHeight="1">
      <c r="A104">
        <f>A103+1</f>
        <v>60</v>
      </c>
      <c r="B104" t="str">
        <v>Cooperate with Owner's testing service &amp; provide samples</v>
      </c>
      <c r="C104" t="str">
        <v>Y</v>
      </c>
      <c r="I104" s="8">
        <f>H104*F104</f>
        <v>0</v>
      </c>
      <c r="J104" t="str">
        <v>Y</v>
      </c>
      <c r="M104" t="str">
        <v>Y</v>
      </c>
      <c r="P104" t="str">
        <v>Y</v>
      </c>
    </row>
    <row r="105" ht="14.25" customHeight="1">
      <c r="A105">
        <f>A104+1</f>
        <v>61</v>
      </c>
      <c r="B105" t="str">
        <v>Winter protection as needed</v>
      </c>
      <c r="C105" t="str">
        <v>Y</v>
      </c>
      <c r="I105" s="8">
        <f>H105*F105</f>
        <v>0</v>
      </c>
      <c r="J105" t="str">
        <v>Y</v>
      </c>
      <c r="M105" t="str">
        <v>Y</v>
      </c>
      <c r="P105" t="str">
        <v>Y</v>
      </c>
    </row>
    <row r="106" ht="14.25" customHeight="1">
      <c r="A106">
        <f>A105+1</f>
        <v>62</v>
      </c>
      <c r="B106" t="str">
        <v>Provide dumpster service for your work</v>
      </c>
      <c r="C106" t="str">
        <v>Y</v>
      </c>
      <c r="I106" s="8">
        <f>H106*F106</f>
        <v>0</v>
      </c>
      <c r="M106" t="str">
        <v>Y</v>
      </c>
      <c r="P106" t="str">
        <v>Y</v>
      </c>
    </row>
    <row r="107" ht="14.25" customHeight="1">
      <c r="A107">
        <f>A106+1</f>
        <v>63</v>
      </c>
      <c r="C107" t="str">
        <v>Y</v>
      </c>
      <c r="I107" s="8">
        <f>H107*F107</f>
        <v>0</v>
      </c>
      <c r="M107" t="str">
        <v>Y</v>
      </c>
      <c r="P107" t="str">
        <v>Y</v>
      </c>
    </row>
    <row r="108" ht="14.25" customHeight="1">
      <c r="A108">
        <f>A107+1</f>
        <v>64</v>
      </c>
      <c r="B108" t="str">
        <v xml:space="preserve">PV Canopy At Site </v>
      </c>
      <c r="C108" t="str">
        <v>Y</v>
      </c>
      <c r="I108" s="8">
        <f>H108*F108</f>
        <v>0</v>
      </c>
      <c r="J108" t="str">
        <v>N</v>
      </c>
      <c r="L108" s="8">
        <v>215315</v>
      </c>
      <c r="M108" t="str">
        <v>Y</v>
      </c>
      <c r="O108" s="8">
        <v>215315</v>
      </c>
      <c r="P108" t="str">
        <v>N</v>
      </c>
      <c r="R108" s="8">
        <v>215315</v>
      </c>
    </row>
    <row r="109" ht="14.25" customHeight="1">
      <c r="A109">
        <f>A108+1</f>
        <v>65</v>
      </c>
      <c r="C109" t="str">
        <v>Y</v>
      </c>
      <c r="I109" s="8">
        <f>H109*F109</f>
        <v>0</v>
      </c>
    </row>
    <row r="110" ht="14.25" customHeight="1">
      <c r="I110" s="8">
        <f>H110*F110</f>
        <v>0</v>
      </c>
    </row>
    <row r="111" ht="14.25" customHeight="1">
      <c r="A111" t="str">
        <v>C</v>
      </c>
      <c r="B111" t="str">
        <v>Exclusions</v>
      </c>
    </row>
    <row r="112" ht="14.25" customHeight="1">
      <c r="A112">
        <v>1</v>
      </c>
      <c r="B112" t="str">
        <v>Mass Excavation for large mat foundations</v>
      </c>
      <c r="C112" t="str">
        <v>N</v>
      </c>
      <c r="D112" t="str">
        <v>by earthwork</v>
      </c>
    </row>
    <row r="113" ht="14.25" customHeight="1">
      <c r="A113">
        <v>2</v>
      </c>
      <c r="B113" t="str">
        <v>Backfill of perimeter foundation walls</v>
      </c>
      <c r="C113" t="str">
        <v>N</v>
      </c>
      <c r="D113" t="str">
        <v>by earthwork</v>
      </c>
    </row>
    <row r="114" ht="14.25" customHeight="1">
      <c r="A114">
        <v>3</v>
      </c>
      <c r="B114" t="str">
        <v>Site Concrete (all concrete outside of building footprint)</v>
      </c>
      <c r="C114" t="str">
        <v>N</v>
      </c>
      <c r="D114" t="str">
        <v>by site concrete</v>
      </c>
    </row>
    <row r="115" ht="14.25" customHeight="1">
      <c r="A115">
        <v>4</v>
      </c>
      <c r="B115" t="str">
        <v>Fill for bollards</v>
      </c>
      <c r="C115" t="str">
        <v>N</v>
      </c>
      <c r="D115" t="str">
        <v>by site concrete</v>
      </c>
    </row>
    <row r="116" ht="14.25" customHeight="1">
      <c r="A116">
        <v>5</v>
      </c>
      <c r="B116" t="str">
        <v>Caulking</v>
      </c>
      <c r="C116" t="str">
        <v>N</v>
      </c>
      <c r="D116" t="str">
        <v>by caulk</v>
      </c>
    </row>
    <row r="117" ht="14.25" customHeight="1">
      <c r="A117">
        <v>6</v>
      </c>
      <c r="B117" t="str">
        <v>Testing and Inspection</v>
      </c>
      <c r="C117" t="str">
        <v>N</v>
      </c>
      <c r="D117" t="str">
        <v>by Owner</v>
      </c>
    </row>
    <row r="118" ht="14.25" customHeight="1"/>
    <row r="119" ht="14.25" customHeight="1">
      <c r="A119" t="str">
        <v>D</v>
      </c>
      <c r="B119" t="str">
        <v>Schedule</v>
      </c>
    </row>
    <row r="120" ht="14.25" customHeight="1">
      <c r="A120">
        <v>1</v>
      </c>
      <c r="B120" t="str">
        <v>Meet MCN Schedule</v>
      </c>
      <c r="C120" t="str">
        <v>Y</v>
      </c>
    </row>
    <row r="121" ht="14.25" customHeight="1">
      <c r="A121">
        <f>A120+1</f>
        <v>2</v>
      </c>
      <c r="B121" t="str">
        <v>Advise of Durations</v>
      </c>
    </row>
    <row r="122" ht="14.25" customHeight="1">
      <c r="A122">
        <f>A121+1</f>
        <v>3</v>
      </c>
      <c r="B122" t="str">
        <v>Footing &amp; Foundation</v>
      </c>
      <c r="C122" t="str">
        <v>---&gt;</v>
      </c>
    </row>
    <row r="123" ht="14.25" customHeight="1">
      <c r="A123">
        <f>A122+1</f>
        <v>4</v>
      </c>
      <c r="B123" t="str">
        <v xml:space="preserve">SOG </v>
      </c>
      <c r="C123" t="str">
        <v>---&gt;</v>
      </c>
    </row>
    <row r="124" ht="14.25" customHeight="1">
      <c r="A124">
        <f>A123+1</f>
        <v>5</v>
      </c>
      <c r="B124" t="str">
        <v>SOMD</v>
      </c>
      <c r="C124" t="str">
        <v>---&gt;</v>
      </c>
    </row>
    <row r="125" ht="14.25" customHeight="1">
      <c r="A125">
        <f>A124+1</f>
        <v>6</v>
      </c>
      <c r="B125" t="str">
        <v>Duration for Submittals and Shop Drawings</v>
      </c>
      <c r="C125" t="str">
        <v>---&gt;</v>
      </c>
    </row>
    <row r="126" ht="14.25" customHeight="1">
      <c r="A126">
        <f>A125+1</f>
        <v>7</v>
      </c>
      <c r="B126" t="str">
        <v>Advise of Lead Times:</v>
      </c>
    </row>
    <row r="127" ht="14.25" customHeight="1">
      <c r="A127">
        <f>A126+1</f>
        <v>8</v>
      </c>
      <c r="B127" t="str">
        <v>Submittals &amp; shop Drawings</v>
      </c>
      <c r="C127" t="str">
        <v>---&gt;</v>
      </c>
    </row>
    <row r="128" ht="14.25" customHeight="1">
      <c r="A128">
        <f>A127+1</f>
        <v>9</v>
      </c>
      <c r="C128" t="str">
        <v>---&gt;</v>
      </c>
    </row>
    <row r="129" ht="14.25" customHeight="1">
      <c r="A129">
        <f>A128+1</f>
        <v>10</v>
      </c>
      <c r="C129" t="str">
        <v>---&gt;</v>
      </c>
    </row>
    <row r="130" ht="14.25" customHeight="1"/>
    <row r="131" hidden="1" ht="14.25" customHeight="1"/>
    <row r="132" hidden="1" ht="14.25" customHeight="1">
      <c r="B132" t="str">
        <v>Allowances</v>
      </c>
    </row>
    <row r="133" hidden="1" ht="14.25" customHeight="1">
      <c r="A133">
        <v>1</v>
      </c>
    </row>
    <row r="134" hidden="1" ht="14.25" customHeight="1">
      <c r="A134">
        <f>A133+1</f>
        <v>2</v>
      </c>
    </row>
    <row r="135" hidden="1" ht="14.25" customHeight="1">
      <c r="A135">
        <f>A134+1</f>
        <v>3</v>
      </c>
    </row>
    <row r="136" hidden="1" ht="14.25" customHeight="1">
      <c r="A136">
        <f>A135+1</f>
        <v>4</v>
      </c>
    </row>
    <row r="137" hidden="1" ht="14.25" customHeight="1"/>
    <row r="138" hidden="1" ht="14.25" customHeight="1"/>
    <row r="139" hidden="1" ht="14.25" customHeight="1">
      <c r="B139" t="str">
        <v>Alternates</v>
      </c>
    </row>
    <row r="140" hidden="1" ht="14.25" customHeight="1">
      <c r="A140">
        <v>1</v>
      </c>
      <c r="C140" t="str">
        <v>#</v>
      </c>
    </row>
    <row r="141" hidden="1" ht="14.25" customHeight="1">
      <c r="A141">
        <f>A140+1</f>
        <v>2</v>
      </c>
      <c r="C141" t="str">
        <v>#</v>
      </c>
    </row>
    <row r="142" hidden="1" ht="14.25" customHeight="1">
      <c r="A142">
        <f>A141+1</f>
        <v>3</v>
      </c>
      <c r="C142" t="str">
        <v>#</v>
      </c>
    </row>
    <row r="143" hidden="1" ht="14.25" customHeight="1">
      <c r="A143">
        <f>A142+1</f>
        <v>4</v>
      </c>
      <c r="C143" t="str">
        <v>#</v>
      </c>
    </row>
    <row r="144" hidden="1" ht="14.25" customHeight="1">
      <c r="C144" t="str">
        <v>#</v>
      </c>
    </row>
    <row r="145" hidden="1" ht="14.25" customHeight="1">
      <c r="B145" t="str">
        <v>Unit Prices</v>
      </c>
    </row>
    <row r="146" hidden="1" ht="14.25" customHeight="1">
      <c r="A146">
        <v>1</v>
      </c>
      <c r="C146" t="str">
        <v>#</v>
      </c>
    </row>
    <row r="147" hidden="1" ht="14.25" customHeight="1">
      <c r="A147">
        <f>A146+1</f>
        <v>2</v>
      </c>
      <c r="C147" t="str">
        <v>#</v>
      </c>
    </row>
    <row r="148" hidden="1" ht="14.25" customHeight="1">
      <c r="A148">
        <f>A147+1</f>
        <v>3</v>
      </c>
      <c r="C148" t="str">
        <v>#</v>
      </c>
    </row>
    <row r="149" hidden="1" ht="14.25" customHeight="1">
      <c r="A149">
        <f>A148+1</f>
        <v>4</v>
      </c>
      <c r="C149" t="str">
        <v>#</v>
      </c>
    </row>
    <row r="150" hidden="1"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2" r:id="rId1"/>
    <hyperlink ref="K3" r:id="rId2"/>
    <hyperlink ref="N3" r:id="rId3"/>
    <hyperlink ref="Q3" r:id="rId4"/>
    <hyperlink ref="B8" r:id="rId5"/>
  </hyperlinks>
  <pageMargins left="0.25" right="0.75" top="0.7" bottom="0.7" header="0" footer="0"/>
  <ignoredErrors>
    <ignoredError numberStoredAsText="1" sqref="A1:AO1000"/>
  </ignoredErrors>
</worksheet>
</file>

<file path=xl/worksheets/sheet1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 xml:space="preserve">Forsythe DC </v>
      </c>
      <c r="N1" t="str">
        <v>Hammer Masonry</v>
      </c>
      <c r="Q1" t="str">
        <v xml:space="preserve">JPN Masonry </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 xml:space="preserve">Zach Travers </v>
      </c>
      <c r="N2" t="str">
        <v>Nancy Zelaya</v>
      </c>
      <c r="Q2" t="str">
        <v>Oswaldo Guevara</v>
      </c>
      <c r="T2" t="str">
        <v>Name</v>
      </c>
      <c r="W2" t="str">
        <v>Name</v>
      </c>
      <c r="Z2" t="str">
        <v>Name</v>
      </c>
      <c r="AC2" t="str">
        <v>Name</v>
      </c>
      <c r="AH2" t="str">
        <v>MCN</v>
      </c>
      <c r="AM2" s="8">
        <f>I9</f>
        <v>0</v>
      </c>
    </row>
    <row r="3" ht="14.25" customHeight="1" outlineLevel="1">
      <c r="I3" t="str">
        <v>Email:</v>
      </c>
      <c r="K3" t="str">
        <v>zach@forsytheinc.net</v>
      </c>
      <c r="N3" t="str">
        <v>nancy@hammermasonry.com</v>
      </c>
      <c r="Q3" t="str">
        <v>oguevara@jpnmasonry.com</v>
      </c>
      <c r="T3" t="str">
        <v>Email</v>
      </c>
      <c r="W3" t="str">
        <v>Email</v>
      </c>
      <c r="Z3" t="str">
        <v>Email</v>
      </c>
      <c r="AC3" t="str">
        <v>Email</v>
      </c>
      <c r="AH3">
        <v>1</v>
      </c>
      <c r="AI3" t="str">
        <f>IFNA(INDEX($K$1:$AE$1,1,MATCH($AH3,$K$10:$AE$10,0)),"")</f>
        <v xml:space="preserve">Forsythe DC </v>
      </c>
      <c r="AJ3" s="3">
        <f t="array" ref="AJ3">IFNA(INDEX($K$6:$AE$6,1,MATCH($AH3,$K$10:$AE$10,0)+1),"")</f>
        <v>1356862</v>
      </c>
      <c r="AK3" s="3">
        <f t="array" ref="AK3">IFNA(INDEX($K$7:$AE$7,1,MATCH($AH3,$K$10:$AE$10,0)+1),"")</f>
        <v>0</v>
      </c>
      <c r="AL3" s="3">
        <f t="array" ref="AL3">IFNA(INDEX($K$8:$AE$8,1,MATCH($AH3,$K$10:$AE$10,0)+1),"")</f>
        <v>27137.24</v>
      </c>
      <c r="AM3" s="3">
        <f t="array" ref="AM3">IFNA(INDEX($K$9:$AE$9,1,MATCH($AH3,$K$10:$AE$10,0)+1),"")</f>
        <v>1383999.24</v>
      </c>
      <c r="AO3" s="9">
        <f>IFERROR(AN3*AM3,0)</f>
        <v>0</v>
      </c>
    </row>
    <row r="4" ht="14.25" customHeight="1" outlineLevel="1">
      <c r="A4" t="str">
        <v>Trade:</v>
      </c>
      <c r="B4" t="str">
        <v>04 - MASONRY</v>
      </c>
      <c r="I4" t="str">
        <v>Phone:</v>
      </c>
      <c r="K4" t="str">
        <v>301-848-7325</v>
      </c>
      <c r="N4" t="str">
        <v>202-890-4600 ext 105</v>
      </c>
      <c r="Q4" t="str">
        <v>202-510-1132</v>
      </c>
      <c r="T4" t="str">
        <v>Number</v>
      </c>
      <c r="W4" t="str">
        <v>Number</v>
      </c>
      <c r="Z4" t="str">
        <v>Number</v>
      </c>
      <c r="AC4" t="str">
        <v>Number</v>
      </c>
      <c r="AH4">
        <v>2</v>
      </c>
      <c r="AI4" t="str">
        <f>IFNA(INDEX($K$1:$AE$1,1,MATCH($AH4,$K$10:$AE$10,0)),"")</f>
        <v>Hammer Masonry</v>
      </c>
      <c r="AJ4" s="3">
        <f t="array" ref="AJ4">IFNA(INDEX($K$6:$AE$6,1,MATCH($AH4,$K$10:$AE$10,0)+1),"")</f>
        <v>1399891</v>
      </c>
      <c r="AK4" s="3">
        <f t="array" ref="AK4">IFNA(INDEX($K$7:$AE$7,1,MATCH($AH4,$K$10:$AE$10,0)+1),"")</f>
        <v>0</v>
      </c>
      <c r="AL4" s="3">
        <f t="array" ref="AL4">IFNA(INDEX($K$8:$AE$8,1,MATCH($AH4,$K$10:$AE$10,0)+1),"")</f>
        <v>27997.82</v>
      </c>
      <c r="AM4" s="3">
        <f t="array" ref="AM4">IFNA(INDEX($K$9:$AE$9,1,MATCH($AH4,$K$10:$AE$10,0)+1),"")</f>
        <v>1427888.82</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NO</v>
      </c>
      <c r="W5" t="str">
        <v>Level Scope?</v>
      </c>
      <c r="X5" s="4" t="str">
        <v>NO</v>
      </c>
      <c r="Z5" t="str">
        <v>Level Scope?</v>
      </c>
      <c r="AA5" s="4" t="str">
        <v>NO</v>
      </c>
      <c r="AC5" t="str">
        <v>Level Scope?</v>
      </c>
      <c r="AD5" s="4" t="str">
        <v>NO</v>
      </c>
      <c r="AH5">
        <v>3</v>
      </c>
      <c r="AI5" t="str">
        <f>IFNA(INDEX($K$1:$AE$1,1,MATCH($AH5,$K$10:$AE$10,0)),"")</f>
        <v xml:space="preserve">JPN Masonry </v>
      </c>
      <c r="AJ5" s="3">
        <f t="array" ref="AJ5">IFNA(INDEX($K$6:$AE$6,1,MATCH($AH5,$K$10:$AE$10,0)+1),"")</f>
        <v>1400950</v>
      </c>
      <c r="AK5" s="3">
        <f t="array" ref="AK5">IFNA(INDEX($K$7:$AE$7,1,MATCH($AH5,$K$10:$AE$10,0)+1),"")</f>
        <v>60900</v>
      </c>
      <c r="AL5" s="3">
        <f t="array" ref="AL5">IFNA(INDEX($K$8:$AE$8,1,MATCH($AH5,$K$10:$AE$10,0)+1),"")</f>
        <v>29237</v>
      </c>
      <c r="AM5" s="3">
        <f t="array" ref="AM5">IFNA(INDEX($K$9:$AE$9,1,MATCH($AH5,$K$10:$AE$10,0)+1),"")</f>
        <v>1491087</v>
      </c>
      <c r="AO5" s="9">
        <f>IFERROR(AN5*AM5,0)</f>
        <v>0</v>
      </c>
    </row>
    <row r="6" ht="14.25" customHeight="1" outlineLevel="1">
      <c r="K6" t="str">
        <v>Base Bid:</v>
      </c>
      <c r="L6" s="4">
        <v>1356862</v>
      </c>
      <c r="N6" t="str">
        <v>Base Bid:</v>
      </c>
      <c r="O6" s="4">
        <v>1399891</v>
      </c>
      <c r="Q6" t="str">
        <v>Base Bid:</v>
      </c>
      <c r="R6" s="4">
        <v>1400950</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Nija Thomas </v>
      </c>
      <c r="C7" t="str">
        <v>Contact:</v>
      </c>
      <c r="G7" s="8" t="str">
        <v>| MCN Budget</v>
      </c>
      <c r="I7" s="8">
        <f>SUM(I20:I128,I13:I18)</f>
        <v>0</v>
      </c>
      <c r="K7" t="str">
        <v>Adjustments:</v>
      </c>
      <c r="L7" s="4">
        <f>SUM(L13:L18,L20:L128)</f>
        <v>0</v>
      </c>
      <c r="N7" t="str">
        <v>Adjustments:</v>
      </c>
      <c r="O7" s="4">
        <f>SUM(O13:O18,O20:O128)</f>
        <v>0</v>
      </c>
      <c r="Q7" t="str">
        <v>Adjustments:</v>
      </c>
      <c r="R7" s="4">
        <f>SUM(R13:R18,R20:R128)</f>
        <v>60900</v>
      </c>
      <c r="T7" t="str">
        <v>Adjustments:</v>
      </c>
      <c r="U7" s="4">
        <f>SUM(U13:U18,U20:U128)</f>
        <v>0</v>
      </c>
      <c r="W7" t="str">
        <v>Adjustments:</v>
      </c>
      <c r="X7" s="4">
        <f>SUM(X13:X18,X20:X128)</f>
        <v>0</v>
      </c>
      <c r="Z7" t="str">
        <v>Adjustments:</v>
      </c>
      <c r="AA7" s="4">
        <f>SUM(AA13:AA18,AA20:AA128)</f>
        <v>0</v>
      </c>
      <c r="AC7" t="str">
        <v>Adjustments:</v>
      </c>
      <c r="AD7" s="4">
        <f>SUM(AD13:AD18,AD20:AD128)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27137.24</v>
      </c>
      <c r="M8" s="10">
        <v>0.02</v>
      </c>
      <c r="N8" t="str">
        <v>Bond:</v>
      </c>
      <c r="O8" s="4">
        <f>M8*SUM(O6:O7)</f>
        <v>27997.82</v>
      </c>
      <c r="P8" s="10">
        <v>0.02</v>
      </c>
      <c r="Q8" t="str">
        <v>Bond:</v>
      </c>
      <c r="R8" s="4">
        <f>P8*SUM(R6:R7)</f>
        <v>29237</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 xml:space="preserve">202-710-7534 </v>
      </c>
      <c r="C9" t="str">
        <v>Phone:</v>
      </c>
      <c r="G9" t="str">
        <v>-----</v>
      </c>
      <c r="H9" s="8" t="str">
        <v xml:space="preserve">  --------&gt;</v>
      </c>
      <c r="I9" s="8">
        <f>SUM(I7:I8)</f>
        <v>0</v>
      </c>
      <c r="K9" t="str">
        <v>Total Bid:</v>
      </c>
      <c r="L9" s="4">
        <f>IF(L5="FULL SCOPE",SUM(L6:L8),"not level")</f>
        <v>1383999.24</v>
      </c>
      <c r="N9" t="str">
        <v>Total Bid:</v>
      </c>
      <c r="O9" s="4">
        <f>IF(O5="FULL SCOPE",SUM(O6:O8),"not level")</f>
        <v>1427888.82</v>
      </c>
      <c r="Q9" t="str">
        <v>Total Bid:</v>
      </c>
      <c r="R9" s="4">
        <f>IF(R5="FULL SCOPE",SUM(R6:R8),"not level")</f>
        <v>1491087</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f>IF(R5="NO","INCOMPLETE",RANK.EQ(R9,$L$9:$AE$9,1))</f>
        <v>3</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J19" t="str">
        <v>Y</v>
      </c>
      <c r="L19" s="8">
        <v>1356862</v>
      </c>
      <c r="N19" t="str">
        <v>taxes excl</v>
      </c>
      <c r="O19" s="8">
        <v>1399891</v>
      </c>
      <c r="Q19" t="str">
        <v>taxes excl</v>
      </c>
      <c r="R19" s="8">
        <v>1400950</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Interior CMU</v>
      </c>
      <c r="C22" t="str">
        <v>#</v>
      </c>
      <c r="D22" t="str">
        <v>$</v>
      </c>
      <c r="I22" s="8">
        <f>H22*F22</f>
        <v>0</v>
      </c>
      <c r="J22" t="str">
        <v>Y</v>
      </c>
      <c r="M22" t="str">
        <v>Y</v>
      </c>
      <c r="N22" s="9">
        <v>174435</v>
      </c>
      <c r="P22" t="str">
        <v>Y</v>
      </c>
      <c r="Q22" s="9">
        <v>133670</v>
      </c>
    </row>
    <row r="23" ht="14.25" customHeight="1">
      <c r="A23">
        <v>5</v>
      </c>
      <c r="B23" t="str">
        <v xml:space="preserve">Brick Veneer </v>
      </c>
      <c r="C23" t="str">
        <v>#</v>
      </c>
      <c r="D23" t="str">
        <v>$</v>
      </c>
      <c r="I23" s="8">
        <f>H23*F23</f>
        <v>0</v>
      </c>
      <c r="J23" t="str">
        <v>Y</v>
      </c>
      <c r="M23" t="str">
        <v>Y</v>
      </c>
      <c r="N23" s="9">
        <v>975564</v>
      </c>
      <c r="P23" t="str">
        <v>Y</v>
      </c>
      <c r="Q23" s="9">
        <v>1082000</v>
      </c>
    </row>
    <row r="24" ht="14.25" customHeight="1">
      <c r="A24">
        <f>A23+1</f>
        <v>6</v>
      </c>
      <c r="B24" t="str">
        <v xml:space="preserve">Cast Stone </v>
      </c>
      <c r="C24" t="str">
        <v>#</v>
      </c>
      <c r="D24" t="str">
        <v>$</v>
      </c>
      <c r="I24" s="8">
        <f>H24*F24</f>
        <v>0</v>
      </c>
      <c r="J24" t="str">
        <v>Y</v>
      </c>
      <c r="M24" t="str">
        <v>Y</v>
      </c>
      <c r="N24" s="9">
        <v>249892</v>
      </c>
      <c r="P24" t="str">
        <v>Y</v>
      </c>
      <c r="Q24" s="9">
        <v>185280</v>
      </c>
    </row>
    <row r="25" ht="14.25" customHeight="1">
      <c r="A25">
        <v>7</v>
      </c>
      <c r="B25" t="str">
        <v xml:space="preserve">Rebar Installation </v>
      </c>
      <c r="C25" t="str">
        <v>#</v>
      </c>
      <c r="D25" t="str">
        <v>$</v>
      </c>
      <c r="I25" s="8">
        <v>0</v>
      </c>
      <c r="J25" t="str">
        <v>Y</v>
      </c>
      <c r="M25" t="str">
        <v>Y</v>
      </c>
      <c r="N25" s="9">
        <v>4000</v>
      </c>
      <c r="P25" t="str">
        <v>Y</v>
      </c>
    </row>
    <row r="26" ht="14.25" customHeight="1">
      <c r="A26">
        <v>8</v>
      </c>
      <c r="I26" s="8">
        <f>H26*F26</f>
        <v>0</v>
      </c>
    </row>
    <row r="27" ht="14.25" customHeight="1">
      <c r="A27">
        <f>A26+1</f>
        <v>9</v>
      </c>
      <c r="B27" t="str">
        <v>Key Quantity Breakdown</v>
      </c>
      <c r="I27" s="8">
        <f>H27*F27</f>
        <v>0</v>
      </c>
    </row>
    <row r="28" ht="14.25" customHeight="1">
      <c r="A28">
        <f>A27+1</f>
        <v>10</v>
      </c>
      <c r="B28" t="str">
        <v xml:space="preserve">CMU </v>
      </c>
      <c r="C28" t="str">
        <v>#</v>
      </c>
      <c r="D28" t="str">
        <v>SF</v>
      </c>
      <c r="I28" s="8">
        <f>H28*F28</f>
        <v>0</v>
      </c>
      <c r="J28" t="str">
        <v>Y</v>
      </c>
      <c r="M28" t="str">
        <v>Y</v>
      </c>
      <c r="N28" s="14">
        <v>4144</v>
      </c>
      <c r="P28" t="str">
        <v>Y</v>
      </c>
      <c r="Q28" s="14">
        <v>4249</v>
      </c>
    </row>
    <row r="29" ht="14.25" customHeight="1">
      <c r="A29">
        <f>A28+1</f>
        <v>11</v>
      </c>
      <c r="B29" t="str">
        <v>Brick Veneer</v>
      </c>
      <c r="C29" t="str">
        <v>#</v>
      </c>
      <c r="D29" t="str">
        <v>SF</v>
      </c>
      <c r="I29" s="8">
        <f>H29*F29</f>
        <v>0</v>
      </c>
      <c r="J29" t="str">
        <v>Y</v>
      </c>
      <c r="M29" t="str">
        <v>Y</v>
      </c>
      <c r="N29" s="14">
        <v>18761</v>
      </c>
      <c r="P29" t="str">
        <v>Y</v>
      </c>
      <c r="Q29" s="14">
        <v>21875</v>
      </c>
    </row>
    <row r="30" ht="14.25" customHeight="1">
      <c r="A30">
        <f>A29+1</f>
        <v>12</v>
      </c>
      <c r="B30" t="str">
        <v xml:space="preserve">Cast Stone </v>
      </c>
      <c r="C30" t="str">
        <v>#</v>
      </c>
      <c r="D30" t="str">
        <v>LF</v>
      </c>
      <c r="I30" s="8">
        <f>H30*F30</f>
        <v>0</v>
      </c>
      <c r="J30" t="str">
        <v>Y</v>
      </c>
      <c r="M30" t="str">
        <v>Y</v>
      </c>
      <c r="N30" s="14">
        <v>1295</v>
      </c>
      <c r="P30" t="str">
        <v>Y</v>
      </c>
      <c r="Q30" s="14">
        <v>1452</v>
      </c>
    </row>
    <row r="31" ht="14.25" customHeight="1">
      <c r="A31">
        <f>A30+1</f>
        <v>13</v>
      </c>
      <c r="B31" t="str">
        <v xml:space="preserve">Masonry Rebar (Install Only. Furnish By Others) </v>
      </c>
      <c r="C31" t="str">
        <v>#</v>
      </c>
      <c r="D31" t="str">
        <v>TONS</v>
      </c>
      <c r="I31" s="8">
        <v>0</v>
      </c>
      <c r="J31" t="str">
        <v>Y</v>
      </c>
      <c r="M31" t="str">
        <v>Y</v>
      </c>
      <c r="N31">
        <v>1</v>
      </c>
      <c r="P31" t="str">
        <v>Y</v>
      </c>
      <c r="Q31">
        <v>1.5</v>
      </c>
    </row>
    <row r="32" ht="14.25" customHeight="1">
      <c r="A32">
        <v>14</v>
      </c>
      <c r="B32" t="str">
        <v xml:space="preserve">Precast Panels </v>
      </c>
      <c r="C32" t="str">
        <v>#</v>
      </c>
      <c r="D32" t="str">
        <v>SF</v>
      </c>
      <c r="I32" s="8">
        <v>0</v>
      </c>
      <c r="J32" t="str">
        <v>Y</v>
      </c>
      <c r="M32" t="str">
        <v>Y</v>
      </c>
      <c r="N32">
        <v>373</v>
      </c>
    </row>
    <row r="33" ht="14.25" customHeight="1">
      <c r="B33" t="str">
        <v>Section 3 - Scope of Work</v>
      </c>
    </row>
    <row r="34" ht="14.25" customHeight="1">
      <c r="B34" t="str">
        <v xml:space="preserve">Furnish and Install All Items UON (Unless Otherwise Noted) </v>
      </c>
      <c r="C34" t="str">
        <v>Y</v>
      </c>
      <c r="J34" t="str">
        <v>Y</v>
      </c>
      <c r="M34" t="str">
        <v>Y</v>
      </c>
      <c r="P34" t="str">
        <v>Y</v>
      </c>
    </row>
    <row r="35" ht="14.25" customHeight="1">
      <c r="A35" t="str">
        <v>A</v>
      </c>
      <c r="B35" t="str">
        <v>Specifications</v>
      </c>
    </row>
    <row r="36" ht="14.25" customHeight="1">
      <c r="B36" t="str">
        <v xml:space="preserve">Division 01 - General Requirements (as applicable to this Bid Package) </v>
      </c>
      <c r="C36" t="str">
        <v>Y</v>
      </c>
      <c r="J36" t="str">
        <v>Y</v>
      </c>
      <c r="M36" t="str">
        <v>Y</v>
      </c>
      <c r="P36" t="str">
        <v>Y</v>
      </c>
    </row>
    <row r="37" ht="14.25" customHeight="1">
      <c r="B37" t="str">
        <v>04 20 00 - Unit Masonry</v>
      </c>
      <c r="C37" t="str">
        <v>Y</v>
      </c>
      <c r="J37" t="str">
        <v>Y</v>
      </c>
      <c r="M37" t="str">
        <v>Y</v>
      </c>
      <c r="P37" t="str">
        <v>Y</v>
      </c>
    </row>
    <row r="38" ht="14.25" customHeight="1">
      <c r="B38" t="str">
        <v xml:space="preserve">04 72 00 - Cast Stone Masonry </v>
      </c>
      <c r="C38" t="str">
        <v>Y</v>
      </c>
      <c r="J38" t="str">
        <v>Y</v>
      </c>
      <c r="M38" t="str">
        <v>Y</v>
      </c>
      <c r="P38" t="str">
        <v>Y</v>
      </c>
    </row>
    <row r="39" ht="14.25" customHeight="1">
      <c r="B39" t="str">
        <v xml:space="preserve">05 12 00 - Structural Steel Framing (as applicable to this Bid Package) </v>
      </c>
      <c r="C39" t="str">
        <v>Y</v>
      </c>
      <c r="M39" t="str">
        <v>Y</v>
      </c>
    </row>
    <row r="40" ht="14.25" customHeight="1">
      <c r="B40" t="str">
        <v xml:space="preserve">07 21 00 - Thermal Insulation (as applicable to this Bid Package) </v>
      </c>
      <c r="C40" t="str">
        <v>Y</v>
      </c>
      <c r="J40" t="str">
        <v>Y</v>
      </c>
      <c r="M40" t="str">
        <v>Y</v>
      </c>
      <c r="P40" t="str">
        <v>Y</v>
      </c>
    </row>
    <row r="41" ht="14.25" customHeight="1">
      <c r="B41" t="str">
        <v>07 27 26 - Fluid-Applied Membrane Air Barriers (as applicable to this Bid Package)</v>
      </c>
      <c r="C41" t="str">
        <v>Y</v>
      </c>
      <c r="M41" t="str">
        <v>N</v>
      </c>
    </row>
    <row r="42" ht="14.25" customHeight="1">
      <c r="B42" t="str">
        <v xml:space="preserve">07 62 00 - Sheet Metal Flashing and Trim (as applicable to this Bid Package) </v>
      </c>
      <c r="C42" t="str">
        <v>Y</v>
      </c>
      <c r="M42" t="str">
        <v>Y</v>
      </c>
    </row>
    <row r="43" ht="14.25" customHeight="1">
      <c r="B43" t="str">
        <v xml:space="preserve">07 92 00 - Joint Sealants (as applicable to this Bid Package) </v>
      </c>
      <c r="C43" t="str">
        <v>Y</v>
      </c>
      <c r="J43" t="str">
        <v>Y</v>
      </c>
      <c r="M43" t="str">
        <v>N</v>
      </c>
      <c r="P43" t="str">
        <v>Y</v>
      </c>
    </row>
    <row r="44" ht="14.25" customHeight="1">
      <c r="B44" t="str">
        <v xml:space="preserve">08 11 13 - Hollow Metal Doors and Frames (as applicable  to this Bid Package) </v>
      </c>
      <c r="C44" t="str">
        <v>Y</v>
      </c>
      <c r="J44" t="str">
        <v>Y</v>
      </c>
      <c r="M44" t="str">
        <v>Y</v>
      </c>
    </row>
    <row r="45" ht="14.25" customHeight="1">
      <c r="A45" t="str">
        <v>B</v>
      </c>
      <c r="B45" t="str">
        <v>Inclusions</v>
      </c>
    </row>
    <row r="46" ht="14.25" customHeight="1">
      <c r="A46">
        <v>1</v>
      </c>
      <c r="B46" t="str">
        <v>SPECIFIC SCOPE ITEMS</v>
      </c>
      <c r="C46" t="str">
        <v>Y</v>
      </c>
      <c r="I46" s="8">
        <f>H46*F46</f>
        <v>0</v>
      </c>
      <c r="J46" t="str">
        <v>Y</v>
      </c>
      <c r="M46" t="str">
        <v>Y</v>
      </c>
      <c r="P46" t="str">
        <v>Y</v>
      </c>
    </row>
    <row r="47" ht="14.25" customHeight="1">
      <c r="A47">
        <v>2</v>
      </c>
      <c r="B47" t="str">
        <v xml:space="preserve">This section outlines the requirements for furnishing, fabrication, and installation of all CMU and brick veneer systems as indicated in the Contract Documents. All masonry Work must meet specified design, quality, and performance standards. </v>
      </c>
      <c r="M47" t="str">
        <v>Y</v>
      </c>
    </row>
    <row r="48" ht="14.25" customHeight="1">
      <c r="A48">
        <v>3</v>
      </c>
      <c r="B48" t="str">
        <v>CMU:</v>
      </c>
      <c r="C48" t="str">
        <v>Y</v>
      </c>
      <c r="I48" s="8">
        <f>H48*F48</f>
        <v>0</v>
      </c>
      <c r="J48" t="str">
        <v>Y</v>
      </c>
      <c r="M48" t="str">
        <v>Y</v>
      </c>
      <c r="P48" t="str">
        <v>Y</v>
      </c>
    </row>
    <row r="49" ht="14.25" customHeight="1">
      <c r="A49">
        <v>4</v>
      </c>
      <c r="B49" t="str">
        <v xml:space="preserve">Furnish &amp; install CMU walls to lines &amp; grades, and all indicated masonry accessories, with sizes based on partition types and typical details: </v>
      </c>
      <c r="C49" t="str">
        <v>Y</v>
      </c>
      <c r="I49" s="8">
        <f>H49*F49</f>
        <v>0</v>
      </c>
      <c r="J49" t="str">
        <v>Y</v>
      </c>
      <c r="M49" t="str">
        <v>Y</v>
      </c>
      <c r="P49" t="str">
        <v>Y</v>
      </c>
    </row>
    <row r="50" ht="14.25" customHeight="1">
      <c r="A50">
        <v>5</v>
      </c>
      <c r="B50" t="str">
        <v xml:space="preserve"> Below grade CMU indicated on the Contract Documents </v>
      </c>
      <c r="C50" t="str">
        <v>Y</v>
      </c>
      <c r="J50" t="str">
        <v>Y</v>
      </c>
      <c r="M50" t="str">
        <v>Y</v>
      </c>
      <c r="P50" t="str">
        <v>Y</v>
      </c>
    </row>
    <row r="51" ht="14.25" customHeight="1">
      <c r="A51">
        <v>6</v>
      </c>
      <c r="B51" t="str">
        <v>Interior wall partitions at stairs and elevator and all other areas indicated on Contract Documents</v>
      </c>
      <c r="C51" t="str">
        <v>Y</v>
      </c>
      <c r="I51" s="8">
        <f>H51*F51</f>
        <v>0</v>
      </c>
      <c r="J51" t="str">
        <v>Y</v>
      </c>
      <c r="M51" t="str">
        <v>Y</v>
      </c>
      <c r="P51" t="str">
        <v>Y</v>
      </c>
    </row>
    <row r="52" ht="14.25" customHeight="1">
      <c r="A52">
        <v>7</v>
      </c>
      <c r="B52" t="str">
        <v>Exterior CMU wall back-up partitions</v>
      </c>
      <c r="C52" t="str">
        <v>Y</v>
      </c>
      <c r="I52" s="8">
        <f>H52*F52</f>
        <v>0</v>
      </c>
      <c r="J52" t="str">
        <v>Y</v>
      </c>
      <c r="M52" t="str">
        <v>Y</v>
      </c>
      <c r="P52" t="str">
        <v>Y</v>
      </c>
    </row>
    <row r="53" ht="14.25" customHeight="1">
      <c r="A53">
        <v>8</v>
      </c>
      <c r="B53" t="str">
        <v xml:space="preserve">Grout CMU bond beams as shown </v>
      </c>
      <c r="C53" t="str">
        <v>Y</v>
      </c>
      <c r="I53" s="8">
        <f>H53*F53</f>
        <v>0</v>
      </c>
      <c r="J53" t="str">
        <v>Y</v>
      </c>
      <c r="M53" t="str">
        <v>Y</v>
      </c>
      <c r="P53" t="str">
        <v>Y</v>
      </c>
    </row>
    <row r="54" ht="14.25" customHeight="1">
      <c r="A54">
        <v>9</v>
      </c>
      <c r="B54" t="str">
        <v xml:space="preserve">CMU/precast lintels or bond beams at openings in CMU walls </v>
      </c>
      <c r="C54" t="str">
        <v>Y</v>
      </c>
      <c r="I54" s="8">
        <f>H54*F54</f>
        <v>0</v>
      </c>
      <c r="J54" t="str">
        <v>Y</v>
      </c>
      <c r="M54" t="str">
        <v>Y</v>
      </c>
      <c r="P54" t="str">
        <v>Y</v>
      </c>
    </row>
    <row r="55" ht="14.25" customHeight="1">
      <c r="A55">
        <v>10</v>
      </c>
      <c r="B55" t="str">
        <v xml:space="preserve">Install reinforcing (rebar furnished by others) grouted into cells/bond beams as noted </v>
      </c>
      <c r="C55" t="str">
        <v>Y</v>
      </c>
      <c r="I55" s="8">
        <f>H55*F55</f>
        <v>0</v>
      </c>
      <c r="J55" t="str">
        <v>Y</v>
      </c>
      <c r="M55" t="str">
        <v>Y</v>
      </c>
      <c r="P55" t="str">
        <v>Y</v>
      </c>
    </row>
    <row r="56" ht="14.25" customHeight="1">
      <c r="A56">
        <v>11</v>
      </c>
      <c r="B56" t="str">
        <v xml:space="preserve">Mason is responsible for providing rebar drawings </v>
      </c>
      <c r="C56" t="str">
        <v>Y</v>
      </c>
      <c r="I56" s="8">
        <f>H56*F56</f>
        <v>0</v>
      </c>
      <c r="J56" t="str">
        <v>Y</v>
      </c>
      <c r="M56" t="str">
        <v>Y</v>
      </c>
      <c r="P56" t="str">
        <v>Y</v>
      </c>
    </row>
    <row r="57" ht="14.25" customHeight="1">
      <c r="A57">
        <v>12</v>
      </c>
      <c r="B57" t="str">
        <v xml:space="preserve">Provide quantity (ton) of rebar drawings </v>
      </c>
      <c r="C57" t="str">
        <v>Y</v>
      </c>
      <c r="I57" s="8">
        <f>H57*F57</f>
        <v>0</v>
      </c>
      <c r="J57" t="str">
        <v>Y</v>
      </c>
      <c r="M57" t="str">
        <v>Y</v>
      </c>
      <c r="P57" t="str">
        <v>Y</v>
      </c>
    </row>
    <row r="58" ht="14.25" customHeight="1">
      <c r="A58">
        <v>13</v>
      </c>
      <c r="B58" t="str">
        <v xml:space="preserve">Firestop the top of CMU walls as required </v>
      </c>
      <c r="C58" t="str">
        <v>Y</v>
      </c>
      <c r="I58" s="8">
        <v>0</v>
      </c>
      <c r="M58" t="str">
        <v>Y</v>
      </c>
    </row>
    <row r="59" ht="14.25" customHeight="1">
      <c r="A59">
        <v>14</v>
      </c>
      <c r="B59" t="str">
        <v xml:space="preserve">Control joint material and backer rod. Finish caulk by others. </v>
      </c>
      <c r="C59" t="str">
        <v>Y</v>
      </c>
      <c r="I59" s="8">
        <v>0</v>
      </c>
      <c r="M59" t="str">
        <v>N</v>
      </c>
    </row>
    <row r="60" ht="14.25" customHeight="1">
      <c r="A60">
        <v>15</v>
      </c>
      <c r="B60" t="str">
        <v xml:space="preserve">Grouting of elevator door frames and hollow metal (HM) door frames. </v>
      </c>
      <c r="C60" t="str">
        <v>Y</v>
      </c>
      <c r="I60" s="8">
        <v>0</v>
      </c>
      <c r="J60" t="str">
        <v>Y</v>
      </c>
      <c r="M60" t="str">
        <v>Y</v>
      </c>
      <c r="P60" t="str">
        <v>Y</v>
      </c>
    </row>
    <row r="61" ht="14.25" customHeight="1">
      <c r="A61">
        <v>16</v>
      </c>
      <c r="C61" t="str">
        <v>Y</v>
      </c>
      <c r="I61" s="8">
        <f>H61*F61</f>
        <v>0</v>
      </c>
    </row>
    <row r="62" ht="14.25" customHeight="1">
      <c r="A62">
        <v>17</v>
      </c>
      <c r="B62" t="str">
        <v>Brick Veneer (Main Building &amp; Pool House):</v>
      </c>
      <c r="C62" t="str">
        <v>Y</v>
      </c>
      <c r="I62" s="8">
        <f>H62*F62</f>
        <v>0</v>
      </c>
      <c r="J62" t="str">
        <v>Y</v>
      </c>
      <c r="M62" t="str">
        <v>Y</v>
      </c>
      <c r="P62" t="str">
        <v>Y</v>
      </c>
    </row>
    <row r="63" ht="14.25" customHeight="1">
      <c r="A63">
        <v>18</v>
      </c>
      <c r="B63" t="str">
        <v xml:space="preserve">Furnish and install all CMU walls according to the specified lines, grades, and all indicated masonry accessories, with sized based on partition types and typical details: </v>
      </c>
      <c r="C63" t="str">
        <v>Y</v>
      </c>
      <c r="I63" s="8">
        <f>H63*F63</f>
        <v>0</v>
      </c>
      <c r="J63" t="str">
        <v>Y</v>
      </c>
      <c r="M63" t="str">
        <v>Y</v>
      </c>
      <c r="P63" t="str">
        <v>Y</v>
      </c>
    </row>
    <row r="64" ht="14.25" customHeight="1">
      <c r="A64">
        <v>19</v>
      </c>
      <c r="B64" t="str">
        <v>4" below grade CMU</v>
      </c>
      <c r="C64" t="str">
        <v>Y</v>
      </c>
      <c r="I64" s="8">
        <f>H64*F64</f>
        <v>0</v>
      </c>
      <c r="J64" t="str">
        <v>Y</v>
      </c>
      <c r="M64" t="str">
        <v>Y</v>
      </c>
      <c r="P64" t="str">
        <v>Y</v>
      </c>
    </row>
    <row r="65" ht="14.25" customHeight="1">
      <c r="A65">
        <v>20</v>
      </c>
      <c r="B65" t="str">
        <v xml:space="preserve">8" CMU at pool house </v>
      </c>
      <c r="C65" t="str">
        <v>Y</v>
      </c>
      <c r="I65" s="8">
        <v>0</v>
      </c>
      <c r="J65" t="str">
        <v>Y</v>
      </c>
      <c r="M65" t="str">
        <v>Y</v>
      </c>
      <c r="P65" t="str">
        <v>Y</v>
      </c>
    </row>
    <row r="66" ht="14.25" customHeight="1">
      <c r="A66">
        <v>21</v>
      </c>
      <c r="B66" t="str">
        <v xml:space="preserve">Modular brick </v>
      </c>
      <c r="C66" t="str">
        <v>Y</v>
      </c>
      <c r="I66" s="8">
        <f>H66*F66</f>
        <v>0</v>
      </c>
      <c r="J66" t="str">
        <v>Y</v>
      </c>
      <c r="M66" t="str">
        <v>Y</v>
      </c>
      <c r="P66" t="str">
        <v>Y</v>
      </c>
    </row>
    <row r="67" ht="14.25" customHeight="1">
      <c r="A67">
        <v>22</v>
      </c>
      <c r="B67" t="str">
        <v xml:space="preserve">Brick soldier course header </v>
      </c>
      <c r="C67" t="str">
        <v>Y</v>
      </c>
      <c r="I67" s="8">
        <f>H67*F67</f>
        <v>0</v>
      </c>
      <c r="J67" t="str">
        <v>Y</v>
      </c>
      <c r="M67" t="str">
        <v>Y</v>
      </c>
      <c r="P67" t="str">
        <v>Y</v>
      </c>
    </row>
    <row r="68" ht="14.25" customHeight="1">
      <c r="A68">
        <v>23</v>
      </c>
      <c r="B68" t="str">
        <v xml:space="preserve">Through wall flashing </v>
      </c>
      <c r="C68" t="str">
        <v>Y</v>
      </c>
      <c r="I68" s="8">
        <f>H68*F68</f>
        <v>0</v>
      </c>
      <c r="J68" t="str">
        <v>Y</v>
      </c>
      <c r="M68" t="str">
        <v>Y</v>
      </c>
      <c r="P68" t="str">
        <v>Y</v>
      </c>
    </row>
    <row r="69" ht="14.25" customHeight="1">
      <c r="A69">
        <v>24</v>
      </c>
      <c r="B69" t="str">
        <v xml:space="preserve">Metal drip edge </v>
      </c>
      <c r="C69" t="str">
        <v>Y</v>
      </c>
      <c r="I69" s="8">
        <f>H69*F69</f>
        <v>0</v>
      </c>
      <c r="J69" t="str">
        <v>Y</v>
      </c>
      <c r="M69" t="str">
        <v>Y</v>
      </c>
      <c r="P69" t="str">
        <v>Y</v>
      </c>
    </row>
    <row r="70" ht="14.25" customHeight="1">
      <c r="A70">
        <v>25</v>
      </c>
      <c r="B70" t="str">
        <v xml:space="preserve">Weeps, cavity drainage material </v>
      </c>
      <c r="C70" t="str">
        <v>Y</v>
      </c>
      <c r="I70" s="8">
        <f>H70*F70</f>
        <v>0</v>
      </c>
      <c r="J70" t="str">
        <v>Y</v>
      </c>
      <c r="M70" t="str">
        <v>Y</v>
      </c>
      <c r="P70" t="str">
        <v>Y</v>
      </c>
    </row>
    <row r="71" ht="14.25" customHeight="1">
      <c r="A71">
        <v>26</v>
      </c>
      <c r="B71" t="str">
        <v xml:space="preserve">End dams </v>
      </c>
      <c r="C71" t="str">
        <v>Y</v>
      </c>
      <c r="I71" s="8">
        <f>H71*F71</f>
        <v>0</v>
      </c>
      <c r="J71" t="str">
        <v>Y</v>
      </c>
      <c r="M71" t="str">
        <v>Y</v>
      </c>
      <c r="P71" t="str">
        <v>Y</v>
      </c>
    </row>
    <row r="72" ht="14.25" customHeight="1">
      <c r="A72">
        <v>27</v>
      </c>
      <c r="B72" t="str">
        <v xml:space="preserve">Furnish brick tie anchor plates to drywall contrtactor for installation </v>
      </c>
      <c r="C72" t="str">
        <v>Y</v>
      </c>
      <c r="I72" s="8">
        <v>0</v>
      </c>
      <c r="J72" t="str">
        <v>Y</v>
      </c>
      <c r="M72" t="str">
        <v>Y</v>
      </c>
      <c r="P72" t="str">
        <v>Y</v>
      </c>
    </row>
    <row r="73" ht="14.25" customHeight="1">
      <c r="A73">
        <v>28</v>
      </c>
      <c r="B73" t="str">
        <v xml:space="preserve">Furnish &amp; install brick tie anchor plates on sheathing. Provide Alternate </v>
      </c>
      <c r="C73" t="str">
        <v>ALT</v>
      </c>
      <c r="I73" s="8">
        <v>0</v>
      </c>
      <c r="J73" t="str">
        <v>Y</v>
      </c>
      <c r="M73" t="str">
        <v>Y</v>
      </c>
      <c r="P73" t="str">
        <v>N</v>
      </c>
      <c r="Q73" t="str">
        <v>ADD</v>
      </c>
      <c r="R73" s="8">
        <v>60000</v>
      </c>
    </row>
    <row r="74" ht="14.25" customHeight="1">
      <c r="A74">
        <v>29</v>
      </c>
      <c r="B74" t="str">
        <v xml:space="preserve">Grout cavity insulation behind masonry façade, includimg under copings and at joints </v>
      </c>
      <c r="C74" t="str">
        <v>Y</v>
      </c>
      <c r="I74" s="8">
        <f>H74*F74</f>
        <v>0</v>
      </c>
      <c r="J74" t="str">
        <v>Y</v>
      </c>
      <c r="M74" t="str">
        <v>Y</v>
      </c>
      <c r="P74" t="str">
        <v>Y</v>
      </c>
    </row>
    <row r="75" ht="14.25" customHeight="1">
      <c r="A75">
        <v>30</v>
      </c>
      <c r="B75" t="str">
        <v xml:space="preserve">Compressible filler in masonry façade, including under copings and at joints </v>
      </c>
      <c r="C75" t="str">
        <v>Y</v>
      </c>
      <c r="I75" s="8">
        <f>H75*F75</f>
        <v>0</v>
      </c>
      <c r="J75" t="str">
        <v>Y</v>
      </c>
      <c r="M75" t="str">
        <v>Y</v>
      </c>
      <c r="P75" t="str">
        <v>Y</v>
      </c>
    </row>
    <row r="76" ht="14.25" customHeight="1">
      <c r="A76">
        <v>31</v>
      </c>
      <c r="B76" t="str">
        <v xml:space="preserve">Control joint material and backer rod. Finish caulk by others. </v>
      </c>
      <c r="C76" t="str">
        <v>Y</v>
      </c>
      <c r="I76" s="8">
        <f>H76*F76</f>
        <v>0</v>
      </c>
      <c r="J76" t="str">
        <v>Y</v>
      </c>
      <c r="M76" t="str">
        <v>Y</v>
      </c>
      <c r="P76" t="str">
        <v>Y</v>
      </c>
    </row>
    <row r="77" ht="14.25" customHeight="1">
      <c r="A77">
        <v>32</v>
      </c>
    </row>
    <row r="78" ht="14.25" customHeight="1">
      <c r="A78">
        <v>33</v>
      </c>
      <c r="B78" t="str">
        <v>Cast Stone (Main Building &amp;Pool House) :</v>
      </c>
      <c r="C78" t="str">
        <v>Y</v>
      </c>
      <c r="I78" s="8">
        <f>H78*F78</f>
        <v>0</v>
      </c>
      <c r="J78" t="str">
        <v>Y</v>
      </c>
      <c r="M78" t="str">
        <v>Y</v>
      </c>
      <c r="P78" t="str">
        <v>Y</v>
      </c>
    </row>
    <row r="79" ht="14.25" customHeight="1">
      <c r="A79">
        <v>34</v>
      </c>
      <c r="B79" t="str">
        <v xml:space="preserve">Furnish &amp; install all cast stone to sizes, shapes, lines &amp; grades indicated: </v>
      </c>
      <c r="C79" t="str">
        <v>Y</v>
      </c>
      <c r="I79" s="8">
        <f>H79*F79</f>
        <v>0</v>
      </c>
      <c r="J79" t="str">
        <v>Y</v>
      </c>
      <c r="M79" t="str">
        <v>Y</v>
      </c>
      <c r="P79" t="str">
        <v>Y</v>
      </c>
    </row>
    <row r="80" ht="14.25" customHeight="1">
      <c r="A80">
        <v>35</v>
      </c>
      <c r="B80" t="str">
        <v>Cast stone cap at parapet, TYP</v>
      </c>
      <c r="C80" t="str">
        <v>Y</v>
      </c>
      <c r="I80" s="8">
        <f>H80*F80</f>
        <v>0</v>
      </c>
      <c r="J80" t="str">
        <v>Y</v>
      </c>
      <c r="M80" t="str">
        <v>Y</v>
      </c>
      <c r="P80" t="str">
        <v>Y</v>
      </c>
    </row>
    <row r="81" ht="14.25" customHeight="1">
      <c r="A81">
        <v>36</v>
      </c>
      <c r="B81" t="str">
        <v>Provide cast stone shapes as shown</v>
      </c>
      <c r="C81" t="str">
        <v>Y</v>
      </c>
      <c r="I81" s="8">
        <v>0</v>
      </c>
      <c r="J81" t="str">
        <v>Y</v>
      </c>
      <c r="M81" t="str">
        <v>Y</v>
      </c>
      <c r="P81" t="str">
        <v>Y</v>
      </c>
    </row>
    <row r="82" ht="14.25" customHeight="1">
      <c r="A82">
        <v>37</v>
      </c>
      <c r="B82" t="str">
        <v>Install handset cast stone banding, sills, lintels and copings (under 300 lbs)</v>
      </c>
      <c r="C82" t="str">
        <v>Y</v>
      </c>
      <c r="I82" s="8">
        <f>H82*F82</f>
        <v>0</v>
      </c>
      <c r="J82" t="str">
        <v>Y</v>
      </c>
      <c r="M82" t="str">
        <v>Y</v>
      </c>
      <c r="P82" t="str">
        <v>Y</v>
      </c>
    </row>
    <row r="83" ht="14.25" customHeight="1">
      <c r="A83">
        <v>38</v>
      </c>
      <c r="B83" t="str">
        <v>Cast stone coping</v>
      </c>
      <c r="C83" t="str">
        <v>Y</v>
      </c>
      <c r="I83" s="8">
        <v>0</v>
      </c>
      <c r="J83" t="str">
        <v>Y</v>
      </c>
      <c r="M83" t="str">
        <v>Y</v>
      </c>
      <c r="P83" t="str">
        <v>Y</v>
      </c>
    </row>
    <row r="84" ht="14.25" customHeight="1">
      <c r="A84">
        <v>39</v>
      </c>
      <c r="B84" t="str">
        <v>Finishes and colors as indicated</v>
      </c>
      <c r="C84" t="str">
        <v>Y</v>
      </c>
      <c r="I84" s="8">
        <v>0</v>
      </c>
      <c r="J84" t="str">
        <v>Y</v>
      </c>
      <c r="M84" t="str">
        <v>Y</v>
      </c>
      <c r="P84" t="str">
        <v>Y</v>
      </c>
    </row>
    <row r="85" ht="14.25" customHeight="1">
      <c r="A85">
        <v>40</v>
      </c>
      <c r="B85" t="str">
        <v xml:space="preserve">Include means of lifting and setting all pieces </v>
      </c>
      <c r="C85" t="str">
        <v>Y</v>
      </c>
      <c r="I85" s="8">
        <v>0</v>
      </c>
      <c r="J85" t="str">
        <v>Y</v>
      </c>
      <c r="M85" t="str">
        <v>Y</v>
      </c>
      <c r="P85" t="str">
        <v>Y</v>
      </c>
    </row>
    <row r="86" ht="14.25" customHeight="1">
      <c r="A86">
        <v>41</v>
      </c>
      <c r="B86" t="str">
        <v>Provide anchors/dowels/attachment hardware necessary for installation</v>
      </c>
      <c r="C86" t="str">
        <v>Y</v>
      </c>
      <c r="I86" s="8">
        <v>0</v>
      </c>
      <c r="J86" t="str">
        <v>Y</v>
      </c>
      <c r="M86" t="str">
        <v>Y</v>
      </c>
      <c r="P86" t="str">
        <v>Y</v>
      </c>
    </row>
    <row r="87" ht="14.25" customHeight="1">
      <c r="A87">
        <v>42</v>
      </c>
      <c r="B87" t="str">
        <v>Mortar/grout</v>
      </c>
      <c r="C87" t="str">
        <v>Y</v>
      </c>
      <c r="I87" s="8">
        <v>0</v>
      </c>
      <c r="J87" t="str">
        <v>Y</v>
      </c>
      <c r="M87" t="str">
        <v>Y</v>
      </c>
      <c r="P87" t="str">
        <v>Y</v>
      </c>
    </row>
    <row r="88" ht="14.25" customHeight="1">
      <c r="A88">
        <v>43</v>
      </c>
    </row>
    <row r="89" ht="14.25" customHeight="1">
      <c r="A89">
        <v>44</v>
      </c>
      <c r="B89" t="str">
        <v>STANDARD / GENERAL SCOPE</v>
      </c>
      <c r="C89" t="str">
        <v>Y</v>
      </c>
      <c r="I89" s="8">
        <f>H89*F89</f>
        <v>0</v>
      </c>
      <c r="J89" t="str">
        <v>Y</v>
      </c>
    </row>
    <row r="90" ht="14.25" customHeight="1">
      <c r="A90">
        <v>45</v>
      </c>
      <c r="B90" t="str">
        <v>Provide all tools, equip, scaffolding, swing stages, lifts, hoisting, etc for your work</v>
      </c>
      <c r="C90" t="str">
        <v>Y</v>
      </c>
      <c r="I90" s="8">
        <f>H90*F90</f>
        <v>0</v>
      </c>
      <c r="J90" t="str">
        <v>Y</v>
      </c>
    </row>
    <row r="91" ht="14.25" customHeight="1">
      <c r="A91">
        <v>46</v>
      </c>
      <c r="B91" t="str">
        <v>Allow scaffolding to be used by waterproofing and drywall contractor for installation of sheathing, vapor barrier, brick ties and any damproofing necessary</v>
      </c>
      <c r="C91" t="str">
        <v>Y</v>
      </c>
      <c r="I91" s="8">
        <f>H91*F91</f>
        <v>0</v>
      </c>
      <c r="J91" t="str">
        <v>Y</v>
      </c>
      <c r="M91" t="str">
        <v>Y</v>
      </c>
      <c r="P91" t="str">
        <v>N</v>
      </c>
      <c r="Q91" t="str">
        <v>SEE ALT BELOW</v>
      </c>
      <c r="R91" s="8">
        <v>900</v>
      </c>
    </row>
    <row r="92" ht="14.25" customHeight="1">
      <c r="A92">
        <v>47</v>
      </c>
      <c r="B92" t="str">
        <v>Accessories to include mortar materials (mixed on-site) horizontal reinforcing, compressible filler/fire safing at all tops of CMU partitions, masonry anchors/ties, dovetails, wedge anchors, mortar net, weep hole fillers, etc</v>
      </c>
      <c r="C92" t="str">
        <v>Y</v>
      </c>
      <c r="I92" s="8">
        <f>H92*F92</f>
        <v>0</v>
      </c>
      <c r="J92" t="str">
        <v>Y</v>
      </c>
      <c r="M92" t="str">
        <v>Y</v>
      </c>
      <c r="P92" t="str">
        <v>Y</v>
      </c>
    </row>
    <row r="93" ht="14.25" customHeight="1">
      <c r="A93">
        <v>48</v>
      </c>
      <c r="B93" t="str">
        <v>Field cut masonry to fit site conditions and the work of other trades</v>
      </c>
      <c r="C93" t="str">
        <v>Y</v>
      </c>
      <c r="I93" s="8">
        <f>H93*F93</f>
        <v>0</v>
      </c>
      <c r="J93" t="str">
        <v>Y</v>
      </c>
      <c r="M93" t="str">
        <v>Y</v>
      </c>
      <c r="P93" t="str">
        <v>Y</v>
      </c>
    </row>
    <row r="94" ht="14.25" customHeight="1">
      <c r="A94">
        <v>49</v>
      </c>
      <c r="B94" t="str">
        <v>Install loose steel lintels (furnished by others)</v>
      </c>
      <c r="C94" t="str">
        <v>Y</v>
      </c>
      <c r="I94" s="8">
        <f>H94*F94</f>
        <v>0</v>
      </c>
      <c r="J94" t="str">
        <v>Y</v>
      </c>
      <c r="M94" t="str">
        <v>Y</v>
      </c>
      <c r="P94" t="str">
        <v>Y</v>
      </c>
    </row>
    <row r="95" ht="14.25" customHeight="1">
      <c r="A95">
        <v>50</v>
      </c>
      <c r="B95" t="str">
        <v>Tooling of joints</v>
      </c>
      <c r="C95" t="str">
        <v>Y</v>
      </c>
      <c r="I95" s="8">
        <f>H95*F95</f>
        <v>0</v>
      </c>
      <c r="J95" t="str">
        <v>Y</v>
      </c>
      <c r="M95" t="str">
        <v>Y</v>
      </c>
      <c r="P95" t="str">
        <v>Y</v>
      </c>
    </row>
    <row r="96" ht="14.25" customHeight="1">
      <c r="A96">
        <v>51</v>
      </c>
      <c r="B96" t="str">
        <v>Vertical control joints as shown or at least 30'-0" o.c.</v>
      </c>
      <c r="C96" t="str">
        <v>Y</v>
      </c>
      <c r="I96" s="8">
        <f>H96*F96</f>
        <v>0</v>
      </c>
      <c r="J96" t="str">
        <v>Y</v>
      </c>
      <c r="M96" t="str">
        <v>Y</v>
      </c>
      <c r="P96" t="str">
        <v>Y</v>
      </c>
    </row>
    <row r="97" ht="14.25" customHeight="1">
      <c r="A97">
        <v>52</v>
      </c>
      <c r="B97" t="str">
        <v>Clean up debris and dispose in MCN dumpster</v>
      </c>
      <c r="C97" t="str">
        <v>Y</v>
      </c>
      <c r="I97" s="8">
        <f>H97*F97</f>
        <v>0</v>
      </c>
      <c r="J97" t="str">
        <v>Y</v>
      </c>
      <c r="M97" t="str">
        <v>Y</v>
      </c>
      <c r="P97" t="str">
        <v>Y</v>
      </c>
    </row>
    <row r="98" ht="14.25" customHeight="1">
      <c r="A98">
        <v>53</v>
      </c>
      <c r="B98" t="str">
        <v>Protect work of other trades from damage by your operations</v>
      </c>
      <c r="C98" t="str">
        <v>Y</v>
      </c>
      <c r="I98" s="8">
        <f>H98*F98</f>
        <v>0</v>
      </c>
      <c r="J98" t="str">
        <v>Y</v>
      </c>
      <c r="M98" t="str">
        <v>Y</v>
      </c>
      <c r="P98" t="str">
        <v>Y</v>
      </c>
    </row>
    <row r="99" ht="14.25" customHeight="1">
      <c r="A99">
        <v>54</v>
      </c>
      <c r="B99" t="str">
        <v>Samples, product data, mix designs, test reports, certs, etc</v>
      </c>
      <c r="C99" t="str">
        <v>Y</v>
      </c>
      <c r="I99" s="8">
        <f>H99*F99</f>
        <v>0</v>
      </c>
      <c r="J99" t="str">
        <v>Y</v>
      </c>
      <c r="M99" t="str">
        <v>Y</v>
      </c>
      <c r="P99" t="str">
        <v>Y</v>
      </c>
    </row>
    <row r="100" ht="14.25" customHeight="1">
      <c r="A100">
        <v>55</v>
      </c>
      <c r="B100" t="str">
        <v>Mock-up</v>
      </c>
      <c r="C100" t="str">
        <v>Y</v>
      </c>
      <c r="I100" s="8">
        <f>H100*F100</f>
        <v>0</v>
      </c>
      <c r="J100" t="str">
        <v>Y</v>
      </c>
      <c r="M100" t="str">
        <v>Y</v>
      </c>
      <c r="P100" t="str">
        <v>Y</v>
      </c>
    </row>
    <row r="101" ht="14.25" customHeight="1">
      <c r="A101">
        <v>56</v>
      </c>
      <c r="B101" t="str">
        <v>Layout from GC control lines and benchmarks</v>
      </c>
      <c r="C101" t="str">
        <v>Y</v>
      </c>
      <c r="I101" s="8">
        <f>H101*F101</f>
        <v>0</v>
      </c>
      <c r="J101" t="str">
        <v>Y</v>
      </c>
      <c r="M101" t="str">
        <v>Y</v>
      </c>
      <c r="P101" t="str">
        <v>Y</v>
      </c>
    </row>
    <row r="102" ht="14.25" customHeight="1">
      <c r="A102" t="str">
        <v>C</v>
      </c>
      <c r="B102" t="str">
        <v>Exclusions</v>
      </c>
    </row>
    <row r="103" ht="14.25" customHeight="1">
      <c r="A103">
        <v>1</v>
      </c>
      <c r="B103" t="str">
        <v>Rebar material</v>
      </c>
      <c r="C103" t="str">
        <v>N</v>
      </c>
      <c r="D103" t="str">
        <v>by concrete</v>
      </c>
      <c r="J103" t="str">
        <v>N</v>
      </c>
      <c r="M103" t="str">
        <v>N</v>
      </c>
      <c r="P103" t="str">
        <v>N</v>
      </c>
    </row>
    <row r="104" ht="14.25" customHeight="1">
      <c r="A104">
        <v>2</v>
      </c>
      <c r="B104" t="str">
        <v>Misc metals supports, braces, clip angles, embeds, etc.</v>
      </c>
      <c r="C104" t="str">
        <v>N</v>
      </c>
      <c r="D104" t="str">
        <v>by metals</v>
      </c>
      <c r="J104" t="str">
        <v>N</v>
      </c>
      <c r="M104" t="str">
        <v>N</v>
      </c>
      <c r="P104" t="str">
        <v>N</v>
      </c>
    </row>
    <row r="105" ht="14.25" customHeight="1">
      <c r="A105">
        <f>A104+1</f>
        <v>3</v>
      </c>
      <c r="B105" t="str">
        <v>Wood blocking</v>
      </c>
      <c r="C105" t="str">
        <v>N</v>
      </c>
      <c r="D105" t="str">
        <v>by carpentry</v>
      </c>
      <c r="J105" t="str">
        <v>N</v>
      </c>
      <c r="M105" t="str">
        <v>N</v>
      </c>
      <c r="P105" t="str">
        <v>N</v>
      </c>
    </row>
    <row r="106" ht="14.25" customHeight="1">
      <c r="A106">
        <f>A105+1</f>
        <v>4</v>
      </c>
      <c r="B106" t="str">
        <v>Metal flashing material</v>
      </c>
      <c r="C106" t="str">
        <v>N</v>
      </c>
      <c r="D106" t="str">
        <v>by roofer; glazier</v>
      </c>
      <c r="J106" t="str">
        <v>N</v>
      </c>
      <c r="M106" t="str">
        <v>N</v>
      </c>
      <c r="P106" t="str">
        <v>N</v>
      </c>
    </row>
    <row r="107" ht="14.25" customHeight="1">
      <c r="A107">
        <f>A106+1</f>
        <v>5</v>
      </c>
      <c r="B107" t="str">
        <v>Sealant and backer rod</v>
      </c>
      <c r="C107" t="str">
        <v>N</v>
      </c>
      <c r="D107" t="str">
        <v>by caulk</v>
      </c>
      <c r="J107" t="str">
        <v>N</v>
      </c>
      <c r="M107" t="str">
        <v>N</v>
      </c>
      <c r="P107" t="str">
        <v>N</v>
      </c>
    </row>
    <row r="108" ht="14.25" customHeight="1">
      <c r="A108">
        <v>6</v>
      </c>
      <c r="B108" t="str">
        <v>Setting of hollow metal frames</v>
      </c>
      <c r="C108" t="str">
        <v>N</v>
      </c>
      <c r="D108" t="str">
        <v>by carpentry</v>
      </c>
      <c r="J108" t="str">
        <v>N</v>
      </c>
      <c r="M108" t="str">
        <v>N</v>
      </c>
      <c r="P108" t="str">
        <v>N</v>
      </c>
    </row>
    <row r="109" ht="14.25" customHeight="1">
      <c r="A109">
        <v>7</v>
      </c>
      <c r="B109" t="str">
        <v>Winter Protection</v>
      </c>
      <c r="C109" t="str">
        <v>N</v>
      </c>
      <c r="D109" t="str">
        <v>by GC, if req'd</v>
      </c>
      <c r="J109" t="str">
        <v>N</v>
      </c>
      <c r="M109" t="str">
        <v>N</v>
      </c>
      <c r="P109" t="str">
        <v>N</v>
      </c>
    </row>
    <row r="110" ht="14.25" customHeight="1">
      <c r="A110">
        <v>8</v>
      </c>
      <c r="B110" t="str">
        <v xml:space="preserve">Air Barriers </v>
      </c>
      <c r="C110" t="str">
        <v>N</v>
      </c>
      <c r="D110" t="str">
        <v xml:space="preserve">by waterproofing </v>
      </c>
      <c r="J110" t="str">
        <v>N</v>
      </c>
      <c r="M110" t="str">
        <v>N</v>
      </c>
      <c r="P110" t="str">
        <v>N</v>
      </c>
    </row>
    <row r="111" ht="14.25" customHeight="1">
      <c r="A111" t="str">
        <v>D</v>
      </c>
      <c r="B111" t="str">
        <v>Schedule</v>
      </c>
    </row>
    <row r="112" ht="14.25" customHeight="1">
      <c r="A112">
        <v>1</v>
      </c>
      <c r="B112" t="str">
        <v>Meet MCN Schedule</v>
      </c>
      <c r="C112" t="str">
        <v>Y</v>
      </c>
      <c r="M112" t="str">
        <v>Y</v>
      </c>
      <c r="N112" t="str">
        <v>TBD</v>
      </c>
      <c r="P112" t="str">
        <v>Y</v>
      </c>
      <c r="Q112" t="str">
        <v>Yes</v>
      </c>
    </row>
    <row r="113" ht="14.25" customHeight="1">
      <c r="A113">
        <f>A112+1</f>
        <v>2</v>
      </c>
      <c r="B113" t="str">
        <v>Advise of Durations</v>
      </c>
    </row>
    <row r="114" ht="14.25" customHeight="1">
      <c r="A114">
        <f>A113+1</f>
        <v>3</v>
      </c>
      <c r="B114" t="str">
        <v xml:space="preserve">Submittals </v>
      </c>
      <c r="C114" t="str">
        <v>---&gt;</v>
      </c>
      <c r="M114" t="str">
        <v>Y</v>
      </c>
      <c r="N114" t="str">
        <v xml:space="preserve">2 weeks </v>
      </c>
      <c r="P114" t="str">
        <v>Y</v>
      </c>
      <c r="Q114" t="str">
        <v>2-3 weeks</v>
      </c>
    </row>
    <row r="115" ht="14.25" customHeight="1">
      <c r="A115">
        <f>A114+1</f>
        <v>4</v>
      </c>
      <c r="B115" t="str">
        <v xml:space="preserve">Drawings </v>
      </c>
      <c r="C115" t="str">
        <v>---&gt;</v>
      </c>
      <c r="M115" t="str">
        <v>Y</v>
      </c>
      <c r="N115" t="str">
        <v>4-5 weeks</v>
      </c>
      <c r="P115" t="str">
        <v>Y</v>
      </c>
      <c r="Q115" t="str">
        <v>3-4 weeks</v>
      </c>
    </row>
    <row r="116" ht="14.25" customHeight="1">
      <c r="A116">
        <f>A115+1</f>
        <v>5</v>
      </c>
      <c r="B116" t="str">
        <v xml:space="preserve">Brick Install </v>
      </c>
      <c r="C116" t="str">
        <v>---&gt;</v>
      </c>
      <c r="M116" t="str">
        <v>Y</v>
      </c>
      <c r="N116" t="str">
        <v>TBD</v>
      </c>
      <c r="P116" t="str">
        <v>Y</v>
      </c>
      <c r="Q116" t="str">
        <v>20 weeks</v>
      </c>
    </row>
    <row r="117" ht="14.25" customHeight="1">
      <c r="A117">
        <v>6</v>
      </c>
      <c r="B117" t="str">
        <v>Advise of Lead Times:</v>
      </c>
    </row>
    <row r="118" ht="14.25" customHeight="1">
      <c r="A118">
        <f>A117+1</f>
        <v>7</v>
      </c>
      <c r="B118" t="str">
        <v>Brick Veneer</v>
      </c>
      <c r="C118" t="str">
        <v>---&gt;</v>
      </c>
      <c r="M118" t="str">
        <v>Y</v>
      </c>
      <c r="N118" t="str">
        <v>TBD</v>
      </c>
      <c r="P118" t="str">
        <v>Y</v>
      </c>
      <c r="Q118" t="str">
        <v>20 weeks</v>
      </c>
    </row>
    <row r="119" ht="14.25" customHeight="1">
      <c r="A119">
        <f>A118+1</f>
        <v>8</v>
      </c>
      <c r="B119" t="str">
        <v>Cast Stone</v>
      </c>
      <c r="C119" t="str">
        <v>---&gt;</v>
      </c>
      <c r="M119" t="str">
        <v>Y</v>
      </c>
      <c r="N119" t="str">
        <v>TBD</v>
      </c>
      <c r="P119" t="str">
        <v>Y</v>
      </c>
      <c r="Q119" t="str">
        <v>10-12 weeks</v>
      </c>
    </row>
    <row r="120" ht="14.25" customHeight="1">
      <c r="A120">
        <f>A119+1</f>
        <v>9</v>
      </c>
      <c r="B120" t="str">
        <v>CMU</v>
      </c>
      <c r="C120" t="str">
        <v>---&gt;</v>
      </c>
      <c r="M120" t="str">
        <v>Y</v>
      </c>
      <c r="N120" t="str">
        <v>1 week</v>
      </c>
      <c r="P120" t="str">
        <v>Y</v>
      </c>
      <c r="Q120" t="str">
        <v>3-4 weeks</v>
      </c>
    </row>
    <row r="121" ht="14.25" customHeight="1">
      <c r="A121">
        <v>10</v>
      </c>
    </row>
    <row r="122" ht="14.25" customHeight="1"/>
    <row r="123" ht="14.25" customHeight="1">
      <c r="B123" t="str">
        <v>Allowances</v>
      </c>
    </row>
    <row r="124" ht="14.25" customHeight="1">
      <c r="A124">
        <v>1</v>
      </c>
    </row>
    <row r="125" ht="14.25" customHeight="1">
      <c r="A125">
        <f>A124+1</f>
        <v>2</v>
      </c>
    </row>
    <row r="126" ht="14.25" customHeight="1">
      <c r="A126">
        <f>A125+1</f>
        <v>3</v>
      </c>
    </row>
    <row r="127" ht="14.25" customHeight="1">
      <c r="A127">
        <f>A126+1</f>
        <v>4</v>
      </c>
    </row>
    <row r="128" ht="14.25" customHeight="1"/>
    <row r="129" ht="14.25" customHeight="1"/>
    <row r="130" ht="14.25" customHeight="1">
      <c r="B130" t="str">
        <v>Alternates</v>
      </c>
    </row>
    <row r="131" ht="14.25" customHeight="1">
      <c r="A131">
        <v>1</v>
      </c>
      <c r="B131" t="str">
        <v>Alternate #1 - Furnish &amp; install brick tie anchor plates on sheathing</v>
      </c>
      <c r="C131" t="str">
        <v>#</v>
      </c>
      <c r="M131" t="str">
        <v>Y</v>
      </c>
      <c r="N131" t="str">
        <v>Incl in base bid</v>
      </c>
      <c r="P131" t="str">
        <v>N</v>
      </c>
      <c r="Q131" t="str">
        <v>ADD</v>
      </c>
      <c r="R131" s="8">
        <v>60000</v>
      </c>
    </row>
    <row r="132" ht="14.25" customHeight="1">
      <c r="A132">
        <f>A131+1</f>
        <v>2</v>
      </c>
      <c r="B132" t="str">
        <v>Alternate #2 - Installation of brick tie anchor plates on sheathing</v>
      </c>
      <c r="C132" t="str">
        <v>#</v>
      </c>
      <c r="P132" t="str">
        <v>N</v>
      </c>
    </row>
    <row r="133" ht="14.25" customHeight="1">
      <c r="A133">
        <f>A132+1</f>
        <v>3</v>
      </c>
      <c r="B133" t="str">
        <v xml:space="preserve">Sub Alternate - Allow scaffolding to be used by other trades - ADD $900/each sub/weekly </v>
      </c>
      <c r="C133" t="str">
        <v>#</v>
      </c>
      <c r="P133" t="str">
        <v>Y</v>
      </c>
      <c r="Q133" t="str">
        <v>ADD Above</v>
      </c>
    </row>
    <row r="134" ht="14.25" customHeight="1">
      <c r="A134">
        <f>A133+1</f>
        <v>4</v>
      </c>
      <c r="B134" t="str">
        <v>Sub Alternate - Use Glen grey 56-DD in lieu Watsontown Rosemount molded - DEDUCT - $12,000</v>
      </c>
      <c r="C134" t="str">
        <v>#</v>
      </c>
      <c r="P134" t="str">
        <v>Y</v>
      </c>
    </row>
    <row r="135" ht="14.25" customHeight="1">
      <c r="A135">
        <v>5</v>
      </c>
      <c r="B135" t="str">
        <v>Sub Alternate - F &amp;I 2" Z girt as shown in 1 &amp;2/A6.2. Add - $102,810</v>
      </c>
      <c r="C135" t="str">
        <v>#</v>
      </c>
      <c r="P135" t="str">
        <v>Y</v>
      </c>
    </row>
    <row r="136" ht="14.25" customHeight="1">
      <c r="B136" t="str">
        <v>Unit Prices</v>
      </c>
    </row>
    <row r="137" ht="14.25" customHeight="1">
      <c r="A137">
        <v>1</v>
      </c>
      <c r="C137" t="str">
        <v>#</v>
      </c>
    </row>
    <row r="138" ht="14.25" customHeight="1">
      <c r="A138">
        <f>A137+1</f>
        <v>2</v>
      </c>
      <c r="C138" t="str">
        <v>#</v>
      </c>
    </row>
    <row r="139" ht="14.25" customHeight="1">
      <c r="A139">
        <f>A138+1</f>
        <v>3</v>
      </c>
      <c r="C139" t="str">
        <v>#</v>
      </c>
    </row>
    <row r="140" ht="14.25" customHeight="1">
      <c r="A140">
        <f>A139+1</f>
        <v>4</v>
      </c>
      <c r="C140" t="str">
        <v>#</v>
      </c>
    </row>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1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43"/>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Boldmark Steel</v>
      </c>
      <c r="N1" t="str">
        <v>East Coast</v>
      </c>
      <c r="Q1" t="str">
        <v>Iron Fab</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Samy Abisaleh</v>
      </c>
      <c r="N2" t="str">
        <v>Steven</v>
      </c>
      <c r="Q2" t="str">
        <v>Luyao Ji</v>
      </c>
      <c r="T2" t="str">
        <v>Name</v>
      </c>
      <c r="W2" t="str">
        <v>Name</v>
      </c>
      <c r="Z2" t="str">
        <v>Name</v>
      </c>
      <c r="AC2" t="str">
        <v>Name</v>
      </c>
      <c r="AH2" t="str">
        <v>MCN</v>
      </c>
      <c r="AM2" s="8">
        <f>I9</f>
        <v>0</v>
      </c>
    </row>
    <row r="3" ht="14.25" customHeight="1" outlineLevel="1">
      <c r="I3" t="str">
        <v>Email:</v>
      </c>
      <c r="K3" t="str">
        <v xml:space="preserve">samy@boldmarksi.com </v>
      </c>
      <c r="N3" t="str">
        <v>steven@eastcoastironmd.com</v>
      </c>
      <c r="Q3" t="str">
        <v>l.ji@ironfs.com</v>
      </c>
      <c r="T3" t="str">
        <v>Email</v>
      </c>
      <c r="W3" t="str">
        <v>Email</v>
      </c>
      <c r="Z3" t="str">
        <v>Email</v>
      </c>
      <c r="AC3" t="str">
        <v>Email</v>
      </c>
      <c r="AH3">
        <v>1</v>
      </c>
      <c r="AI3" t="str">
        <f>IFNA(INDEX($K$1:$AE$1,1,MATCH($AH3,$K$10:$AE$10,0)),"")</f>
        <v>East Coast</v>
      </c>
      <c r="AJ3" s="3">
        <f t="array" ref="AJ3">IFNA(INDEX($K$6:$AE$6,1,MATCH($AH3,$K$10:$AE$10,0)+1),"")</f>
        <v>1145400</v>
      </c>
      <c r="AK3" s="3">
        <f t="array" ref="AK3">IFNA(INDEX($K$7:$AE$7,1,MATCH($AH3,$K$10:$AE$10,0)+1),"")</f>
        <v>628100</v>
      </c>
      <c r="AL3" s="3">
        <f t="array" ref="AL3">IFNA(INDEX($K$8:$AE$8,1,MATCH($AH3,$K$10:$AE$10,0)+1),"")</f>
        <v>35470</v>
      </c>
      <c r="AM3" s="3">
        <f t="array" ref="AM3">IFNA(INDEX($K$9:$AE$9,1,MATCH($AH3,$K$10:$AE$10,0)+1),"")</f>
        <v>1808970</v>
      </c>
      <c r="AO3" s="9">
        <f>IFERROR(AN3*AM3,0)</f>
        <v>0</v>
      </c>
    </row>
    <row r="4" ht="14.25" customHeight="1" outlineLevel="1">
      <c r="A4" t="str">
        <v>Trade:</v>
      </c>
      <c r="B4" t="str">
        <v>05 - SS &amp; MM</v>
      </c>
      <c r="I4" t="str">
        <v>Phone:</v>
      </c>
      <c r="K4" t="str">
        <v>443-255-1330</v>
      </c>
      <c r="N4" t="str">
        <v>Number</v>
      </c>
      <c r="Q4" t="str">
        <v>240-543-8017</v>
      </c>
      <c r="T4" t="str">
        <v>Number</v>
      </c>
      <c r="W4" t="str">
        <v>Number</v>
      </c>
      <c r="Z4" t="str">
        <v>Number</v>
      </c>
      <c r="AC4" t="str">
        <v>Number</v>
      </c>
      <c r="AH4">
        <v>2</v>
      </c>
      <c r="AI4" t="str">
        <f>IFNA(INDEX($K$1:$AE$1,1,MATCH($AH4,$K$10:$AE$10,0)),"")</f>
        <v>Iron Fab</v>
      </c>
      <c r="AJ4" s="3">
        <f t="array" ref="AJ4">IFNA(INDEX($K$6:$AE$6,1,MATCH($AH4,$K$10:$AE$10,0)+1),"")</f>
        <v>1225000</v>
      </c>
      <c r="AK4" s="3">
        <f t="array" ref="AK4">IFNA(INDEX($K$7:$AE$7,1,MATCH($AH4,$K$10:$AE$10,0)+1),"")</f>
        <v>620400</v>
      </c>
      <c r="AL4" s="3">
        <f t="array" ref="AL4">IFNA(INDEX($K$8:$AE$8,1,MATCH($AH4,$K$10:$AE$10,0)+1),"")</f>
        <v>36908</v>
      </c>
      <c r="AM4" s="3">
        <f t="array" ref="AM4">IFNA(INDEX($K$9:$AE$9,1,MATCH($AH4,$K$10:$AE$10,0)+1),"")</f>
        <v>1882308</v>
      </c>
      <c r="AO4" s="9">
        <f>IFERROR(AN4*AM4,0)</f>
        <v>0</v>
      </c>
    </row>
    <row r="5" ht="14.25" customHeight="1" outlineLevel="1">
      <c r="A5" t="str">
        <v>Rev/Date:</v>
      </c>
      <c r="B5" t="str">
        <v>Date Issued 01-26-26</v>
      </c>
      <c r="C5" t="str">
        <v>Bidder:</v>
      </c>
      <c r="K5" t="str">
        <v>Level Scope?</v>
      </c>
      <c r="L5" s="4" t="str">
        <v>NO</v>
      </c>
      <c r="N5" t="str">
        <v>Level Scope?</v>
      </c>
      <c r="O5" s="4" t="str">
        <v>FULL SCOPE</v>
      </c>
      <c r="Q5" t="str">
        <v>Level Scope?</v>
      </c>
      <c r="R5" s="4" t="str">
        <v>FULL SCOPE</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1495040</v>
      </c>
      <c r="N6" t="str">
        <v>Base Bid:</v>
      </c>
      <c r="O6" s="4">
        <v>1145400</v>
      </c>
      <c r="Q6" t="str">
        <v>Base Bid:</v>
      </c>
      <c r="R6" s="4">
        <v>1225000</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Vaibhav Jain</v>
      </c>
      <c r="C7" t="str">
        <v>Contact:</v>
      </c>
      <c r="G7" s="8" t="str">
        <v>| MCN Budget</v>
      </c>
      <c r="I7" s="8">
        <f>SUM(I20:I162,I13:I18)</f>
        <v>0</v>
      </c>
      <c r="K7" t="str">
        <v>Adjustments:</v>
      </c>
      <c r="L7" s="4">
        <f>SUM(L13:L18,L20:L162)</f>
        <v>6500</v>
      </c>
      <c r="N7" t="str">
        <v>Adjustments:</v>
      </c>
      <c r="O7" s="4">
        <f>SUM(O13:O18,O20:O162)</f>
        <v>628100</v>
      </c>
      <c r="Q7" t="str">
        <v>Adjustments:</v>
      </c>
      <c r="R7" s="4">
        <f>SUM(R13:R18,R20:R162)</f>
        <v>620400</v>
      </c>
      <c r="T7" t="str">
        <v>Adjustments:</v>
      </c>
      <c r="U7" s="4">
        <f>SUM(U13:U18,U20:U162)</f>
        <v>0</v>
      </c>
      <c r="W7" t="str">
        <v>Adjustments:</v>
      </c>
      <c r="X7" s="4">
        <f>SUM(X13:X18,X20:X162)</f>
        <v>0</v>
      </c>
      <c r="Z7" t="str">
        <v>Adjustments:</v>
      </c>
      <c r="AA7" s="4">
        <f>SUM(AA13:AA18,AA20:AA162)</f>
        <v>0</v>
      </c>
      <c r="AC7" t="str">
        <v>Adjustments:</v>
      </c>
      <c r="AD7" s="4">
        <f>SUM(AD13:AD18,AD20:AD162)</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vaibhav.jain@mcnbuild.com</v>
      </c>
      <c r="C8" t="str">
        <v>Email:</v>
      </c>
      <c r="F8" s="10">
        <v>0.02</v>
      </c>
      <c r="G8" s="8" t="str">
        <v>| Bond</v>
      </c>
      <c r="I8" s="8">
        <f>F8*I7</f>
        <v>0</v>
      </c>
      <c r="J8" s="10">
        <v>0.02</v>
      </c>
      <c r="K8" t="str">
        <v>Bond:</v>
      </c>
      <c r="L8" s="4">
        <f>J8*SUM(L6:L7)</f>
        <v>30030.8</v>
      </c>
      <c r="M8" s="10">
        <v>0.02</v>
      </c>
      <c r="N8" t="str">
        <v>Bond:</v>
      </c>
      <c r="O8" s="4">
        <f>M8*SUM(O6:O7)</f>
        <v>35470</v>
      </c>
      <c r="P8" s="10">
        <v>0.02</v>
      </c>
      <c r="Q8" t="str">
        <v>Bond:</v>
      </c>
      <c r="R8" s="4">
        <f>P8*SUM(R6:R7)</f>
        <v>36908</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202-494-1156</v>
      </c>
      <c r="C9" t="str">
        <v>Phone:</v>
      </c>
      <c r="G9" t="str">
        <v>-----</v>
      </c>
      <c r="H9" s="8" t="str">
        <v xml:space="preserve">  --------&gt;</v>
      </c>
      <c r="I9" s="8">
        <f>SUM(I7:I8)</f>
        <v>0</v>
      </c>
      <c r="K9" t="str">
        <v>Total Bid:</v>
      </c>
      <c r="L9" s="4" t="str">
        <f>IF(L5="FULL SCOPE",SUM(L6:L8),"not level")</f>
        <v>not level</v>
      </c>
      <c r="N9" t="str">
        <v>Total Bid:</v>
      </c>
      <c r="O9" s="4">
        <f>IF(O5="FULL SCOPE",SUM(O6:O8),"not level")</f>
        <v>1808970</v>
      </c>
      <c r="Q9" t="str">
        <v>Total Bid:</v>
      </c>
      <c r="R9" s="4">
        <f>IF(R5="FULL SCOPE",SUM(R6:R8),"not level")</f>
        <v>1882308</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t="14.25" customHeight="1" outlineLevel="1">
      <c r="A10" t="str">
        <v>HIDE</v>
      </c>
      <c r="B10" t="str">
        <v>Rank</v>
      </c>
      <c r="D10" t="str">
        <v>HIDE</v>
      </c>
      <c r="F10" t="str">
        <v>HIDE</v>
      </c>
      <c r="H10" s="8" t="str">
        <v>HIDE</v>
      </c>
      <c r="I10" s="8" t="str">
        <v>RANK</v>
      </c>
      <c r="K10" t="str">
        <f>IF(L5="NO","INCOMPLETE",RANK.EQ(L9,$L$9:$AE$9,1))</f>
        <v>INCOMPLETE</v>
      </c>
      <c r="N10">
        <f>IF(O5="NO","INCOMPLETE",RANK.EQ(O9,$L$9:$AE$9,1))</f>
        <v>1</v>
      </c>
      <c r="Q10">
        <f>IF(R5="NO","INCOMPLETE",RANK.EQ(R9,$L$9:$AE$9,1))</f>
        <v>2</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1495040</v>
      </c>
      <c r="O19" s="8">
        <f>O6</f>
        <v>1145400</v>
      </c>
      <c r="R19" s="8">
        <f>R6</f>
        <v>1225000</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Structural Steel</v>
      </c>
      <c r="C22" t="str">
        <v>#</v>
      </c>
      <c r="D22" t="str">
        <v>$</v>
      </c>
      <c r="I22" s="8">
        <f>H22*F22</f>
        <v>0</v>
      </c>
    </row>
    <row r="23" ht="14.25" customHeight="1">
      <c r="A23">
        <f>A22+1</f>
        <v>5</v>
      </c>
      <c r="B23" t="str">
        <v>Misc. Metals</v>
      </c>
      <c r="C23" t="str">
        <v>#</v>
      </c>
      <c r="D23" t="str">
        <v>$</v>
      </c>
      <c r="I23" s="8">
        <f>H23*F23</f>
        <v>0</v>
      </c>
    </row>
    <row r="24" ht="14.25" customHeight="1">
      <c r="A24">
        <f>A23+1</f>
        <v>6</v>
      </c>
      <c r="I24" s="8">
        <f>H24*F24</f>
        <v>0</v>
      </c>
    </row>
    <row r="25" ht="14.25" customHeight="1">
      <c r="A25">
        <f>A24+1</f>
        <v>7</v>
      </c>
      <c r="B25" t="str">
        <v>Key Quantity Breakdown</v>
      </c>
      <c r="I25" s="8">
        <f>H25*F25</f>
        <v>0</v>
      </c>
    </row>
    <row r="26" ht="14.25" customHeight="1">
      <c r="A26">
        <f>A25+1</f>
        <v>8</v>
      </c>
      <c r="B26" t="str">
        <v>Column, Beams, Joist etc.</v>
      </c>
      <c r="C26" t="str">
        <v>#</v>
      </c>
      <c r="D26" t="str">
        <v>Tons</v>
      </c>
      <c r="I26" s="8">
        <f>H26*F26</f>
        <v>0</v>
      </c>
    </row>
    <row r="27" ht="14.25" customHeight="1">
      <c r="A27">
        <f>A26+1</f>
        <v>9</v>
      </c>
      <c r="B27" t="str">
        <v>Steel Decking</v>
      </c>
      <c r="C27" t="str">
        <v>#</v>
      </c>
      <c r="D27" t="str">
        <v>SQ</v>
      </c>
      <c r="I27" s="8">
        <f>H27*F27</f>
        <v>0</v>
      </c>
    </row>
    <row r="28" ht="14.25" customHeight="1">
      <c r="A28">
        <f>A27+1</f>
        <v>10</v>
      </c>
      <c r="B28" t="str">
        <v xml:space="preserve">Stairs &amp; Landing </v>
      </c>
      <c r="C28" t="str">
        <v>#</v>
      </c>
      <c r="D28" t="str">
        <v>EA</v>
      </c>
      <c r="I28" s="8">
        <f>H28*F28</f>
        <v>0</v>
      </c>
    </row>
    <row r="29" ht="14.25" customHeight="1">
      <c r="A29">
        <f>A28+1</f>
        <v>11</v>
      </c>
      <c r="B29" t="str">
        <v>Railing &amp; Guardrail</v>
      </c>
      <c r="C29" t="str">
        <v>#</v>
      </c>
      <c r="D29" t="str">
        <v>LF</v>
      </c>
      <c r="I29" s="8">
        <f>H29*F29</f>
        <v>0</v>
      </c>
    </row>
    <row r="30" ht="14.25" customHeight="1">
      <c r="I30" s="8">
        <f>H30*F30</f>
        <v>0</v>
      </c>
    </row>
    <row r="31" ht="14.25" customHeight="1">
      <c r="B31" t="str">
        <v>Section 3 - Scope of Work</v>
      </c>
    </row>
    <row r="32" ht="14.25" customHeight="1">
      <c r="B32" t="str">
        <v>Furnish and Install All Items UON</v>
      </c>
      <c r="C32" t="str">
        <v>Y</v>
      </c>
    </row>
    <row r="33" ht="14.25" customHeight="1">
      <c r="A33" t="str">
        <v>A</v>
      </c>
      <c r="B33" t="str">
        <v>Specifications</v>
      </c>
    </row>
    <row r="34" ht="14.25" customHeight="1">
      <c r="B34" t="str">
        <v>Division 01 - General Requirements</v>
      </c>
      <c r="C34" t="str">
        <v>Y</v>
      </c>
    </row>
    <row r="35" ht="14.25" customHeight="1">
      <c r="B35" t="str">
        <v>051200 - STRUCTURAL STEEL FRAMING</v>
      </c>
      <c r="C35" t="str">
        <v>Y</v>
      </c>
    </row>
    <row r="36" ht="14.25" customHeight="1">
      <c r="B36" t="str">
        <v>051213 - ARCHITECTURALLY EXPOSED STRUCTURAL STEEL FRAMING</v>
      </c>
      <c r="C36" t="str">
        <v>Y</v>
      </c>
    </row>
    <row r="37" ht="14.25" customHeight="1">
      <c r="B37" t="str">
        <v>052100 - STEEL JOIST FRAMING</v>
      </c>
      <c r="C37" t="str">
        <v>Y</v>
      </c>
    </row>
    <row r="38" ht="14.25" customHeight="1">
      <c r="B38" t="str">
        <v xml:space="preserve">055000 - METAL FABRICATIONS </v>
      </c>
      <c r="C38" t="str">
        <v>Y</v>
      </c>
    </row>
    <row r="39" ht="14.25" customHeight="1">
      <c r="B39" t="str">
        <v>055113 - METAL PAN STAIRS</v>
      </c>
      <c r="C39" t="str">
        <v>Y</v>
      </c>
    </row>
    <row r="40" ht="14.25" customHeight="1">
      <c r="B40" t="str">
        <v>055213 - METAL HANDRAILS</v>
      </c>
      <c r="C40" t="str">
        <v>Y</v>
      </c>
      <c r="D40" t="str">
        <v>Not Provided, RFI'ed</v>
      </c>
    </row>
    <row r="41" ht="14.25" customHeight="1">
      <c r="B41" t="str">
        <v xml:space="preserve">055213.13 - PIPE AND TUBE RAILINGS - INTERIOR </v>
      </c>
      <c r="C41" t="str">
        <v>Y</v>
      </c>
      <c r="D41" t="str">
        <v>Not Provided, RFI'ed</v>
      </c>
    </row>
    <row r="42" ht="14.25" customHeight="1">
      <c r="B42" t="str">
        <v xml:space="preserve">057100 - DECORATIVE METAL STAIRS </v>
      </c>
      <c r="C42" t="str">
        <v>Y</v>
      </c>
    </row>
    <row r="43" ht="14.25" customHeight="1">
      <c r="B43" t="str">
        <v xml:space="preserve">057300  METAL PICKET GUARDRAIL </v>
      </c>
      <c r="C43" t="str">
        <v>Y</v>
      </c>
      <c r="D43" t="str">
        <v>Not Provided, RFI'ed</v>
      </c>
    </row>
    <row r="44" ht="14.25" customHeight="1">
      <c r="B44" t="str">
        <v xml:space="preserve">057300.13 DECORATIVE METAL RAILINGS  </v>
      </c>
      <c r="C44" t="str">
        <v>Y</v>
      </c>
      <c r="D44" t="str">
        <v>Not Provided, RFI'ed</v>
      </c>
    </row>
    <row r="45" ht="14.25" customHeight="1">
      <c r="B45" t="str">
        <v xml:space="preserve">057300  METAL PICKET GUARDRAIL </v>
      </c>
      <c r="C45" t="str">
        <v>Y</v>
      </c>
      <c r="D45" t="str">
        <v>Not Provided, RFI'ed</v>
      </c>
    </row>
    <row r="46" ht="14.25" customHeight="1">
      <c r="B46" t="str">
        <v>Geotech Report ID # by Engineer dated YYYY-MM-DD</v>
      </c>
      <c r="C46" t="str">
        <v>Y</v>
      </c>
    </row>
    <row r="47" ht="14.25" customHeight="1">
      <c r="A47" t="str">
        <v>B</v>
      </c>
      <c r="B47" t="str">
        <v>Inclusions</v>
      </c>
    </row>
    <row r="48" ht="14.25" customHeight="1">
      <c r="A48">
        <v>1</v>
      </c>
      <c r="B48" t="str">
        <v>Use this scope as a reference only. This scope was made to highlight major parts of the scope of work. Please provide pricing for a full scope of work based off the Plans and Specifications provided.</v>
      </c>
      <c r="C48" t="str">
        <v>Y</v>
      </c>
      <c r="I48" s="8">
        <f>H48*F48</f>
        <v>0</v>
      </c>
      <c r="M48" t="str">
        <v>Y</v>
      </c>
      <c r="P48" t="str">
        <v>Y</v>
      </c>
    </row>
    <row r="49" ht="14.25" customHeight="1">
      <c r="A49">
        <f>A48+1</f>
        <v>2</v>
      </c>
      <c r="B49" t="str">
        <v>SPECIFIC SCOPE ITEMS</v>
      </c>
      <c r="C49" t="str">
        <v>Y</v>
      </c>
      <c r="I49" s="8">
        <f>H49*F49</f>
        <v>0</v>
      </c>
      <c r="M49" t="str">
        <v>Y</v>
      </c>
      <c r="P49" t="str">
        <v>Y</v>
      </c>
    </row>
    <row r="50" ht="14.25" customHeight="1">
      <c r="A50">
        <f>A49+1</f>
        <v>3</v>
      </c>
      <c r="B50" t="str">
        <v xml:space="preserve">Fabricate, furnish &amp; erect all structural steel framing shown on the structural drawings to include Columns, beams, joist, brace framing, support framing, wind frames, outriggers &amp; all supplemental angles, channels, braces, kickers, stiffeners, gussets, base plates, bent plates, bearing plates, other misc. connection steel req'd for a complete structural assembly. </v>
      </c>
      <c r="C50" t="str">
        <v>Y</v>
      </c>
      <c r="I50" s="8">
        <f>H50*F50</f>
        <v>0</v>
      </c>
      <c r="M50" t="str">
        <v>Y</v>
      </c>
      <c r="P50" t="str">
        <v>Y</v>
      </c>
    </row>
    <row r="51" ht="14.25" customHeight="1">
      <c r="A51">
        <f>A50+1</f>
        <v>4</v>
      </c>
      <c r="B51" t="str">
        <v>Beams and joist framing, as shown on structural drawings.</v>
      </c>
      <c r="C51" t="str">
        <v>Y</v>
      </c>
      <c r="I51" s="8">
        <f>H51*F51</f>
        <v>0</v>
      </c>
      <c r="M51" t="str">
        <v>Y</v>
      </c>
      <c r="P51" t="str">
        <v>Y</v>
      </c>
    </row>
    <row r="52" ht="14.25" customHeight="1">
      <c r="A52">
        <f>A51+1</f>
        <v>5</v>
      </c>
      <c r="B52" t="str">
        <v>Includes long span joists</v>
      </c>
      <c r="C52" t="str">
        <v>Y</v>
      </c>
      <c r="I52" s="8">
        <f>H52*F52</f>
        <v>0</v>
      </c>
      <c r="M52" t="str">
        <v>Y</v>
      </c>
      <c r="P52" t="str">
        <v>Y</v>
      </c>
    </row>
    <row r="53" ht="14.25" customHeight="1">
      <c r="A53">
        <f>A52+1</f>
        <v>6</v>
      </c>
      <c r="B53" t="str">
        <v>Includes pool structure</v>
      </c>
      <c r="C53" t="str">
        <v>Y</v>
      </c>
      <c r="I53" s="8">
        <f>H53*F53</f>
        <v>0</v>
      </c>
      <c r="M53" t="str">
        <v>Y</v>
      </c>
      <c r="P53" t="str">
        <v>Y</v>
      </c>
    </row>
    <row r="54" ht="14.25" customHeight="1">
      <c r="A54">
        <f>A53+1</f>
        <v>7</v>
      </c>
      <c r="B54" t="str">
        <v>Steel decking as shown on structural drawings, Refer 4 on S102 &amp; 3 on S103.</v>
      </c>
      <c r="C54" t="str">
        <v>Y</v>
      </c>
      <c r="I54" s="8">
        <f>H54*F54</f>
        <v>0</v>
      </c>
      <c r="M54" t="str">
        <v>Y</v>
      </c>
      <c r="P54" t="str">
        <v>Y</v>
      </c>
    </row>
    <row r="55" ht="14.25" customHeight="1">
      <c r="A55">
        <f>A54+1</f>
        <v>8</v>
      </c>
      <c r="B55" t="str">
        <v xml:space="preserve">Floor deck - 3”, 20 gage  galvanized. </v>
      </c>
      <c r="C55" t="str">
        <v>Y</v>
      </c>
      <c r="I55" s="8">
        <f>H55*F55</f>
        <v>0</v>
      </c>
      <c r="M55" t="str">
        <v>Y</v>
      </c>
      <c r="P55" t="str">
        <v>Y</v>
      </c>
    </row>
    <row r="56" ht="14.25" customHeight="1">
      <c r="A56">
        <f>A55+1</f>
        <v>9</v>
      </c>
      <c r="B56" t="str">
        <v>RD1, Roof Deck – 1-1/2"-18 gage  galvanized.</v>
      </c>
      <c r="C56" t="str">
        <v>Y</v>
      </c>
      <c r="I56" s="8">
        <f>H56*F56</f>
        <v>0</v>
      </c>
      <c r="M56" t="str">
        <v>Y</v>
      </c>
      <c r="P56" t="str">
        <v>Y</v>
      </c>
    </row>
    <row r="57" ht="14.25" customHeight="1">
      <c r="A57">
        <f>A56+1</f>
        <v>10</v>
      </c>
      <c r="B57" t="str">
        <v>RD2, Roof Deck – 1-1/2"-18 gage  galvanized, Accoustical Deck.</v>
      </c>
      <c r="C57" t="str">
        <v>Y</v>
      </c>
      <c r="I57" s="8">
        <f>H57*F57</f>
        <v>0</v>
      </c>
      <c r="M57" t="str">
        <v>Y</v>
      </c>
      <c r="P57" t="str">
        <v>Y</v>
      </c>
    </row>
    <row r="58" ht="14.25" customHeight="1">
      <c r="A58">
        <f>A57+1</f>
        <v>11</v>
      </c>
      <c r="B58" t="str">
        <v>Pool Roof Deck – 1-1/2"-18 gage  galvanized</v>
      </c>
      <c r="C58" t="str">
        <v>Y</v>
      </c>
      <c r="I58" s="8">
        <f>H58*F58</f>
        <v>0</v>
      </c>
      <c r="M58" t="str">
        <v>Y</v>
      </c>
      <c r="P58" t="str">
        <v>Y</v>
      </c>
    </row>
    <row r="59" ht="14.25" customHeight="1">
      <c r="A59">
        <f>A58+1</f>
        <v>12</v>
      </c>
      <c r="B59" t="str">
        <v>Deck support angle (DSA) all sides of deck as per typical details.</v>
      </c>
      <c r="C59" t="str">
        <v>Y</v>
      </c>
      <c r="I59" s="8">
        <f>H59*F59</f>
        <v>0</v>
      </c>
      <c r="M59" t="str">
        <v>Y</v>
      </c>
      <c r="P59" t="str">
        <v>Y</v>
      </c>
    </row>
    <row r="60" ht="14.25" customHeight="1">
      <c r="A60">
        <f>A59+1</f>
        <v>13</v>
      </c>
      <c r="B60" t="str">
        <v>Steel columns, post and base plates, including but not limited to following:</v>
      </c>
      <c r="C60" t="str">
        <v>Y</v>
      </c>
      <c r="I60" s="8">
        <f>H60*F60</f>
        <v>0</v>
      </c>
      <c r="M60" t="str">
        <v>Y</v>
      </c>
      <c r="P60" t="str">
        <v>Y</v>
      </c>
    </row>
    <row r="61" ht="14.25" customHeight="1">
      <c r="A61">
        <f>A60+1</f>
        <v>14</v>
      </c>
      <c r="B61" t="str">
        <v>Steel Column Schedule , as per sheet S201.</v>
      </c>
      <c r="C61" t="str">
        <v>Y</v>
      </c>
      <c r="I61" s="8">
        <f>H61*F61</f>
        <v>0</v>
      </c>
      <c r="M61" t="str">
        <v>Y</v>
      </c>
      <c r="P61" t="str">
        <v>Y</v>
      </c>
    </row>
    <row r="62" ht="14.25" customHeight="1">
      <c r="A62">
        <f>A61+1</f>
        <v>15</v>
      </c>
      <c r="B62" t="str">
        <v>Provide anchor bolts and templates to Structural concrete for setting</v>
      </c>
      <c r="C62" t="str">
        <v>Y</v>
      </c>
      <c r="I62" s="8">
        <f>H62*F62</f>
        <v>0</v>
      </c>
      <c r="M62" t="str">
        <v>Y</v>
      </c>
      <c r="P62" t="str">
        <v>Y</v>
      </c>
    </row>
    <row r="63" ht="14.25" customHeight="1">
      <c r="A63">
        <f>A62+1</f>
        <v>16</v>
      </c>
      <c r="B63" t="str">
        <v xml:space="preserve">Brace framing, including diagonal supports, plates, stiffeners etc. for the Work. </v>
      </c>
      <c r="C63" t="str">
        <v>Y</v>
      </c>
      <c r="I63" s="8">
        <f>H63*F63</f>
        <v>0</v>
      </c>
      <c r="M63" t="str">
        <v>Y</v>
      </c>
      <c r="P63" t="str">
        <v>Y</v>
      </c>
    </row>
    <row r="64" ht="14.25" customHeight="1">
      <c r="A64">
        <f>A63+1</f>
        <v>17</v>
      </c>
      <c r="B64" t="str">
        <v>Bracing at new structure as per sheet S230.</v>
      </c>
      <c r="C64" t="str">
        <v>Y</v>
      </c>
      <c r="I64" s="8">
        <f>H64*F64</f>
        <v>0</v>
      </c>
      <c r="M64" t="str">
        <v>Y</v>
      </c>
      <c r="P64" t="str">
        <v>Y</v>
      </c>
    </row>
    <row r="65" ht="14.25" customHeight="1">
      <c r="A65">
        <f>A64+1</f>
        <v>18</v>
      </c>
      <c r="B65" t="str">
        <v>Splicing of vertical steel as required for logistical constraints</v>
      </c>
      <c r="C65" t="str">
        <v>Y</v>
      </c>
      <c r="I65" s="8">
        <f>H65*F65</f>
        <v>0</v>
      </c>
      <c r="M65" t="str">
        <v>Y</v>
      </c>
      <c r="P65" t="str">
        <v>Y</v>
      </c>
    </row>
    <row r="66" ht="14.25" customHeight="1">
      <c r="A66">
        <f>A65+1</f>
        <v>19</v>
      </c>
      <c r="B66" t="str">
        <v>Additional framing and support as noted, including but not limited to:</v>
      </c>
      <c r="C66" t="str">
        <v>Y</v>
      </c>
      <c r="I66" s="8">
        <f>H66*F66</f>
        <v>0</v>
      </c>
      <c r="M66" t="str">
        <v>Y</v>
      </c>
      <c r="P66" t="str">
        <v>Y</v>
      </c>
    </row>
    <row r="67" ht="14.25" customHeight="1">
      <c r="A67">
        <f>A66+1</f>
        <v>20</v>
      </c>
      <c r="B67" t="str">
        <v xml:space="preserve">Support for floor deck or roof deck openings. </v>
      </c>
      <c r="C67" t="str">
        <v>Y</v>
      </c>
      <c r="I67" s="8">
        <f>H67*F67</f>
        <v>0</v>
      </c>
      <c r="M67" t="str">
        <v>Y</v>
      </c>
      <c r="P67" t="str">
        <v>Y</v>
      </c>
    </row>
    <row r="68" ht="14.25" customHeight="1">
      <c r="A68">
        <f>A67+1</f>
        <v>21</v>
      </c>
      <c r="B68" t="str">
        <v>Support for basketball hoops</v>
      </c>
      <c r="C68" t="str">
        <v>Y</v>
      </c>
      <c r="I68" s="8">
        <f>H68*F68</f>
        <v>0</v>
      </c>
      <c r="M68" t="str">
        <v>Y</v>
      </c>
      <c r="P68" t="str">
        <v>Y</v>
      </c>
    </row>
    <row r="69" ht="14.25" customHeight="1">
      <c r="A69">
        <f>A68+1</f>
        <v>22</v>
      </c>
      <c r="B69" t="str">
        <v xml:space="preserve">Roll-up curtain/Divider Beam </v>
      </c>
      <c r="C69" t="str">
        <v>Y</v>
      </c>
      <c r="I69" s="8">
        <f>H69*F69</f>
        <v>0</v>
      </c>
      <c r="M69" t="str">
        <v>Y</v>
      </c>
      <c r="P69" t="str">
        <v>Y</v>
      </c>
    </row>
    <row r="70" ht="14.25" customHeight="1">
      <c r="A70">
        <f>A69+1</f>
        <v>23</v>
      </c>
      <c r="B70" t="str">
        <v>Elev. Hoist Beam</v>
      </c>
      <c r="C70" t="str">
        <v>Y</v>
      </c>
      <c r="I70" s="8">
        <f>H70*F70</f>
        <v>0</v>
      </c>
      <c r="M70" t="str">
        <v>Y</v>
      </c>
      <c r="P70" t="str">
        <v>Y</v>
      </c>
    </row>
    <row r="71" ht="14.25" customHeight="1">
      <c r="A71">
        <f>A70+1</f>
        <v>24</v>
      </c>
      <c r="B71" t="str">
        <v>Operable Partitions</v>
      </c>
      <c r="C71" t="str">
        <v>Y</v>
      </c>
      <c r="I71" s="8">
        <f>H71*F71</f>
        <v>0</v>
      </c>
      <c r="M71" t="str">
        <v>Y</v>
      </c>
      <c r="P71" t="str">
        <v>Y</v>
      </c>
    </row>
    <row r="72" ht="14.25" customHeight="1">
      <c r="A72">
        <f>A71+1</f>
        <v>25</v>
      </c>
      <c r="B72" t="str">
        <v>Cont. galvanized brick relieving angle connnected to steel structure</v>
      </c>
      <c r="C72" t="str">
        <v>Y</v>
      </c>
      <c r="I72" s="8">
        <f>H72*F72</f>
        <v>0</v>
      </c>
      <c r="M72" t="str">
        <v>Y</v>
      </c>
      <c r="P72" t="str">
        <v>Y</v>
      </c>
    </row>
    <row r="73" ht="14.25" customHeight="1">
      <c r="A73">
        <f>A72+1</f>
        <v>26</v>
      </c>
      <c r="B73" t="str">
        <v>Thermal break angle as per note 3 on J/S009</v>
      </c>
      <c r="C73" t="str">
        <v>Y</v>
      </c>
      <c r="I73" s="8">
        <f>H73*F73</f>
        <v>0</v>
      </c>
      <c r="M73" t="str">
        <v>Y</v>
      </c>
      <c r="P73" t="str">
        <v>Y</v>
      </c>
    </row>
    <row r="74" ht="14.25" customHeight="1">
      <c r="A74">
        <f>A73+1</f>
        <v>27</v>
      </c>
      <c r="B74" t="str">
        <v>Pour stops, bent plates, and angles at slab edge</v>
      </c>
      <c r="C74" t="str">
        <v>Y</v>
      </c>
      <c r="I74" s="8">
        <f>H74*F74</f>
        <v>0</v>
      </c>
      <c r="M74" t="str">
        <v>N</v>
      </c>
      <c r="O74" s="8">
        <f>1250*12</f>
        <v>15000</v>
      </c>
      <c r="P74" t="str">
        <v>N</v>
      </c>
      <c r="R74" s="8">
        <f>1250*12</f>
        <v>15000</v>
      </c>
    </row>
    <row r="75" ht="14.25" customHeight="1">
      <c r="A75">
        <f>A74+1</f>
        <v>28</v>
      </c>
      <c r="B75" t="str">
        <v>Kickers, tabs, angles, plates, stiffeners, connections, supports as noted</v>
      </c>
      <c r="C75" t="str">
        <v>Y</v>
      </c>
      <c r="I75" s="8">
        <f>H75*F75</f>
        <v>0</v>
      </c>
      <c r="M75" t="str">
        <v>Y</v>
      </c>
      <c r="P75" t="str">
        <v>Y</v>
      </c>
    </row>
    <row r="76" ht="14.25" customHeight="1">
      <c r="A76">
        <f>A75+1</f>
        <v>29</v>
      </c>
      <c r="B76" t="str">
        <v>MISC METALS</v>
      </c>
      <c r="C76" t="str">
        <v>Y</v>
      </c>
      <c r="I76" s="8">
        <f>H76*F76</f>
        <v>0</v>
      </c>
      <c r="M76" t="str">
        <v>Y</v>
      </c>
      <c r="O76" s="8">
        <v>229600</v>
      </c>
      <c r="P76" t="str">
        <v>Y</v>
      </c>
      <c r="R76" s="8">
        <v>225000</v>
      </c>
    </row>
    <row r="77" ht="14.25" customHeight="1">
      <c r="A77">
        <f>A76+1</f>
        <v>30</v>
      </c>
      <c r="B77" t="str">
        <v>Ext. &amp; Int. Metal pan stairs and landings, including but not limited to</v>
      </c>
      <c r="C77" t="str">
        <v>Y</v>
      </c>
      <c r="I77" s="8">
        <f>H77*F77</f>
        <v>0</v>
      </c>
      <c r="M77" t="str">
        <v>Y</v>
      </c>
      <c r="P77" t="str">
        <v>Y</v>
      </c>
    </row>
    <row r="78" ht="14.25" customHeight="1">
      <c r="A78">
        <f>A77+1</f>
        <v>31</v>
      </c>
      <c r="B78" t="str">
        <v>Stair A (S101) -  Refer  A1.1 &amp; A7.1</v>
      </c>
      <c r="C78" t="str">
        <v>Y</v>
      </c>
      <c r="I78" s="8">
        <f>H78*F78</f>
        <v>0</v>
      </c>
      <c r="M78" t="str">
        <v>Y</v>
      </c>
      <c r="P78" t="str">
        <v>Y</v>
      </c>
    </row>
    <row r="79" ht="14.25" customHeight="1">
      <c r="A79">
        <f>A78+1</f>
        <v>32</v>
      </c>
      <c r="B79" t="str">
        <v>Stair B (S101) -  Refer  A1.1 &amp; A7.1</v>
      </c>
      <c r="C79" t="str">
        <v>Y</v>
      </c>
      <c r="I79" s="8">
        <f>H79*F79</f>
        <v>0</v>
      </c>
      <c r="M79" t="str">
        <v>Y</v>
      </c>
      <c r="P79" t="str">
        <v>Y</v>
      </c>
    </row>
    <row r="80" ht="14.25" customHeight="1">
      <c r="A80">
        <f>A79+1</f>
        <v>33</v>
      </c>
      <c r="B80" t="str">
        <v>Int. &amp;Ext. Railings system, Refer sheet A7.2, including but not limited to :</v>
      </c>
      <c r="C80" t="str">
        <v>Y</v>
      </c>
      <c r="I80" s="8">
        <f>H80*F80</f>
        <v>0</v>
      </c>
      <c r="M80" t="str">
        <v>Y</v>
      </c>
      <c r="P80" t="str">
        <v>Y</v>
      </c>
    </row>
    <row r="81" ht="14.25" customHeight="1">
      <c r="A81">
        <f>A80+1</f>
        <v>34</v>
      </c>
      <c r="B81" t="str">
        <v>Stair A - Guardrail w/handrail and wall handrail incl. woven wire mesh.</v>
      </c>
      <c r="C81" t="str">
        <v>Y</v>
      </c>
      <c r="I81" s="8">
        <f>H81*F81</f>
        <v>0</v>
      </c>
      <c r="M81" t="str">
        <v>Y</v>
      </c>
      <c r="P81" t="str">
        <v>Y</v>
      </c>
    </row>
    <row r="82" ht="14.25" customHeight="1">
      <c r="A82">
        <f>A81+1</f>
        <v>35</v>
      </c>
      <c r="B82" t="str">
        <v xml:space="preserve">Stair B - Baluster guardrail w/handrail and wall handrail. </v>
      </c>
      <c r="C82" t="str">
        <v>Y</v>
      </c>
      <c r="I82" s="8">
        <f>H82*F82</f>
        <v>0</v>
      </c>
      <c r="M82" t="str">
        <v>Y</v>
      </c>
      <c r="P82" t="str">
        <v>Y</v>
      </c>
    </row>
    <row r="83" ht="14.25" customHeight="1">
      <c r="A83">
        <f>A82+1</f>
        <v>36</v>
      </c>
      <c r="B83" t="str">
        <v>Stair Balcony - Guardrail w/wire mesh in channel frame,angle per 6 &amp; 11/A7.2</v>
      </c>
      <c r="C83" t="str">
        <v>Y</v>
      </c>
      <c r="I83" s="8">
        <f>H83*F83</f>
        <v>0</v>
      </c>
      <c r="M83" t="str">
        <v>N</v>
      </c>
      <c r="O83" s="8">
        <v>15000</v>
      </c>
      <c r="P83" t="str">
        <v>Y</v>
      </c>
    </row>
    <row r="84" ht="14.25" customHeight="1">
      <c r="A84">
        <f>A83+1</f>
        <v>37</v>
      </c>
      <c r="B84" t="str">
        <v>Pool Stairs - Handrail, refer detail 6/AQ1.1.</v>
      </c>
      <c r="C84" t="str">
        <v>Y</v>
      </c>
      <c r="I84" s="8">
        <f>H84*F84</f>
        <v>0</v>
      </c>
      <c r="M84" t="str">
        <v>N</v>
      </c>
      <c r="O84" s="8">
        <v>7500</v>
      </c>
      <c r="P84" t="str">
        <v>N</v>
      </c>
      <c r="R84" s="8">
        <v>7500</v>
      </c>
    </row>
    <row r="85" ht="14.25" customHeight="1">
      <c r="A85">
        <f>A84+1</f>
        <v>38</v>
      </c>
      <c r="B85" t="str">
        <v xml:space="preserve">Elevator Metals, including but not limited to following. </v>
      </c>
      <c r="C85" t="str">
        <v>Y</v>
      </c>
      <c r="I85" s="8">
        <f>H85*F85</f>
        <v>0</v>
      </c>
      <c r="M85" t="str">
        <v>Y</v>
      </c>
      <c r="P85" t="str">
        <v>Y</v>
      </c>
    </row>
    <row r="86" ht="14.25" customHeight="1">
      <c r="A86">
        <f>A85+1</f>
        <v>39</v>
      </c>
      <c r="B86" t="str">
        <v>Sill Angles</v>
      </c>
      <c r="C86" t="str">
        <v>Y</v>
      </c>
      <c r="I86" s="8">
        <f>H86*F86</f>
        <v>0</v>
      </c>
      <c r="M86" t="str">
        <v>Y</v>
      </c>
      <c r="P86" t="str">
        <v>Y</v>
      </c>
    </row>
    <row r="87" ht="14.25" customHeight="1">
      <c r="A87">
        <f>A86+1</f>
        <v>40</v>
      </c>
      <c r="B87" t="str">
        <v>Pit Ladder</v>
      </c>
      <c r="C87" t="str">
        <v>Y</v>
      </c>
      <c r="I87" s="8">
        <f>H87*F87</f>
        <v>0</v>
      </c>
      <c r="M87" t="str">
        <v>Y</v>
      </c>
      <c r="P87" t="str">
        <v>Y</v>
      </c>
    </row>
    <row r="88" ht="14.25" customHeight="1">
      <c r="A88">
        <f>A87+1</f>
        <v>41</v>
      </c>
      <c r="B88" t="str">
        <v>Sump pump pit grate and angle</v>
      </c>
      <c r="C88" t="str">
        <v>Y</v>
      </c>
      <c r="I88" s="8">
        <f>H88*F88</f>
        <v>0</v>
      </c>
      <c r="M88" t="str">
        <v>Y</v>
      </c>
      <c r="P88" t="str">
        <v>Y</v>
      </c>
    </row>
    <row r="89" ht="14.25" customHeight="1">
      <c r="A89">
        <f>A88+1</f>
        <v>42</v>
      </c>
      <c r="B89" t="str">
        <v xml:space="preserve">Galvanized steel angle support angl, including but not limited to following: for </v>
      </c>
      <c r="C89" t="str">
        <v>Y</v>
      </c>
      <c r="I89" s="8">
        <f>H89*F89</f>
        <v>0</v>
      </c>
      <c r="M89" t="str">
        <v>Y</v>
      </c>
      <c r="P89" t="str">
        <v>Y</v>
      </c>
    </row>
    <row r="90" ht="14.25" customHeight="1">
      <c r="A90">
        <f>A89+1</f>
        <v>43</v>
      </c>
      <c r="B90" t="str">
        <v>Storefront sill, refer typ. detail 1/A9.1 etc.</v>
      </c>
      <c r="C90" t="str">
        <v>Y</v>
      </c>
      <c r="I90" s="8">
        <f>H90*F90</f>
        <v>0</v>
      </c>
      <c r="M90" t="str">
        <v>Y</v>
      </c>
      <c r="P90" t="str">
        <v>Y</v>
      </c>
    </row>
    <row r="91" ht="14.25" customHeight="1">
      <c r="A91">
        <f>A90+1</f>
        <v>44</v>
      </c>
      <c r="B91" t="str">
        <v>Window sill, refer typ. detail 11 &amp; 12/A9.1 etc.</v>
      </c>
      <c r="C91" t="str">
        <v>Y</v>
      </c>
      <c r="I91" s="8">
        <f>H91*F91</f>
        <v>0</v>
      </c>
      <c r="M91" t="str">
        <v>Y</v>
      </c>
      <c r="P91" t="str">
        <v>Y</v>
      </c>
    </row>
    <row r="92" ht="14.25" customHeight="1">
      <c r="A92">
        <f>A91+1</f>
        <v>45</v>
      </c>
      <c r="B92" t="str">
        <v xml:space="preserve">Window head, refer typ. detail 7 &amp; 8/A9.1 etc. </v>
      </c>
      <c r="C92" t="str">
        <v>Y</v>
      </c>
      <c r="I92" s="8">
        <f>H92*F92</f>
        <v>0</v>
      </c>
      <c r="M92" t="str">
        <v>Y</v>
      </c>
      <c r="P92" t="str">
        <v>Y</v>
      </c>
    </row>
    <row r="93" ht="14.25" customHeight="1">
      <c r="A93">
        <f>A92+1</f>
        <v>46</v>
      </c>
      <c r="B93" t="str">
        <v>Provide continuous brick ledge/releiving angle  not connected to strutural steel , refer typ detail on S501 &amp; S505.</v>
      </c>
      <c r="C93" t="str">
        <v>Y</v>
      </c>
      <c r="I93" s="8">
        <f>H93*F93</f>
        <v>0</v>
      </c>
      <c r="M93" t="str">
        <v>Y</v>
      </c>
      <c r="P93" t="str">
        <v>Y</v>
      </c>
    </row>
    <row r="94" ht="14.25" customHeight="1">
      <c r="A94">
        <f>A93+1</f>
        <v>47</v>
      </c>
      <c r="B94" t="str">
        <v xml:space="preserve">Jamb and head steel angle for coiling counter door. </v>
      </c>
      <c r="C94" t="str">
        <v>Y</v>
      </c>
      <c r="I94" s="8">
        <f>H94*F94</f>
        <v>0</v>
      </c>
      <c r="M94" t="str">
        <v>Y</v>
      </c>
      <c r="P94" t="str">
        <v>Y</v>
      </c>
    </row>
    <row r="95" ht="14.25" customHeight="1">
      <c r="A95">
        <f>A94+1</f>
        <v>48</v>
      </c>
      <c r="B95" t="str">
        <v>Provide all steel ladders, including but not limited to following</v>
      </c>
      <c r="C95" t="str">
        <v>Y</v>
      </c>
      <c r="I95" s="8">
        <f>H95*F95</f>
        <v>0</v>
      </c>
      <c r="M95" t="str">
        <v>Y</v>
      </c>
      <c r="P95" t="str">
        <v>Y</v>
      </c>
    </row>
    <row r="96" ht="14.25" customHeight="1">
      <c r="A96">
        <f>A95+1</f>
        <v>49</v>
      </c>
      <c r="B96" t="str">
        <v>Over the deck steel ladders at pool, refer note 1 on AQ1.0 &amp; 1/AQ1.1.</v>
      </c>
      <c r="C96" t="str">
        <v>Y</v>
      </c>
      <c r="I96" s="8">
        <f>H96*F96</f>
        <v>0</v>
      </c>
      <c r="M96" t="str">
        <v>N</v>
      </c>
      <c r="O96" s="8">
        <v>4500</v>
      </c>
      <c r="P96" t="str">
        <v>Y</v>
      </c>
      <c r="R96" s="8">
        <v>4500</v>
      </c>
    </row>
    <row r="97" ht="14.25" customHeight="1">
      <c r="A97">
        <f>A96+1</f>
        <v>50</v>
      </c>
      <c r="B97" t="str">
        <v>Access ladder and steel hatch access door at geo vault, refer A2.3</v>
      </c>
      <c r="C97" t="str">
        <v>Y</v>
      </c>
      <c r="I97" s="8">
        <f>H97*F97</f>
        <v>0</v>
      </c>
      <c r="M97" t="str">
        <v>Y</v>
      </c>
      <c r="P97" t="str">
        <v>Y</v>
      </c>
    </row>
    <row r="98" ht="14.25" customHeight="1">
      <c r="A98">
        <f>A97+1</f>
        <v>51</v>
      </c>
      <c r="B98" t="str">
        <v>Access ladder for roof at Laundry room 221, refer A1.2</v>
      </c>
      <c r="C98" t="str">
        <v>Y</v>
      </c>
      <c r="I98" s="8">
        <f>H98*F98</f>
        <v>0</v>
      </c>
      <c r="M98" t="str">
        <v>Y</v>
      </c>
      <c r="P98" t="str">
        <v>Y</v>
      </c>
    </row>
    <row r="99" ht="14.25" customHeight="1">
      <c r="A99">
        <f>A98+1</f>
        <v>52</v>
      </c>
      <c r="B99" t="str">
        <v>Provide all steel required for mockup section, removal by others, refer A1.0.</v>
      </c>
      <c r="C99" t="str">
        <v>Y</v>
      </c>
      <c r="I99" s="8">
        <f>H99*F99</f>
        <v>0</v>
      </c>
      <c r="M99" t="str">
        <v>Y</v>
      </c>
      <c r="P99" t="str">
        <v>Y</v>
      </c>
    </row>
    <row r="100" ht="14.25" customHeight="1">
      <c r="A100">
        <f>A99+1</f>
        <v>53</v>
      </c>
      <c r="B100" t="str">
        <v>CMU wall bracing, including, but not limited to, both perpendicular and parallel bracing as typically indicated  on sheet  S-206.</v>
      </c>
      <c r="C100" t="str">
        <v>Y</v>
      </c>
      <c r="I100" s="8">
        <f>H100*F100</f>
        <v>0</v>
      </c>
      <c r="M100" t="str">
        <v>Y</v>
      </c>
      <c r="P100" t="str">
        <v>Y</v>
      </c>
    </row>
    <row r="101" ht="14.25" customHeight="1">
      <c r="A101">
        <f>A100+1</f>
        <v>54</v>
      </c>
      <c r="B101" t="str">
        <v>Furnish only misc. metals, inclusive of:</v>
      </c>
      <c r="C101" t="str">
        <v>Y</v>
      </c>
      <c r="I101" s="8">
        <f>H101*F101</f>
        <v>0</v>
      </c>
      <c r="M101" t="str">
        <v>Y</v>
      </c>
      <c r="P101" t="str">
        <v>Y</v>
      </c>
    </row>
    <row r="102" ht="14.25" customHeight="1">
      <c r="A102">
        <f>A101+1</f>
        <v>55</v>
      </c>
      <c r="B102" t="str">
        <v>Loose lintels</v>
      </c>
      <c r="C102" t="str">
        <v>Y</v>
      </c>
      <c r="I102" s="8">
        <f>H102*F102</f>
        <v>0</v>
      </c>
      <c r="M102" t="str">
        <v>Y</v>
      </c>
      <c r="P102" t="str">
        <v>Y</v>
      </c>
    </row>
    <row r="103" ht="14.25" customHeight="1">
      <c r="A103">
        <f>A102+1</f>
        <v>56</v>
      </c>
      <c r="B103" t="str">
        <v xml:space="preserve">Steel bollards, refer landscape drawings </v>
      </c>
      <c r="C103" t="str">
        <v>Y</v>
      </c>
      <c r="I103" s="8">
        <f>H103*F103</f>
        <v>0</v>
      </c>
      <c r="M103" t="str">
        <v>Y</v>
      </c>
      <c r="P103" t="str">
        <v>Y</v>
      </c>
      <c r="R103" s="8">
        <f>850*14</f>
        <v>11900</v>
      </c>
    </row>
    <row r="104" ht="14.25" customHeight="1">
      <c r="A104">
        <f>A103+1</f>
        <v>57</v>
      </c>
      <c r="C104" t="str">
        <v>Y</v>
      </c>
      <c r="I104" s="8">
        <f>H104*F104</f>
        <v>0</v>
      </c>
      <c r="M104" t="str">
        <v>Y</v>
      </c>
    </row>
    <row r="105" ht="14.25" customHeight="1">
      <c r="A105">
        <f>A104+1</f>
        <v>58</v>
      </c>
      <c r="B105" t="str">
        <v>ADD ALTERNATE</v>
      </c>
      <c r="C105" t="str">
        <v>Y</v>
      </c>
      <c r="I105" s="8">
        <f>H105*F105</f>
        <v>0</v>
      </c>
      <c r="M105" t="str">
        <v>Y</v>
      </c>
      <c r="O105" s="8">
        <v>350000</v>
      </c>
      <c r="P105" t="str">
        <v>N</v>
      </c>
      <c r="R105" s="8">
        <v>350000</v>
      </c>
    </row>
    <row r="106" ht="14.25" customHeight="1">
      <c r="A106">
        <f>A105+1</f>
        <v>59</v>
      </c>
      <c r="B106" t="str">
        <v>Solar Panel Aluminum Canopy Structure system, refer sheet L1.1.  - Lumos</v>
      </c>
      <c r="C106" t="str">
        <v>Y</v>
      </c>
      <c r="I106" s="8">
        <f>H106*F106</f>
        <v>0</v>
      </c>
      <c r="M106" t="str">
        <v>Y</v>
      </c>
    </row>
    <row r="107" ht="14.25" customHeight="1">
      <c r="A107">
        <f>A106+1</f>
        <v>60</v>
      </c>
      <c r="B107" t="str">
        <v>Pool Deck - Type A &amp; C, refer L1.4</v>
      </c>
      <c r="C107" t="str">
        <v>Y</v>
      </c>
      <c r="I107" s="8">
        <f>H107*F107</f>
        <v>0</v>
      </c>
      <c r="M107" t="str">
        <v>Y</v>
      </c>
    </row>
    <row r="108" ht="14.25" customHeight="1">
      <c r="A108">
        <f>A107+1</f>
        <v>61</v>
      </c>
      <c r="B108" t="str">
        <v>Parking Space - Type A &amp; B, refer L1.5</v>
      </c>
      <c r="C108" t="str">
        <v>Y</v>
      </c>
      <c r="I108" s="8">
        <f>H108*F108</f>
        <v>0</v>
      </c>
      <c r="M108" t="str">
        <v>Y</v>
      </c>
    </row>
    <row r="109" ht="14.25" customHeight="1">
      <c r="A109">
        <f>A108+1</f>
        <v>62</v>
      </c>
      <c r="B109" t="str">
        <v xml:space="preserve">Aluminum Post and beams, PV Panels by others. </v>
      </c>
      <c r="C109" t="str">
        <v>Y</v>
      </c>
      <c r="I109" s="8">
        <f>H109*F109</f>
        <v>0</v>
      </c>
      <c r="M109" t="str">
        <v>Y</v>
      </c>
    </row>
    <row r="110" ht="14.25" customHeight="1">
      <c r="A110">
        <f>A109+1</f>
        <v>63</v>
      </c>
      <c r="C110" t="str">
        <v>Y</v>
      </c>
      <c r="I110" s="8">
        <f>H110*F110</f>
        <v>0</v>
      </c>
      <c r="M110" t="str">
        <v>Y</v>
      </c>
    </row>
    <row r="111" ht="14.25" customHeight="1">
      <c r="A111">
        <f>A110+1</f>
        <v>64</v>
      </c>
      <c r="B111" t="str">
        <v>STANDARD / GENERAL SCOPE</v>
      </c>
      <c r="C111" t="str">
        <v>Y</v>
      </c>
      <c r="I111" s="8">
        <f>H111*F111</f>
        <v>0</v>
      </c>
      <c r="M111" t="str">
        <v>Y</v>
      </c>
    </row>
    <row r="112" ht="14.25" customHeight="1">
      <c r="A112">
        <f>A111+1</f>
        <v>65</v>
      </c>
      <c r="B112" t="str">
        <v>Layout from GC control lines and benchmarks</v>
      </c>
      <c r="C112" t="str">
        <v>Y</v>
      </c>
      <c r="I112" s="8">
        <f>H112*F112</f>
        <v>0</v>
      </c>
      <c r="M112" t="str">
        <v>Y</v>
      </c>
    </row>
    <row r="113" ht="14.25" customHeight="1">
      <c r="A113">
        <f>A112+1</f>
        <v>66</v>
      </c>
      <c r="B113" t="str">
        <v>Include PE calcs &amp; design, stamps  for connections and metal stairs</v>
      </c>
      <c r="C113" t="str">
        <v>Y</v>
      </c>
      <c r="I113" s="8">
        <f>H113*F113</f>
        <v>0</v>
      </c>
      <c r="M113" t="str">
        <v>Y</v>
      </c>
    </row>
    <row r="114" ht="14.25" customHeight="1">
      <c r="A114">
        <f>A113+1</f>
        <v>67</v>
      </c>
      <c r="B114" t="str">
        <v>Shop dwgs, samples, product data, certs, test reports, etc.</v>
      </c>
      <c r="C114" t="str">
        <v>Y</v>
      </c>
      <c r="I114" s="8">
        <f>H114*F114</f>
        <v>0</v>
      </c>
      <c r="M114" t="str">
        <v>Y</v>
      </c>
    </row>
    <row r="115" ht="14.25" customHeight="1">
      <c r="A115">
        <f>A114+1</f>
        <v>68</v>
      </c>
      <c r="B115" t="str">
        <v>Provide all material, tools, equipment, hoisting, supervision req'd for your work</v>
      </c>
      <c r="C115" t="str">
        <v>Y</v>
      </c>
      <c r="I115" s="8">
        <f>H115*F115</f>
        <v>0</v>
      </c>
      <c r="M115" t="str">
        <v>Y</v>
      </c>
    </row>
    <row r="116" ht="14.25" customHeight="1">
      <c r="A116">
        <f>A115+1</f>
        <v>69</v>
      </c>
      <c r="B116" t="str">
        <v>Shop fab holes in steel for connections &amp; for penetrations shown for other trades</v>
      </c>
      <c r="C116" t="str">
        <v>Y</v>
      </c>
      <c r="I116" s="8">
        <f>H116*F116</f>
        <v>0</v>
      </c>
      <c r="M116" t="str">
        <v>Y</v>
      </c>
    </row>
    <row r="117" ht="14.25" customHeight="1">
      <c r="A117">
        <f>A116+1</f>
        <v>70</v>
      </c>
      <c r="B117" t="str">
        <v>Bare steel if fireproofed and at connection points; galvanized if exposed to weather, in cavity wall or embedded, shop prime balance of steel</v>
      </c>
      <c r="C117" t="str">
        <v>Y</v>
      </c>
      <c r="I117" s="8">
        <f>H117*F117</f>
        <v>0</v>
      </c>
      <c r="M117" t="str">
        <v>Y</v>
      </c>
    </row>
    <row r="118" ht="14.25" customHeight="1">
      <c r="A118">
        <f>A117+1</f>
        <v>71</v>
      </c>
      <c r="B118" t="str">
        <v>Perform field measurements, or modify in field as needed</v>
      </c>
      <c r="C118" t="str">
        <v>Y</v>
      </c>
      <c r="I118" s="8">
        <f>H118*F118</f>
        <v>0</v>
      </c>
      <c r="M118" t="str">
        <v>Y</v>
      </c>
    </row>
    <row r="119" ht="14.25" customHeight="1">
      <c r="A119">
        <f>A118+1</f>
        <v>72</v>
      </c>
      <c r="B119" t="str">
        <v>Perform all welded and bolted connections; moment connections</v>
      </c>
      <c r="C119" t="str">
        <v>Y</v>
      </c>
      <c r="I119" s="8">
        <f>H119*F119</f>
        <v>0</v>
      </c>
      <c r="M119" t="str">
        <v>Y</v>
      </c>
    </row>
    <row r="120" ht="14.25" customHeight="1">
      <c r="A120">
        <f>A119+1</f>
        <v>73</v>
      </c>
      <c r="B120" t="str">
        <v>Grinding of welds &amp; touch up finishes after connections are made</v>
      </c>
      <c r="C120" t="str">
        <v>Y</v>
      </c>
      <c r="I120" s="8">
        <f>H120*F120</f>
        <v>0</v>
      </c>
      <c r="M120" t="str">
        <v>Y</v>
      </c>
    </row>
    <row r="121" ht="14.25" customHeight="1">
      <c r="A121">
        <f>A120+1</f>
        <v>74</v>
      </c>
      <c r="B121" t="str">
        <v>Provide temporary bracing, guys during erection as needed</v>
      </c>
      <c r="C121" t="str">
        <v>Y</v>
      </c>
      <c r="I121" s="8">
        <f>H121*F121</f>
        <v>0</v>
      </c>
      <c r="M121" t="str">
        <v>Y</v>
      </c>
    </row>
    <row r="122" ht="14.25" customHeight="1">
      <c r="A122">
        <f>A121+1</f>
        <v>75</v>
      </c>
      <c r="B122" t="str">
        <v>Furnish &amp; deliver all embeds to include anchor bolts, weld plates/angles, etc.</v>
      </c>
      <c r="C122" t="str">
        <v>Y</v>
      </c>
      <c r="I122" s="8">
        <f>H122*F122</f>
        <v>0</v>
      </c>
      <c r="M122" t="str">
        <v>Y</v>
      </c>
    </row>
    <row r="123" ht="14.25" customHeight="1">
      <c r="A123">
        <f>A122+1</f>
        <v>76</v>
      </c>
      <c r="B123" t="str">
        <v>Furnish bearing plates to be installed in masonry walls to Mason for installation</v>
      </c>
      <c r="C123" t="str">
        <v>Y</v>
      </c>
      <c r="I123" s="8">
        <f>H123*F123</f>
        <v>0</v>
      </c>
      <c r="M123" t="str">
        <v>Y</v>
      </c>
    </row>
    <row r="124" ht="14.25" customHeight="1">
      <c r="A124">
        <f>A123+1</f>
        <v>77</v>
      </c>
      <c r="B124" t="str">
        <v>Furnish anchor bolts and templates to Structural concrete for installation</v>
      </c>
      <c r="C124" t="str">
        <v>Y</v>
      </c>
      <c r="I124" s="8">
        <f>H124*F124</f>
        <v>0</v>
      </c>
      <c r="M124" t="str">
        <v>Y</v>
      </c>
    </row>
    <row r="125" ht="14.25" customHeight="1">
      <c r="A125">
        <f>A124+1</f>
        <v>78</v>
      </c>
      <c r="B125" t="str">
        <v>Touch up finishes where damaged by welding, handling</v>
      </c>
      <c r="C125" t="str">
        <v>Y</v>
      </c>
      <c r="I125" s="8">
        <f>H125*F125</f>
        <v>0</v>
      </c>
      <c r="M125" t="str">
        <v>Y</v>
      </c>
    </row>
    <row r="126" ht="14.25" customHeight="1">
      <c r="A126">
        <f>A125+1</f>
        <v>79</v>
      </c>
      <c r="B126" t="str">
        <v xml:space="preserve">Provide all fasteners and misc. steel for complete assemblies </v>
      </c>
      <c r="C126" t="str">
        <v>Y</v>
      </c>
      <c r="I126" s="8">
        <f>H126*F126</f>
        <v>0</v>
      </c>
      <c r="M126" t="str">
        <v>Y</v>
      </c>
    </row>
    <row r="127" ht="14.25" customHeight="1">
      <c r="A127">
        <f>A126+1</f>
        <v>80</v>
      </c>
      <c r="B127" t="str">
        <v>Furnish all embedded items relating to your work (weld plates/angles, anchor bolts, sleeves, etc.)</v>
      </c>
      <c r="C127" t="str">
        <v>Y</v>
      </c>
      <c r="I127" s="8">
        <f>H127*F127</f>
        <v>0</v>
      </c>
      <c r="M127" t="str">
        <v>Y</v>
      </c>
    </row>
    <row r="128" ht="14.25" customHeight="1">
      <c r="A128">
        <f>A127+1</f>
        <v>81</v>
      </c>
      <c r="B128" t="str">
        <v>Grout railing posts into sleeves, or core drill if sleeves are not furnished</v>
      </c>
      <c r="C128" t="str">
        <v>Y</v>
      </c>
      <c r="I128" s="8">
        <f>H128*F128</f>
        <v>0</v>
      </c>
      <c r="M128" t="str">
        <v>Y</v>
      </c>
    </row>
    <row r="129" ht="14.25" customHeight="1">
      <c r="A129">
        <f>A128+1</f>
        <v>82</v>
      </c>
      <c r="B129" t="str">
        <v>Galvanize if exposed to weather, in wall cavity or embedded; shop prime balance</v>
      </c>
      <c r="C129" t="str">
        <v>Y</v>
      </c>
      <c r="I129" s="8">
        <f>H129*F129</f>
        <v>0</v>
      </c>
      <c r="M129" t="str">
        <v>Y</v>
      </c>
    </row>
    <row r="130" ht="14.25" customHeight="1">
      <c r="A130">
        <f>A129+1</f>
        <v>83</v>
      </c>
      <c r="B130" t="str">
        <v>Clean up debris and dispose in MCN dumpster</v>
      </c>
      <c r="C130" t="str">
        <v>Y</v>
      </c>
      <c r="I130" s="8">
        <f>H130*F130</f>
        <v>0</v>
      </c>
      <c r="M130" t="str">
        <v>Y</v>
      </c>
    </row>
    <row r="131" ht="14.25" customHeight="1">
      <c r="A131">
        <f>A130+1</f>
        <v>84</v>
      </c>
      <c r="C131" t="str">
        <v>Y</v>
      </c>
      <c r="I131" s="8">
        <f>H131*F131</f>
        <v>0</v>
      </c>
      <c r="M131" t="str">
        <v>Y</v>
      </c>
    </row>
    <row r="132" ht="14.25" customHeight="1">
      <c r="A132">
        <f>A131+1</f>
        <v>85</v>
      </c>
      <c r="B132" t="str">
        <v>Add for Flagpole - F+I</v>
      </c>
      <c r="C132" t="str">
        <v>Y</v>
      </c>
      <c r="I132" s="8">
        <f>H132*F132</f>
        <v>0</v>
      </c>
      <c r="J132" t="str">
        <v>Y</v>
      </c>
      <c r="K132" t="str">
        <v>P- FW HAX</v>
      </c>
      <c r="L132" s="8">
        <v>6500</v>
      </c>
      <c r="M132" t="str">
        <v>Y</v>
      </c>
      <c r="N132" t="str">
        <v>P- FW HAX</v>
      </c>
      <c r="O132" s="8">
        <v>6500</v>
      </c>
      <c r="P132" t="str">
        <v>Y</v>
      </c>
      <c r="Q132" t="str">
        <v>P- FW HAX</v>
      </c>
      <c r="R132" s="8">
        <v>6500</v>
      </c>
    </row>
    <row r="133" ht="14.25" customHeight="1">
      <c r="A133">
        <f>A132+1</f>
        <v>86</v>
      </c>
      <c r="C133" t="str">
        <v>Y</v>
      </c>
      <c r="I133" s="8">
        <f>H133*F133</f>
        <v>0</v>
      </c>
      <c r="M133" t="str">
        <v>Y</v>
      </c>
    </row>
    <row r="134" ht="14.25" customHeight="1">
      <c r="A134">
        <f>A133+1</f>
        <v>87</v>
      </c>
      <c r="C134" t="str">
        <v>Y</v>
      </c>
      <c r="I134" s="8">
        <f>H134*F134</f>
        <v>0</v>
      </c>
      <c r="M134" t="str">
        <v>Y</v>
      </c>
    </row>
    <row r="135" ht="14.25" customHeight="1">
      <c r="A135">
        <f>A134+1</f>
        <v>88</v>
      </c>
      <c r="C135" t="str">
        <v>Y</v>
      </c>
      <c r="I135" s="8">
        <f>H135*F135</f>
        <v>0</v>
      </c>
      <c r="M135" t="str">
        <v>Y</v>
      </c>
    </row>
    <row r="136" ht="14.25" customHeight="1">
      <c r="I136" s="8">
        <f>H136*F136</f>
        <v>0</v>
      </c>
    </row>
    <row r="137" ht="14.25" customHeight="1">
      <c r="A137" t="str">
        <v>C</v>
      </c>
      <c r="B137" t="str">
        <v>Exclusions</v>
      </c>
    </row>
    <row r="138" ht="14.25" customHeight="1">
      <c r="A138">
        <v>1</v>
      </c>
      <c r="B138" t="str">
        <v>Testing and Inspection</v>
      </c>
      <c r="C138" t="str">
        <v>No</v>
      </c>
      <c r="D138" t="str">
        <v>by Owner</v>
      </c>
    </row>
    <row r="139" ht="14.25" customHeight="1">
      <c r="A139">
        <f>A138+1</f>
        <v>2</v>
      </c>
      <c r="B139" t="str">
        <v>Bike Racks</v>
      </c>
      <c r="C139" t="str">
        <v>N</v>
      </c>
      <c r="D139" t="str">
        <v>w/ Site</v>
      </c>
    </row>
    <row r="140" ht="14.25" customHeight="1">
      <c r="A140">
        <f>A139+1</f>
        <v>3</v>
      </c>
      <c r="B140" t="str">
        <v>Install of loose lintels</v>
      </c>
      <c r="C140" t="str">
        <v>N</v>
      </c>
      <c r="D140" t="str">
        <v>by Mason</v>
      </c>
    </row>
    <row r="141" ht="14.25" customHeight="1">
      <c r="A141">
        <f>A140+1</f>
        <v>4</v>
      </c>
      <c r="B141" t="str">
        <v>Install of pipe bollards or concrete fill of pipe bollards</v>
      </c>
      <c r="C141" t="str">
        <v>N</v>
      </c>
      <c r="D141" t="str">
        <v>by Site Concrete</v>
      </c>
    </row>
    <row r="142" ht="14.25" customHeight="1">
      <c r="A142">
        <f>A141+1</f>
        <v>5</v>
      </c>
    </row>
    <row r="143" ht="14.25" customHeight="1"/>
    <row r="144" ht="14.25" customHeight="1">
      <c r="A144" t="str">
        <v>D</v>
      </c>
      <c r="B144" t="str">
        <v>Schedule</v>
      </c>
    </row>
    <row r="145" ht="14.25" customHeight="1">
      <c r="A145">
        <v>1</v>
      </c>
      <c r="B145" t="str">
        <v>Meet MCN Schedule</v>
      </c>
      <c r="C145" t="str">
        <v>Y</v>
      </c>
    </row>
    <row r="146" ht="14.25" customHeight="1">
      <c r="A146">
        <f>A145+1</f>
        <v>2</v>
      </c>
      <c r="B146" t="str">
        <v>Advise of Durations</v>
      </c>
    </row>
    <row r="147" ht="14.25" customHeight="1">
      <c r="A147">
        <f>A146+1</f>
        <v>3</v>
      </c>
      <c r="B147" t="str">
        <v>Beams &amp; Columns</v>
      </c>
      <c r="C147" t="str">
        <v>---&gt;</v>
      </c>
    </row>
    <row r="148" ht="14.25" customHeight="1">
      <c r="A148">
        <f>A147+1</f>
        <v>4</v>
      </c>
      <c r="B148" t="str">
        <v>Metal Deck</v>
      </c>
      <c r="C148" t="str">
        <v>---&gt;</v>
      </c>
    </row>
    <row r="149" ht="14.25" customHeight="1">
      <c r="A149">
        <f>A148+1</f>
        <v>5</v>
      </c>
      <c r="B149" t="str">
        <v xml:space="preserve">Stairs and Landing </v>
      </c>
      <c r="C149" t="str">
        <v>---&gt;</v>
      </c>
    </row>
    <row r="150" ht="14.25" customHeight="1">
      <c r="A150">
        <f>A149+1</f>
        <v>6</v>
      </c>
      <c r="B150" t="str">
        <v>Duration for Submittals and Shop Drawings</v>
      </c>
      <c r="C150" t="str">
        <v>---&gt;</v>
      </c>
    </row>
    <row r="151" ht="14.25" customHeight="1">
      <c r="A151">
        <f>A150+1</f>
        <v>7</v>
      </c>
      <c r="B151" t="str">
        <v>Advise of Lead Times:</v>
      </c>
    </row>
    <row r="152" ht="14.25" customHeight="1">
      <c r="A152">
        <f>A151+1</f>
        <v>8</v>
      </c>
      <c r="B152" t="str">
        <v xml:space="preserve">Fabrication </v>
      </c>
      <c r="C152" t="str">
        <v>---&gt;</v>
      </c>
    </row>
    <row r="153" ht="14.25" customHeight="1">
      <c r="A153">
        <f>A152+1</f>
        <v>9</v>
      </c>
      <c r="B153" t="str">
        <v xml:space="preserve">Structural Steel </v>
      </c>
      <c r="C153" t="str">
        <v>---&gt;</v>
      </c>
    </row>
    <row r="154" ht="14.25" customHeight="1">
      <c r="A154">
        <f>A153+1</f>
        <v>10</v>
      </c>
      <c r="B154" t="str">
        <v>Misc. Metals</v>
      </c>
      <c r="C154" t="str">
        <v>---&gt;</v>
      </c>
    </row>
    <row r="155" ht="14.25" customHeight="1"/>
    <row r="156" hidden="1" ht="14.25" customHeight="1"/>
    <row r="157" hidden="1" ht="14.25" customHeight="1">
      <c r="B157" t="str">
        <v>Allowances</v>
      </c>
    </row>
    <row r="158" hidden="1" ht="14.25" customHeight="1">
      <c r="A158">
        <v>1</v>
      </c>
    </row>
    <row r="159" hidden="1" ht="14.25" customHeight="1">
      <c r="A159">
        <f>A158+1</f>
        <v>2</v>
      </c>
    </row>
    <row r="160" hidden="1" ht="14.25" customHeight="1">
      <c r="A160">
        <f>A159+1</f>
        <v>3</v>
      </c>
    </row>
    <row r="161" hidden="1" ht="14.25" customHeight="1">
      <c r="A161">
        <f>A160+1</f>
        <v>4</v>
      </c>
    </row>
    <row r="162" hidden="1" ht="14.25" customHeight="1"/>
    <row r="163" hidden="1" ht="14.25" customHeight="1"/>
    <row r="164" hidden="1" ht="14.25" customHeight="1">
      <c r="B164" t="str">
        <v>Alternates</v>
      </c>
    </row>
    <row r="165" hidden="1" ht="14.25" customHeight="1">
      <c r="A165">
        <v>1</v>
      </c>
      <c r="C165" t="str">
        <v>#</v>
      </c>
    </row>
    <row r="166" hidden="1" ht="14.25" customHeight="1">
      <c r="A166">
        <f>A165+1</f>
        <v>2</v>
      </c>
      <c r="C166" t="str">
        <v>#</v>
      </c>
    </row>
    <row r="167" hidden="1" ht="14.25" customHeight="1">
      <c r="A167">
        <f>A166+1</f>
        <v>3</v>
      </c>
      <c r="C167" t="str">
        <v>#</v>
      </c>
    </row>
    <row r="168" hidden="1" ht="14.25" customHeight="1">
      <c r="A168">
        <f>A167+1</f>
        <v>4</v>
      </c>
      <c r="C168" t="str">
        <v>#</v>
      </c>
    </row>
    <row r="169" hidden="1" ht="14.25" customHeight="1">
      <c r="C169" t="str">
        <v>#</v>
      </c>
    </row>
    <row r="170" hidden="1" ht="14.25" customHeight="1">
      <c r="B170" t="str">
        <v>Unit Prices</v>
      </c>
    </row>
    <row r="171" hidden="1" ht="14.25" customHeight="1">
      <c r="A171">
        <v>1</v>
      </c>
      <c r="C171" t="str">
        <v>#</v>
      </c>
    </row>
    <row r="172" hidden="1" ht="14.25" customHeight="1">
      <c r="A172">
        <f>A171+1</f>
        <v>2</v>
      </c>
      <c r="C172" t="str">
        <v>#</v>
      </c>
    </row>
    <row r="173" hidden="1" ht="14.25" customHeight="1">
      <c r="A173">
        <f>A172+1</f>
        <v>3</v>
      </c>
      <c r="C173" t="str">
        <v>#</v>
      </c>
    </row>
    <row r="174" hidden="1" ht="14.25" customHeight="1">
      <c r="A174">
        <f>A173+1</f>
        <v>4</v>
      </c>
      <c r="C174" t="str">
        <v>#</v>
      </c>
    </row>
    <row r="175" hidden="1"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1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06 - ROUGH CARPENTRY</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SUM(I20:I120,I13:I18)</f>
        <v>0</v>
      </c>
      <c r="K7" t="str">
        <v>Adjustments:</v>
      </c>
      <c r="L7" s="4">
        <f>SUM(L13:L18,L20:L120)</f>
        <v>0</v>
      </c>
      <c r="N7" t="str">
        <v>Adjustments:</v>
      </c>
      <c r="O7" s="4">
        <f>SUM(O13:O18,O20:O120)</f>
        <v>0</v>
      </c>
      <c r="Q7" t="str">
        <v>Adjustments:</v>
      </c>
      <c r="R7" s="4">
        <f>SUM(R13:R18,R20:R120)</f>
        <v>0</v>
      </c>
      <c r="T7" t="str">
        <v>Adjustments:</v>
      </c>
      <c r="U7" s="4">
        <f>SUM(U13:U18,U20:U120)</f>
        <v>0</v>
      </c>
      <c r="W7" t="str">
        <v>Adjustments:</v>
      </c>
      <c r="X7" s="4">
        <f>SUM(X13:X18,X20:X120)</f>
        <v>0</v>
      </c>
      <c r="Z7" t="str">
        <v>Adjustments:</v>
      </c>
      <c r="AA7" s="4">
        <f>SUM(AA13:AA18,AA20:AA120)</f>
        <v>0</v>
      </c>
      <c r="AC7" t="str">
        <v>Adjustments:</v>
      </c>
      <c r="AD7" s="4">
        <f>SUM(AD13:AD18,AD20:AD120)</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Roof blocking</v>
      </c>
      <c r="C43" t="str">
        <v>Y</v>
      </c>
      <c r="I43" s="8">
        <f>H43*F43</f>
        <v>0</v>
      </c>
    </row>
    <row r="44" ht="14.25" customHeight="1">
      <c r="A44">
        <v>3</v>
      </c>
      <c r="B44" t="str">
        <v>Roof cants</v>
      </c>
      <c r="C44" t="str">
        <v>Y</v>
      </c>
      <c r="I44" s="8">
        <f>H44*F44</f>
        <v>0</v>
      </c>
    </row>
    <row r="45" ht="14.25" customHeight="1">
      <c r="A45">
        <v>4</v>
      </c>
      <c r="B45" t="str">
        <v>**Other specific wood blocking items**</v>
      </c>
      <c r="C45" t="str">
        <v>Y</v>
      </c>
      <c r="I45" s="8">
        <f>H45*F45</f>
        <v>0</v>
      </c>
    </row>
    <row r="46" ht="14.25" customHeight="1">
      <c r="A46">
        <v>5</v>
      </c>
      <c r="B46" t="str">
        <v>Plywood backer boards at Electrical/Telephone Closets</v>
      </c>
      <c r="C46" t="str">
        <v>Y</v>
      </c>
      <c r="I46" s="8">
        <f>H46*F46</f>
        <v>0</v>
      </c>
    </row>
    <row r="47" ht="14.25" customHeight="1">
      <c r="A47">
        <v>6</v>
      </c>
      <c r="B47" t="str">
        <v>Plywood backer boards at mirrors</v>
      </c>
      <c r="C47" t="str">
        <v>Y</v>
      </c>
      <c r="I47" s="8">
        <f>H47*F47</f>
        <v>0</v>
      </c>
    </row>
    <row r="48" ht="14.25" customHeight="1">
      <c r="A48">
        <v>7</v>
      </c>
      <c r="B48" t="str">
        <v>Plywood substrate at stone vanities</v>
      </c>
      <c r="C48" t="str">
        <v>Y</v>
      </c>
      <c r="I48" s="8">
        <f>H48*F48</f>
        <v>0</v>
      </c>
    </row>
    <row r="49" ht="14.25" customHeight="1">
      <c r="A49">
        <v>8</v>
      </c>
      <c r="B49" t="str">
        <v>Plywood substrate at shingle/metal roof decks (under roofing)</v>
      </c>
      <c r="C49" t="str">
        <v>Y</v>
      </c>
      <c r="I49" s="8">
        <f>H49*F49</f>
        <v>0</v>
      </c>
    </row>
    <row r="50" ht="14.25" customHeight="1">
      <c r="A50">
        <v>9</v>
      </c>
      <c r="B50" t="str">
        <v>**Other specific plywood items**</v>
      </c>
      <c r="C50" t="str">
        <v>Y</v>
      </c>
      <c r="I50" s="8">
        <f>H50*F50</f>
        <v>0</v>
      </c>
    </row>
    <row r="51" ht="14.25" customHeight="1">
      <c r="A51">
        <v>10</v>
      </c>
      <c r="B51" t="str">
        <v>Wood or sheet metal In-wall blocking (coordinate with drywall):</v>
      </c>
      <c r="C51" t="str">
        <v>Y</v>
      </c>
      <c r="I51" s="8">
        <f>H51*F51</f>
        <v>0</v>
      </c>
    </row>
    <row r="52" ht="14.25" customHeight="1">
      <c r="A52">
        <v>11</v>
      </c>
      <c r="B52" t="str">
        <v>At wall mounted handrails</v>
      </c>
      <c r="C52" t="str">
        <v>Y</v>
      </c>
      <c r="I52" s="8">
        <f>H52*F52</f>
        <v>0</v>
      </c>
    </row>
    <row r="53" ht="14.25" customHeight="1">
      <c r="A53">
        <v>12</v>
      </c>
      <c r="B53" t="str">
        <v>At wall mounted cabinetry (base and wall cabinets; countertops)</v>
      </c>
      <c r="C53" t="str">
        <v>Y</v>
      </c>
      <c r="I53" s="8">
        <f>H53*F53</f>
        <v>0</v>
      </c>
    </row>
    <row r="54" ht="14.25" customHeight="1">
      <c r="A54">
        <v>13</v>
      </c>
      <c r="B54" t="str">
        <v>At toilet accessories</v>
      </c>
      <c r="C54" t="str">
        <v>Y</v>
      </c>
      <c r="I54" s="8">
        <f>H54*F54</f>
        <v>0</v>
      </c>
    </row>
    <row r="55" ht="14.25" customHeight="1">
      <c r="A55">
        <v>14</v>
      </c>
      <c r="B55" t="str">
        <v>At wall bumpers</v>
      </c>
      <c r="C55" t="str">
        <v>Y</v>
      </c>
      <c r="I55" s="8">
        <f>H55*F55</f>
        <v>0</v>
      </c>
    </row>
    <row r="56" ht="14.25" customHeight="1">
      <c r="A56">
        <v>15</v>
      </c>
      <c r="B56" t="str">
        <v xml:space="preserve"> </v>
      </c>
      <c r="C56" t="str">
        <v>Y</v>
      </c>
      <c r="I56" s="8">
        <f>H56*F56</f>
        <v>0</v>
      </c>
    </row>
    <row r="57" ht="14.25" customHeight="1">
      <c r="A57">
        <v>16</v>
      </c>
      <c r="B57" t="str">
        <v>Receive, Unload, Catalogue, Store and Install only items:</v>
      </c>
      <c r="C57" t="str">
        <v>Y</v>
      </c>
      <c r="I57" s="8">
        <f>H57*F57</f>
        <v>0</v>
      </c>
    </row>
    <row r="58" ht="14.25" customHeight="1">
      <c r="A58">
        <v>17</v>
      </c>
      <c r="B58" t="str">
        <v>Commercial Buildings:</v>
      </c>
      <c r="C58" t="str">
        <v>Y</v>
      </c>
      <c r="I58" s="8">
        <f>H58*F58</f>
        <v>0</v>
      </c>
    </row>
    <row r="59" ht="14.25" customHeight="1">
      <c r="A59">
        <v>18</v>
      </c>
      <c r="B59" t="str">
        <v>Hollow metal frames (coordinate with drywall)</v>
      </c>
      <c r="C59" t="str">
        <v>Y</v>
      </c>
      <c r="I59" s="8">
        <f>H59*F59</f>
        <v>0</v>
      </c>
    </row>
    <row r="60" ht="14.25" customHeight="1">
      <c r="A60">
        <v>19</v>
      </c>
      <c r="B60" t="str">
        <v xml:space="preserve">Hollow metal doors  </v>
      </c>
      <c r="C60" t="str">
        <v>Y</v>
      </c>
      <c r="I60" s="8">
        <f>H60*F60</f>
        <v>0</v>
      </c>
    </row>
    <row r="61" ht="14.25" customHeight="1">
      <c r="A61">
        <v>20</v>
      </c>
      <c r="B61" t="str">
        <v>Wood doors</v>
      </c>
      <c r="C61" t="str">
        <v>Y</v>
      </c>
      <c r="I61" s="8">
        <f>H61*F61</f>
        <v>0</v>
      </c>
    </row>
    <row r="62" ht="14.25" customHeight="1">
      <c r="A62">
        <v>21</v>
      </c>
      <c r="B62" t="str">
        <v>Door hardware sets</v>
      </c>
      <c r="C62" t="str">
        <v>Y</v>
      </c>
      <c r="I62" s="8">
        <f>H62*F62</f>
        <v>0</v>
      </c>
    </row>
    <row r="63" ht="14.25" customHeight="1">
      <c r="A63">
        <v>22</v>
      </c>
      <c r="B63" t="str">
        <v>Louvers</v>
      </c>
      <c r="C63" t="str">
        <v>Y</v>
      </c>
      <c r="I63" s="8">
        <f>H63*F63</f>
        <v>0</v>
      </c>
    </row>
    <row r="64" ht="14.25" customHeight="1">
      <c r="A64">
        <v>23</v>
      </c>
      <c r="B64" t="str">
        <v xml:space="preserve">Fire extinguisher cabinets </v>
      </c>
      <c r="C64" t="str">
        <v>Y</v>
      </c>
      <c r="I64" s="8">
        <f>H64*F64</f>
        <v>0</v>
      </c>
    </row>
    <row r="65" ht="14.25" customHeight="1">
      <c r="A65">
        <v>24</v>
      </c>
      <c r="B65" t="str">
        <v>Toilet Accessories</v>
      </c>
      <c r="C65" t="str">
        <v>Y</v>
      </c>
      <c r="I65" s="8">
        <f>H65*F65</f>
        <v>0</v>
      </c>
    </row>
    <row r="66" ht="14.25" customHeight="1">
      <c r="A66">
        <v>25</v>
      </c>
      <c r="B66" t="str">
        <v>**Other specialty items**</v>
      </c>
      <c r="C66" t="str">
        <v>Y</v>
      </c>
      <c r="I66" s="8">
        <f>H66*F66</f>
        <v>0</v>
      </c>
    </row>
    <row r="67" ht="14.25" customHeight="1">
      <c r="A67">
        <v>26</v>
      </c>
      <c r="B67" t="str">
        <v>Additional Items for Residential Construction:</v>
      </c>
      <c r="C67" t="str">
        <v>Y</v>
      </c>
      <c r="I67" s="8">
        <f>H67*F67</f>
        <v>0</v>
      </c>
    </row>
    <row r="68" ht="14.25" customHeight="1">
      <c r="A68">
        <v>27</v>
      </c>
      <c r="B68" t="str">
        <v>Running wood trim (list: wood base, shoe moulding, window sills/aprons, entry door trim, casings, crown mouldings, chair rails, etc)</v>
      </c>
      <c r="C68" t="str">
        <v>Y</v>
      </c>
      <c r="I68" s="8">
        <f>H68*F68</f>
        <v>0</v>
      </c>
    </row>
    <row r="69" ht="14.25" customHeight="1">
      <c r="A69">
        <v>28</v>
      </c>
      <c r="B69" t="str">
        <v>Wood or wire shelving</v>
      </c>
      <c r="C69" t="str">
        <v>Y</v>
      </c>
      <c r="I69" s="8">
        <f>H69*F69</f>
        <v>0</v>
      </c>
    </row>
    <row r="70" ht="14.25" customHeight="1">
      <c r="A70">
        <v>29</v>
      </c>
      <c r="B70" t="str">
        <v>Pre-hung doors</v>
      </c>
      <c r="C70" t="str">
        <v>Y</v>
      </c>
      <c r="I70" s="8">
        <f>H70*F70</f>
        <v>0</v>
      </c>
    </row>
    <row r="71" ht="14.25" customHeight="1">
      <c r="A71">
        <v>30</v>
      </c>
      <c r="B71" t="str">
        <v>Hardware for pre-hung doors</v>
      </c>
      <c r="C71" t="str">
        <v>Y</v>
      </c>
      <c r="I71" s="8">
        <f>H71*F71</f>
        <v>0</v>
      </c>
    </row>
    <row r="72" ht="14.25" customHeight="1">
      <c r="A72">
        <v>31</v>
      </c>
      <c r="B72" t="str">
        <v>Set appliances in place</v>
      </c>
      <c r="C72" t="str">
        <v>Y</v>
      </c>
      <c r="I72" s="8">
        <f>H72*F72</f>
        <v>0</v>
      </c>
    </row>
    <row r="73" ht="14.25" customHeight="1">
      <c r="A73">
        <v>32</v>
      </c>
      <c r="B73" t="str">
        <v>Hard Installation of range hoods and mounted microwaves</v>
      </c>
      <c r="C73" t="str">
        <v>Y</v>
      </c>
      <c r="I73" s="8">
        <f>H73*F73</f>
        <v>0</v>
      </c>
    </row>
    <row r="74" ht="14.25" customHeight="1">
      <c r="A74">
        <v>41</v>
      </c>
      <c r="C74" t="str">
        <v>Y</v>
      </c>
      <c r="I74" s="8">
        <f>H74*F74</f>
        <v>0</v>
      </c>
    </row>
    <row r="75" ht="14.25" customHeight="1">
      <c r="A75">
        <v>42</v>
      </c>
      <c r="B75" t="str">
        <v>STANDARD / GENERAL SCOPE</v>
      </c>
      <c r="C75" t="str">
        <v>Y</v>
      </c>
      <c r="I75" s="8">
        <f>H75*F75</f>
        <v>0</v>
      </c>
    </row>
    <row r="76" ht="14.25" customHeight="1">
      <c r="A76">
        <v>43</v>
      </c>
      <c r="B76" t="str">
        <v>Provide all material, tools, equipment, hoisting, supervision, etc for this work</v>
      </c>
      <c r="C76" t="str">
        <v>Y</v>
      </c>
      <c r="I76" s="8">
        <f>H76*F76</f>
        <v>0</v>
      </c>
    </row>
    <row r="77" ht="14.25" customHeight="1">
      <c r="A77">
        <v>44</v>
      </c>
      <c r="B77" t="str">
        <v>Include all anchors and fasteners for this work</v>
      </c>
      <c r="C77" t="str">
        <v>Y</v>
      </c>
      <c r="I77" s="8">
        <f>H77*F77</f>
        <v>0</v>
      </c>
    </row>
    <row r="78" ht="14.25" customHeight="1">
      <c r="A78">
        <v>45</v>
      </c>
      <c r="B78" t="str">
        <v>Furnish anchor bolts for sill plates for installation into conc/masonry by others</v>
      </c>
      <c r="C78" t="str">
        <v>Y</v>
      </c>
      <c r="I78" s="8">
        <f>H78*F78</f>
        <v>0</v>
      </c>
    </row>
    <row r="79" ht="14.25" customHeight="1">
      <c r="A79">
        <v>46</v>
      </c>
      <c r="B79" t="str">
        <v>Perform all necessary field cutting of lumber/plywood</v>
      </c>
      <c r="C79" t="str">
        <v>Y</v>
      </c>
      <c r="I79" s="8">
        <f>H79*F79</f>
        <v>0</v>
      </c>
    </row>
    <row r="80" ht="14.25" customHeight="1">
      <c r="A80">
        <v>47</v>
      </c>
      <c r="B80" t="str">
        <v>Layout from GC control lines and benchmarks</v>
      </c>
      <c r="C80" t="str">
        <v>Y</v>
      </c>
      <c r="I80" s="8">
        <f>H80*F80</f>
        <v>0</v>
      </c>
    </row>
    <row r="81" ht="14.25" customHeight="1">
      <c r="A81">
        <v>48</v>
      </c>
      <c r="B81" t="str">
        <v>Clean up to MCN dumpster</v>
      </c>
      <c r="C81" t="str">
        <v>Y</v>
      </c>
      <c r="I81" s="8">
        <f>H81*F81</f>
        <v>0</v>
      </c>
    </row>
    <row r="82" ht="14.25" customHeight="1">
      <c r="A82">
        <v>49</v>
      </c>
      <c r="B82" t="str">
        <v xml:space="preserve"> </v>
      </c>
      <c r="C82" t="str">
        <v>Y</v>
      </c>
      <c r="I82" s="8">
        <f>H82*F82</f>
        <v>0</v>
      </c>
    </row>
    <row r="83" ht="14.25" customHeight="1">
      <c r="A83">
        <v>50</v>
      </c>
      <c r="B83" t="str">
        <v>LEED Issues:</v>
      </c>
      <c r="C83" t="str">
        <v>Y</v>
      </c>
      <c r="I83" s="8">
        <f>H83*F83</f>
        <v>0</v>
      </c>
    </row>
    <row r="84" ht="14.25" customHeight="1">
      <c r="A84">
        <v>51</v>
      </c>
      <c r="B84" t="str">
        <v>FSC-certified lumber</v>
      </c>
      <c r="C84" t="str">
        <v>Y</v>
      </c>
      <c r="I84" s="8">
        <f>H84*F84</f>
        <v>0</v>
      </c>
    </row>
    <row r="85" ht="14.25" customHeight="1">
      <c r="A85">
        <v>52</v>
      </c>
      <c r="B85" t="str">
        <v>No CCA pressure treatment for lumber</v>
      </c>
      <c r="C85" t="str">
        <v>Y</v>
      </c>
      <c r="I85" s="8">
        <f>H85*F85</f>
        <v>0</v>
      </c>
    </row>
    <row r="86" ht="14.25" customHeight="1">
      <c r="A86">
        <v>53</v>
      </c>
      <c r="B86" t="str">
        <v>Plywood/substrates free of urea formaldehyde</v>
      </c>
      <c r="C86" t="str">
        <v>Y</v>
      </c>
      <c r="I86" s="8">
        <f>H86*F86</f>
        <v>0</v>
      </c>
    </row>
    <row r="87" ht="14.25" customHeight="1">
      <c r="A87">
        <v>54</v>
      </c>
      <c r="B87" t="str">
        <v>Low VOC adhesives</v>
      </c>
      <c r="C87" t="str">
        <v>Y</v>
      </c>
      <c r="I87" s="8">
        <f>H87*F87</f>
        <v>0</v>
      </c>
    </row>
    <row r="88" ht="14.25" customHeight="1">
      <c r="A88">
        <v>54</v>
      </c>
      <c r="B88" t="str">
        <v>Sorting of debris for recycling</v>
      </c>
      <c r="C88" t="str">
        <v>Y</v>
      </c>
      <c r="I88" s="8">
        <f>H88*F88</f>
        <v>0</v>
      </c>
    </row>
    <row r="89" ht="14.25" customHeight="1">
      <c r="A89">
        <v>54</v>
      </c>
      <c r="B89" t="str">
        <v>LEED documentation</v>
      </c>
      <c r="C89" t="str">
        <v>Y</v>
      </c>
      <c r="I89" s="8">
        <f>H89*F89</f>
        <v>0</v>
      </c>
    </row>
    <row r="90" ht="14.25" customHeight="1">
      <c r="I90" s="8">
        <f>H90*F90</f>
        <v>0</v>
      </c>
    </row>
    <row r="91" ht="14.25" customHeight="1">
      <c r="A91" t="str">
        <v>C</v>
      </c>
      <c r="B91" t="str">
        <v>Exclusions</v>
      </c>
    </row>
    <row r="92" ht="14.25" customHeight="1">
      <c r="A92">
        <v>1</v>
      </c>
      <c r="B92" t="str">
        <v>Covered walkways</v>
      </c>
      <c r="C92" t="str">
        <v>N</v>
      </c>
      <c r="D92" t="str">
        <v>by GC</v>
      </c>
    </row>
    <row r="93" ht="14.25" customHeight="1">
      <c r="A93">
        <v>2</v>
      </c>
      <c r="B93" t="str">
        <v xml:space="preserve">Temporary partitions </v>
      </c>
      <c r="C93" t="str">
        <v>N</v>
      </c>
      <c r="D93" t="str">
        <v>by GC</v>
      </c>
    </row>
    <row r="94" ht="14.25" customHeight="1">
      <c r="A94">
        <v>3</v>
      </c>
      <c r="B94" t="str">
        <v>Floor protection</v>
      </c>
      <c r="C94" t="str">
        <v>N</v>
      </c>
      <c r="D94" t="str">
        <v>by GC</v>
      </c>
    </row>
    <row r="95" ht="14.25" customHeight="1">
      <c r="A95">
        <v>4</v>
      </c>
      <c r="B95" t="str">
        <v>Elevator cab protection</v>
      </c>
      <c r="C95" t="str">
        <v>N</v>
      </c>
      <c r="D95" t="str">
        <v>by GC</v>
      </c>
    </row>
    <row r="96" ht="14.25" customHeight="1">
      <c r="A96">
        <v>5</v>
      </c>
      <c r="B96" t="str">
        <v>Construction signs</v>
      </c>
      <c r="C96" t="str">
        <v>N</v>
      </c>
      <c r="D96" t="str">
        <v>by GC</v>
      </c>
    </row>
    <row r="97" ht="14.25" customHeight="1">
      <c r="A97">
        <v>6</v>
      </c>
      <c r="B97" t="str">
        <v>Temporary stairs, ramps, rails and platforms</v>
      </c>
      <c r="C97" t="str">
        <v>N</v>
      </c>
      <c r="D97" t="str">
        <v>by GC</v>
      </c>
    </row>
    <row r="98" ht="14.25" customHeight="1">
      <c r="A98">
        <v>7</v>
      </c>
      <c r="B98" t="str">
        <v>Guardrails and toeboards</v>
      </c>
      <c r="C98" t="str">
        <v>N</v>
      </c>
      <c r="D98" t="str">
        <v>by GC</v>
      </c>
    </row>
    <row r="99" ht="14.25" customHeight="1">
      <c r="A99">
        <v>8</v>
      </c>
      <c r="B99" t="str">
        <v>Clean up Labor</v>
      </c>
      <c r="C99" t="str">
        <v>N</v>
      </c>
      <c r="D99" t="str">
        <v>by GC</v>
      </c>
    </row>
    <row r="100" ht="14.25" customHeight="1">
      <c r="A100">
        <v>9</v>
      </c>
      <c r="B100" t="str">
        <v>Blocking occurring outside of walls for millwork items</v>
      </c>
      <c r="C100" t="str">
        <v>N</v>
      </c>
      <c r="D100" t="str">
        <v>by Millwork</v>
      </c>
    </row>
    <row r="101" ht="14.25" customHeight="1"/>
    <row r="102" ht="14.25" customHeight="1">
      <c r="A102" t="str">
        <v>D</v>
      </c>
      <c r="B102" t="str">
        <v>Schedule</v>
      </c>
    </row>
    <row r="103" ht="14.25" customHeight="1">
      <c r="A103">
        <v>1</v>
      </c>
      <c r="B103" t="str">
        <v>Meet MCN Schedule</v>
      </c>
      <c r="C103" t="str">
        <v>Y</v>
      </c>
    </row>
    <row r="104" ht="14.25" customHeight="1">
      <c r="A104">
        <f>A103+1</f>
        <v>2</v>
      </c>
      <c r="B104" t="str">
        <v>Advise of Durations</v>
      </c>
    </row>
    <row r="105" ht="14.25" customHeight="1">
      <c r="A105">
        <f>A104+1</f>
        <v>3</v>
      </c>
      <c r="B105" t="str">
        <v>Activity 1</v>
      </c>
      <c r="C105" t="str">
        <v>---&gt;</v>
      </c>
    </row>
    <row r="106" ht="14.25" customHeight="1">
      <c r="A106">
        <f>A105+1</f>
        <v>4</v>
      </c>
      <c r="B106" t="str">
        <v>Activity 2</v>
      </c>
      <c r="C106" t="str">
        <v>---&gt;</v>
      </c>
    </row>
    <row r="107" ht="14.25" customHeight="1">
      <c r="A107">
        <f>A106+1</f>
        <v>5</v>
      </c>
      <c r="B107" t="str">
        <v>Activity 3</v>
      </c>
      <c r="C107" t="str">
        <v>---&gt;</v>
      </c>
    </row>
    <row r="108" ht="14.25" customHeight="1">
      <c r="A108">
        <f>A107+1</f>
        <v>6</v>
      </c>
      <c r="B108" t="str">
        <v>Duration for Submittals and Shop Drawings</v>
      </c>
      <c r="C108" t="str">
        <v>---&gt;</v>
      </c>
    </row>
    <row r="109" ht="14.25" customHeight="1">
      <c r="A109">
        <f>A108+1</f>
        <v>7</v>
      </c>
      <c r="B109" t="str">
        <v>Advise of Lead Times:</v>
      </c>
    </row>
    <row r="110" ht="14.25" customHeight="1">
      <c r="A110">
        <f>A109+1</f>
        <v>8</v>
      </c>
      <c r="B110" t="str">
        <v>Material 1</v>
      </c>
      <c r="C110" t="str">
        <v>---&gt;</v>
      </c>
    </row>
    <row r="111" ht="14.25" customHeight="1">
      <c r="A111">
        <f>A110+1</f>
        <v>9</v>
      </c>
      <c r="B111" t="str">
        <v>Material 2</v>
      </c>
      <c r="C111" t="str">
        <v>---&gt;</v>
      </c>
    </row>
    <row r="112" ht="14.25" customHeight="1">
      <c r="A112">
        <f>A111+1</f>
        <v>10</v>
      </c>
      <c r="B112" t="str">
        <v>Material 3</v>
      </c>
      <c r="C112" t="str">
        <v>---&gt;</v>
      </c>
    </row>
    <row r="113" ht="14.25" customHeight="1"/>
    <row r="114" ht="14.25" customHeight="1"/>
    <row r="115" ht="14.25" customHeight="1">
      <c r="B115" t="str">
        <v>Allowances</v>
      </c>
    </row>
    <row r="116" ht="14.25" customHeight="1">
      <c r="A116">
        <v>1</v>
      </c>
    </row>
    <row r="117" ht="14.25" customHeight="1">
      <c r="A117">
        <f>A116+1</f>
        <v>2</v>
      </c>
    </row>
    <row r="118" ht="14.25" customHeight="1">
      <c r="A118">
        <f>A117+1</f>
        <v>3</v>
      </c>
    </row>
    <row r="119" ht="14.25" customHeight="1">
      <c r="A119">
        <f>A118+1</f>
        <v>4</v>
      </c>
    </row>
    <row r="120" ht="14.25" customHeight="1"/>
    <row r="121" ht="14.25" customHeight="1"/>
    <row r="122" ht="14.25" customHeight="1">
      <c r="B122" t="str">
        <v>Alternates</v>
      </c>
    </row>
    <row r="123" ht="14.25" customHeight="1">
      <c r="A123">
        <v>1</v>
      </c>
      <c r="C123" t="str">
        <v>#</v>
      </c>
    </row>
    <row r="124" ht="14.25" customHeight="1">
      <c r="A124">
        <f>A123+1</f>
        <v>2</v>
      </c>
      <c r="C124" t="str">
        <v>#</v>
      </c>
    </row>
    <row r="125" ht="14.25" customHeight="1">
      <c r="A125">
        <f>A124+1</f>
        <v>3</v>
      </c>
      <c r="C125" t="str">
        <v>#</v>
      </c>
    </row>
    <row r="126" ht="14.25" customHeight="1">
      <c r="A126">
        <f>A125+1</f>
        <v>4</v>
      </c>
      <c r="C126" t="str">
        <v>#</v>
      </c>
    </row>
    <row r="127" ht="14.25" customHeight="1">
      <c r="C127" t="str">
        <v>#</v>
      </c>
    </row>
    <row r="128" ht="14.25" customHeight="1">
      <c r="B128" t="str">
        <v>Unit Prices</v>
      </c>
    </row>
    <row r="129" ht="14.25" customHeight="1">
      <c r="A129">
        <v>1</v>
      </c>
      <c r="C129" t="str">
        <v>#</v>
      </c>
    </row>
    <row r="130" ht="14.25" customHeight="1">
      <c r="A130">
        <f>A129+1</f>
        <v>2</v>
      </c>
      <c r="C130" t="str">
        <v>#</v>
      </c>
    </row>
    <row r="131" ht="14.25" customHeight="1">
      <c r="A131">
        <f>A130+1</f>
        <v>3</v>
      </c>
      <c r="C131" t="str">
        <v>#</v>
      </c>
    </row>
    <row r="132" ht="14.25" customHeight="1">
      <c r="A132">
        <f>A131+1</f>
        <v>4</v>
      </c>
      <c r="C132" t="str">
        <v>#</v>
      </c>
    </row>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1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Biltco LLC</v>
      </c>
      <c r="N1" t="str">
        <v>Columbia Woodworking</v>
      </c>
      <c r="Q1" t="str">
        <v xml:space="preserve">Architectural Wood </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 xml:space="preserve">Andres Fernandez </v>
      </c>
      <c r="N2" t="str">
        <v>Jay Blass</v>
      </c>
      <c r="Q2" t="str">
        <v>Wade Oosterbeek</v>
      </c>
      <c r="T2" t="str">
        <v>Name</v>
      </c>
      <c r="W2" t="str">
        <v>Name</v>
      </c>
      <c r="Z2" t="str">
        <v>Name</v>
      </c>
      <c r="AC2" t="str">
        <v>Name</v>
      </c>
      <c r="AH2" t="str">
        <v>MCN</v>
      </c>
      <c r="AM2" s="8">
        <f>I9</f>
        <v>0</v>
      </c>
    </row>
    <row r="3" ht="14.25" customHeight="1" outlineLevel="1">
      <c r="I3" t="str">
        <v>Email:</v>
      </c>
      <c r="K3" t="str">
        <v>afernandez@biltco.com</v>
      </c>
      <c r="N3" t="str">
        <v>jay@cwwcorp.com</v>
      </c>
      <c r="Q3" t="str">
        <v>woosterbeek@arcwoodwv.com</v>
      </c>
      <c r="T3" t="str">
        <v>Email</v>
      </c>
      <c r="W3" t="str">
        <v>Email</v>
      </c>
      <c r="Z3" t="str">
        <v>Email</v>
      </c>
      <c r="AC3" t="str">
        <v>Email</v>
      </c>
      <c r="AH3">
        <v>1</v>
      </c>
      <c r="AI3" t="str">
        <f>IFNA(INDEX($K$1:$AE$1,1,MATCH($AH3,$K$10:$AE$10,0)),"")</f>
        <v>Biltco LLC</v>
      </c>
      <c r="AJ3" s="3">
        <f t="array" ref="AJ3">IFNA(INDEX($K$6:$AE$6,1,MATCH($AH3,$K$10:$AE$10,0)+1),"")</f>
        <v>100000</v>
      </c>
      <c r="AK3" s="3">
        <f t="array" ref="AK3">IFNA(INDEX($K$7:$AE$7,1,MATCH($AH3,$K$10:$AE$10,0)+1),"")</f>
        <v>0</v>
      </c>
      <c r="AL3" s="3">
        <f t="array" ref="AL3">IFNA(INDEX($K$8:$AE$8,1,MATCH($AH3,$K$10:$AE$10,0)+1),"")</f>
        <v>2000</v>
      </c>
      <c r="AM3" s="3">
        <f t="array" ref="AM3">IFNA(INDEX($K$9:$AE$9,1,MATCH($AH3,$K$10:$AE$10,0)+1),"")</f>
        <v>102000</v>
      </c>
      <c r="AO3" s="9">
        <f>IFERROR(AN3*AM3,0)</f>
        <v>0</v>
      </c>
    </row>
    <row r="4" ht="14.25" customHeight="1" outlineLevel="1">
      <c r="A4" t="str">
        <v>Trade:</v>
      </c>
      <c r="B4" t="str">
        <v>06 - MILLWORK</v>
      </c>
      <c r="I4" t="str">
        <v>Phone:</v>
      </c>
      <c r="K4" t="str">
        <v>567-350-2445</v>
      </c>
      <c r="N4" t="str">
        <v>202-526-2387</v>
      </c>
      <c r="Q4" t="str">
        <v>703-901-3889</v>
      </c>
      <c r="T4" t="str">
        <v>Number</v>
      </c>
      <c r="W4" t="str">
        <v>Number</v>
      </c>
      <c r="Z4" t="str">
        <v>Number</v>
      </c>
      <c r="AC4" t="str">
        <v>Number</v>
      </c>
      <c r="AH4">
        <v>2</v>
      </c>
      <c r="AI4" t="str">
        <f>IFNA(INDEX($K$1:$AE$1,1,MATCH($AH4,$K$10:$AE$10,0)),"")</f>
        <v>Columbia Woodworking</v>
      </c>
      <c r="AJ4" s="3">
        <f t="array" ref="AJ4">IFNA(INDEX($K$6:$AE$6,1,MATCH($AH4,$K$10:$AE$10,0)+1),"")</f>
        <v>108235</v>
      </c>
      <c r="AK4" s="3">
        <f t="array" ref="AK4">IFNA(INDEX($K$7:$AE$7,1,MATCH($AH4,$K$10:$AE$10,0)+1),"")</f>
        <v>0</v>
      </c>
      <c r="AL4" s="3">
        <f t="array" ref="AL4">IFNA(INDEX($K$8:$AE$8,1,MATCH($AH4,$K$10:$AE$10,0)+1),"")</f>
        <v>2164.7</v>
      </c>
      <c r="AM4" s="3">
        <f t="array" ref="AM4">IFNA(INDEX($K$9:$AE$9,1,MATCH($AH4,$K$10:$AE$10,0)+1),"")</f>
        <v>110399.7</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100000</v>
      </c>
      <c r="N6" t="str">
        <v>Base Bid:</v>
      </c>
      <c r="O6" s="4">
        <v>108235</v>
      </c>
      <c r="Q6" t="str">
        <v>Base Bid:</v>
      </c>
      <c r="R6" s="4">
        <v>80000</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Nija Thomas </v>
      </c>
      <c r="C7" t="str">
        <v>Contact:</v>
      </c>
      <c r="G7" s="8" t="str">
        <v>| MCN Budget</v>
      </c>
      <c r="I7" s="8">
        <f>SUM(I20:I89,I13:I18)</f>
        <v>0</v>
      </c>
      <c r="K7" t="str">
        <v>Adjustments:</v>
      </c>
      <c r="L7" s="4">
        <f>SUM(L13:L18,L20:L89)</f>
        <v>0</v>
      </c>
      <c r="N7" t="str">
        <v>Adjustments:</v>
      </c>
      <c r="O7" s="4">
        <f>SUM(O13:O18,O20:O89)</f>
        <v>0</v>
      </c>
      <c r="Q7" t="str">
        <v>Adjustments:</v>
      </c>
      <c r="R7" s="4">
        <f>SUM(R13:R18,R20:R89)</f>
        <v>0</v>
      </c>
      <c r="T7" t="str">
        <v>Adjustments:</v>
      </c>
      <c r="U7" s="4">
        <f>SUM(U13:U18,U20:U89)</f>
        <v>0</v>
      </c>
      <c r="W7" t="str">
        <v>Adjustments:</v>
      </c>
      <c r="X7" s="4">
        <f>SUM(X13:X18,X20:X89)</f>
        <v>0</v>
      </c>
      <c r="Z7" t="str">
        <v>Adjustments:</v>
      </c>
      <c r="AA7" s="4">
        <f>SUM(AA13:AA18,AA20:AA89)</f>
        <v>0</v>
      </c>
      <c r="AC7" t="str">
        <v>Adjustments:</v>
      </c>
      <c r="AD7" s="4">
        <f>SUM(AD13:AD18,AD20:AD89)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2000</v>
      </c>
      <c r="M8" s="10">
        <v>0.02</v>
      </c>
      <c r="N8" t="str">
        <v>Bond:</v>
      </c>
      <c r="O8" s="4">
        <f>M8*SUM(O6:O7)</f>
        <v>2164.7</v>
      </c>
      <c r="P8" s="10">
        <v>0.02</v>
      </c>
      <c r="Q8" t="str">
        <v>Bond:</v>
      </c>
      <c r="R8" s="4">
        <f>P8*SUM(R6:R7)</f>
        <v>1600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102000</v>
      </c>
      <c r="N9" t="str">
        <v>Total Bid:</v>
      </c>
      <c r="O9" s="4">
        <f>IF(O5="FULL SCOPE",SUM(O6:O8),"not level")</f>
        <v>110399.7</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Q16" t="str">
        <v xml:space="preserve">Waiting on Wade's responses to my inquiries </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J19" t="str">
        <v>Y</v>
      </c>
      <c r="L19" s="8">
        <v>100000</v>
      </c>
      <c r="M19" t="str">
        <v>Y</v>
      </c>
      <c r="O19" s="8">
        <f>O6</f>
        <v>108235</v>
      </c>
      <c r="P19" t="str">
        <v>Y</v>
      </c>
      <c r="R19" s="8">
        <f>R6</f>
        <v>80000</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 xml:space="preserve">Casework </v>
      </c>
      <c r="C22" t="str">
        <v>#</v>
      </c>
      <c r="D22" t="str">
        <v>$</v>
      </c>
      <c r="I22" s="8">
        <f>H22*F22</f>
        <v>0</v>
      </c>
    </row>
    <row r="23" ht="14.25" customHeight="1">
      <c r="A23">
        <f>A22+1</f>
        <v>5</v>
      </c>
      <c r="B23" t="str">
        <v>Millwork</v>
      </c>
      <c r="C23" t="str">
        <v>#</v>
      </c>
      <c r="D23" t="str">
        <v>$</v>
      </c>
      <c r="I23" s="8">
        <f>H23*F23</f>
        <v>0</v>
      </c>
    </row>
    <row r="24" ht="14.25" customHeight="1">
      <c r="A24">
        <v>6</v>
      </c>
      <c r="C24" t="str">
        <v>#</v>
      </c>
      <c r="D24" t="str">
        <v>$</v>
      </c>
      <c r="I24" s="8">
        <f>H24*F24</f>
        <v>0</v>
      </c>
    </row>
    <row r="25" ht="14.25" customHeight="1"/>
    <row r="26" ht="14.25" customHeight="1">
      <c r="B26" t="str">
        <v>Section 3 - Scope of Work</v>
      </c>
    </row>
    <row r="27" ht="14.25" customHeight="1">
      <c r="B27" t="str">
        <v xml:space="preserve">Furnish and Install All Items UON (Uinless Otherwise Noted) </v>
      </c>
      <c r="C27" t="str">
        <v>Y</v>
      </c>
      <c r="I27" s="8">
        <f>H27*F27</f>
        <v>0</v>
      </c>
      <c r="J27" t="str">
        <v>Y</v>
      </c>
      <c r="M27" t="str">
        <v>Y</v>
      </c>
      <c r="P27" t="str">
        <v>Y</v>
      </c>
    </row>
    <row r="28" ht="14.25" customHeight="1">
      <c r="A28" t="str">
        <v>A</v>
      </c>
      <c r="B28" t="str">
        <v>Specifications</v>
      </c>
    </row>
    <row r="29" ht="14.25" customHeight="1">
      <c r="B29" t="str">
        <v xml:space="preserve">Division 01 - General Requirements (as applicable to this Bid Package) </v>
      </c>
      <c r="C29" t="str">
        <v>Y</v>
      </c>
      <c r="I29" s="8">
        <f>H29*F29</f>
        <v>0</v>
      </c>
      <c r="J29" t="str">
        <v>Y</v>
      </c>
      <c r="M29" t="str">
        <v>Y</v>
      </c>
      <c r="P29" t="str">
        <v>Y</v>
      </c>
    </row>
    <row r="30" ht="14.25" customHeight="1">
      <c r="B30" t="str">
        <v xml:space="preserve">Division 05 - Metals (as applicable to this Bid Package) </v>
      </c>
      <c r="C30" t="str">
        <v>Y</v>
      </c>
      <c r="I30" s="8">
        <f>H30*F30</f>
        <v>0</v>
      </c>
      <c r="J30" t="str">
        <v>Y</v>
      </c>
      <c r="M30" t="str">
        <v>Y</v>
      </c>
      <c r="P30" t="str">
        <v>Y</v>
      </c>
    </row>
    <row r="31" ht="14.25" customHeight="1">
      <c r="B31" t="str">
        <v xml:space="preserve">06 41 16 - Plastic-Laminate-Clad Architectural Cabinets </v>
      </c>
      <c r="C31" t="str">
        <v>Y</v>
      </c>
      <c r="I31" s="8">
        <f>H31*F31</f>
        <v>0</v>
      </c>
      <c r="J31" t="str">
        <v>Y</v>
      </c>
      <c r="M31" t="str">
        <v>Y</v>
      </c>
      <c r="P31" t="str">
        <v>Y</v>
      </c>
    </row>
    <row r="32" ht="14.25" customHeight="1">
      <c r="B32" t="str">
        <v xml:space="preserve">06 61 16 - Solid Surfacing Fabrications </v>
      </c>
      <c r="C32" t="str">
        <v>Y</v>
      </c>
      <c r="I32" s="8">
        <f>H32*F32</f>
        <v>0</v>
      </c>
      <c r="J32" t="str">
        <v>Y</v>
      </c>
      <c r="M32" t="str">
        <v>Y</v>
      </c>
      <c r="P32" t="str">
        <v>Y</v>
      </c>
    </row>
    <row r="33" ht="14.25" customHeight="1">
      <c r="B33" t="str">
        <v>07 92 00 - Joint Sealants (as applicable to this Bid Package)</v>
      </c>
      <c r="C33" t="str">
        <v>Y</v>
      </c>
      <c r="I33" s="8">
        <f>H33*F33</f>
        <v>0</v>
      </c>
      <c r="J33" t="str">
        <v>Y</v>
      </c>
      <c r="M33" t="str">
        <v>Y</v>
      </c>
      <c r="P33" t="str">
        <v>Y</v>
      </c>
    </row>
    <row r="34" ht="14.25" customHeight="1">
      <c r="B34" t="str">
        <v xml:space="preserve">08 14 16 - Flush Wood Doors (as applicable to this Bid Package) </v>
      </c>
      <c r="C34" t="str">
        <v>Y</v>
      </c>
      <c r="I34" s="8">
        <f>H34*F34</f>
        <v>0</v>
      </c>
      <c r="J34" t="str">
        <v>Y</v>
      </c>
      <c r="M34" t="str">
        <v>Y</v>
      </c>
      <c r="P34" t="str">
        <v>Y</v>
      </c>
    </row>
    <row r="35" ht="14.25" customHeight="1">
      <c r="A35" t="str">
        <v>B</v>
      </c>
      <c r="B35" t="str">
        <v>Inclusions</v>
      </c>
    </row>
    <row r="36" ht="14.25" customHeight="1">
      <c r="A36">
        <v>1</v>
      </c>
      <c r="B36" t="str">
        <v>SPECIFIC SCOPE ITEMS</v>
      </c>
      <c r="C36" t="str">
        <v>Y</v>
      </c>
      <c r="I36" s="8">
        <f>H36*F36</f>
        <v>0</v>
      </c>
    </row>
    <row r="37" ht="14.25" customHeight="1">
      <c r="A37">
        <v>2</v>
      </c>
      <c r="B37" t="str">
        <v xml:space="preserve">Casework: </v>
      </c>
      <c r="C37" t="str">
        <v>Y</v>
      </c>
      <c r="I37" s="8">
        <f>H37*F37</f>
        <v>0</v>
      </c>
    </row>
    <row r="38" ht="14.25" customHeight="1">
      <c r="A38">
        <v>3</v>
      </c>
      <c r="B38" t="str">
        <v xml:space="preserve">Provide all casework and cabinetry indicated on Contract Documents: </v>
      </c>
      <c r="C38" t="str">
        <v>Y</v>
      </c>
      <c r="I38" s="8">
        <f>H38*F38</f>
        <v>0</v>
      </c>
      <c r="J38" t="str">
        <v>Y</v>
      </c>
    </row>
    <row r="39" ht="14.25" customHeight="1">
      <c r="A39">
        <v>4</v>
      </c>
      <c r="B39" t="str">
        <v xml:space="preserve">Solid surface countertops </v>
      </c>
      <c r="C39" t="str">
        <v>Y</v>
      </c>
      <c r="I39" s="8">
        <f>H39*F39</f>
        <v>0</v>
      </c>
      <c r="J39" t="str">
        <v>Y</v>
      </c>
    </row>
    <row r="40" ht="14.25" customHeight="1">
      <c r="A40">
        <v>5</v>
      </c>
      <c r="B40" t="str">
        <v xml:space="preserve">Quartz solid surface countertops </v>
      </c>
      <c r="C40" t="str">
        <v>Y</v>
      </c>
      <c r="I40" s="8">
        <f>H40*F40</f>
        <v>0</v>
      </c>
      <c r="J40" t="str">
        <v>ALT</v>
      </c>
      <c r="K40" t="str">
        <v>Incl in base bid</v>
      </c>
    </row>
    <row r="41" ht="14.25" customHeight="1">
      <c r="A41">
        <v>6</v>
      </c>
      <c r="B41" t="str">
        <v>Back/sidesplash where tile is not indicated</v>
      </c>
      <c r="C41" t="str">
        <v>Y</v>
      </c>
      <c r="I41" s="8">
        <f>H41*F41</f>
        <v>0</v>
      </c>
      <c r="J41" t="str">
        <v>Y</v>
      </c>
    </row>
    <row r="42" ht="14.25" customHeight="1">
      <c r="A42">
        <v>7</v>
      </c>
      <c r="B42" t="str">
        <v>Upper cabinets</v>
      </c>
      <c r="C42" t="str">
        <v>Y</v>
      </c>
      <c r="I42" s="8">
        <f>H42*F42</f>
        <v>0</v>
      </c>
      <c r="J42" t="str">
        <v>Y</v>
      </c>
    </row>
    <row r="43" ht="14.25" customHeight="1">
      <c r="A43">
        <v>8</v>
      </c>
      <c r="B43" t="str">
        <v xml:space="preserve">Lower cabinets </v>
      </c>
      <c r="C43" t="str">
        <v>Y</v>
      </c>
      <c r="I43" s="8">
        <f>H43*F43</f>
        <v>0</v>
      </c>
      <c r="J43" t="str">
        <v>Y</v>
      </c>
    </row>
    <row r="44" ht="14.25" customHeight="1">
      <c r="A44">
        <v>9</v>
      </c>
      <c r="B44" t="str">
        <v xml:space="preserve">Toe kicks </v>
      </c>
      <c r="C44" t="str">
        <v>Y</v>
      </c>
      <c r="I44" s="8">
        <f>H44*F44</f>
        <v>0</v>
      </c>
      <c r="J44" t="str">
        <v>Y</v>
      </c>
    </row>
    <row r="45" ht="14.25" customHeight="1">
      <c r="A45">
        <v>10</v>
      </c>
      <c r="I45" s="8">
        <f>H45*F45</f>
        <v>0</v>
      </c>
    </row>
    <row r="46" ht="14.25" customHeight="1">
      <c r="A46">
        <v>11</v>
      </c>
      <c r="B46" t="str">
        <v xml:space="preserve">Millwork: </v>
      </c>
      <c r="C46" t="str">
        <v>Y</v>
      </c>
      <c r="I46" s="8">
        <f>H46*F46</f>
        <v>0</v>
      </c>
    </row>
    <row r="47" ht="14.25" customHeight="1">
      <c r="A47">
        <v>12</v>
      </c>
      <c r="B47" t="str">
        <v xml:space="preserve">Provide all millwork indicated on Contract Documents: </v>
      </c>
      <c r="C47" t="str">
        <v>Y</v>
      </c>
      <c r="I47" s="8">
        <f>H47*F47</f>
        <v>0</v>
      </c>
    </row>
    <row r="48" ht="14.25" customHeight="1">
      <c r="A48">
        <v>13</v>
      </c>
      <c r="B48" t="str">
        <v xml:space="preserve">Desks </v>
      </c>
      <c r="C48" t="str">
        <v>Y</v>
      </c>
      <c r="I48" s="8">
        <f>H48*F48</f>
        <v>0</v>
      </c>
    </row>
    <row r="49" ht="14.25" customHeight="1">
      <c r="A49">
        <v>14</v>
      </c>
      <c r="B49" t="str">
        <v xml:space="preserve">Trophy case </v>
      </c>
      <c r="C49" t="str">
        <v>Y</v>
      </c>
      <c r="I49" s="8">
        <f>H49*F49</f>
        <v>0</v>
      </c>
    </row>
    <row r="50" ht="14.25" customHeight="1">
      <c r="A50">
        <v>15</v>
      </c>
      <c r="B50" t="str">
        <v xml:space="preserve">Shelving (Glass shelving) </v>
      </c>
      <c r="C50" t="str">
        <v>Y</v>
      </c>
      <c r="I50" s="8">
        <f>H50*F50</f>
        <v>0</v>
      </c>
    </row>
    <row r="51" ht="14.25" customHeight="1">
      <c r="A51">
        <v>16</v>
      </c>
    </row>
    <row r="52" ht="14.25" customHeight="1">
      <c r="A52">
        <v>17</v>
      </c>
      <c r="B52" t="str">
        <v>STANDARD / GENERAL SCOPE</v>
      </c>
      <c r="C52" t="str">
        <v>Y</v>
      </c>
      <c r="I52" s="8">
        <f>H52*F52</f>
        <v>0</v>
      </c>
    </row>
    <row r="53" ht="14.25" customHeight="1">
      <c r="A53">
        <v>18</v>
      </c>
      <c r="B53" t="str">
        <v>Include all plastic laminate, melamine, wood veneer paneling, hardwood trim, wood support framing, plywood substrates &amp; blocking related to your work</v>
      </c>
      <c r="C53" t="str">
        <v>Y</v>
      </c>
      <c r="I53" s="8">
        <f>H53*F53</f>
        <v>0</v>
      </c>
    </row>
    <row r="54" ht="14.25" customHeight="1">
      <c r="A54">
        <v>19</v>
      </c>
      <c r="B54" t="str">
        <v>Shop-applied natural finishes, colors and stains as specified</v>
      </c>
      <c r="C54" t="str">
        <v>Y</v>
      </c>
      <c r="I54" s="8">
        <f>H54*F54</f>
        <v>0</v>
      </c>
    </row>
    <row r="55" ht="14.25" customHeight="1">
      <c r="A55">
        <v>20</v>
      </c>
      <c r="B55" t="str">
        <v>Field paint at reveals in millwork as noted</v>
      </c>
      <c r="C55" t="str">
        <v>Y</v>
      </c>
      <c r="I55" s="8">
        <f>H55*F55</f>
        <v>0</v>
      </c>
    </row>
    <row r="56" ht="14.25" customHeight="1">
      <c r="A56">
        <v>21</v>
      </c>
      <c r="B56" t="str">
        <v>Include all stainless steel paneling and trim associated with your work</v>
      </c>
      <c r="C56" t="str">
        <v>Y</v>
      </c>
      <c r="I56" s="8">
        <f>H56*F56</f>
        <v>0</v>
      </c>
    </row>
    <row r="57" ht="14.25" customHeight="1">
      <c r="A57">
        <v>22</v>
      </c>
      <c r="B57" t="str">
        <v>Include miscellaneous metal support framing for desks/cabinetry</v>
      </c>
      <c r="C57" t="str">
        <v>Y</v>
      </c>
      <c r="I57" s="8">
        <f>H57*F57</f>
        <v>0</v>
      </c>
    </row>
    <row r="58" ht="14.25" customHeight="1">
      <c r="A58">
        <v>24</v>
      </c>
      <c r="B58" t="str">
        <v>Include all caulking and sealants associated with your work</v>
      </c>
      <c r="C58" t="str">
        <v>Y</v>
      </c>
      <c r="I58" s="8">
        <f>H58*F58</f>
        <v>0</v>
      </c>
    </row>
    <row r="59" ht="14.25" customHeight="1">
      <c r="A59">
        <v>25</v>
      </c>
      <c r="B59" t="str">
        <v>Provide cut-outs/grommets for plumbing/electrical req'ments as needed</v>
      </c>
      <c r="C59" t="str">
        <v>Y</v>
      </c>
      <c r="I59" s="8">
        <f>H59*F59</f>
        <v>0</v>
      </c>
    </row>
    <row r="60" ht="14.25" customHeight="1">
      <c r="A60">
        <v>26</v>
      </c>
      <c r="B60" t="str">
        <v>Include all cabinetry hardware including keyed locks, drawer pulls, sliders, grommet covers, adjustable shelving items, etc</v>
      </c>
      <c r="C60" t="str">
        <v>Y</v>
      </c>
      <c r="I60" s="8">
        <f>H60*F60</f>
        <v>0</v>
      </c>
    </row>
    <row r="61" ht="14.25" customHeight="1">
      <c r="A61">
        <v>27</v>
      </c>
      <c r="B61" t="str">
        <v>Include all anchors and fasteners for this work</v>
      </c>
      <c r="C61" t="str">
        <v>Y</v>
      </c>
      <c r="I61" s="8">
        <f>H61*F61</f>
        <v>0</v>
      </c>
    </row>
    <row r="62" ht="14.25" customHeight="1">
      <c r="A62">
        <v>28</v>
      </c>
      <c r="B62" t="str">
        <v>Obtain field measurements or modify millwork in the field to fit site conditions</v>
      </c>
      <c r="C62" t="str">
        <v>Y</v>
      </c>
      <c r="I62" s="8">
        <f>H62*F62</f>
        <v>0</v>
      </c>
    </row>
    <row r="63" ht="14.25" customHeight="1">
      <c r="A63">
        <v>29</v>
      </c>
      <c r="B63" t="str">
        <v>Layout from GC control lines and benchmarks</v>
      </c>
      <c r="C63" t="str">
        <v>Y</v>
      </c>
      <c r="I63" s="8">
        <f>H63*F63</f>
        <v>0</v>
      </c>
    </row>
    <row r="64" ht="14.25" customHeight="1">
      <c r="A64">
        <v>30</v>
      </c>
      <c r="B64" t="str">
        <v>Clean up to MCN dumpster</v>
      </c>
      <c r="C64" t="str">
        <v>Y</v>
      </c>
      <c r="I64" s="8">
        <f>H64*F64</f>
        <v>0</v>
      </c>
    </row>
    <row r="65" ht="14.25" customHeight="1">
      <c r="A65">
        <v>31</v>
      </c>
      <c r="B65" t="str">
        <v>Shop dwgs, samples, product data, certs, etc</v>
      </c>
      <c r="C65" t="str">
        <v>Y</v>
      </c>
      <c r="I65" s="8">
        <f>H65*F65</f>
        <v>0</v>
      </c>
    </row>
    <row r="66" ht="14.25" customHeight="1"/>
    <row r="67" ht="14.25" customHeight="1">
      <c r="A67" t="str">
        <v>C</v>
      </c>
      <c r="B67" t="str">
        <v>Exclusions</v>
      </c>
    </row>
    <row r="68" ht="14.25" customHeight="1">
      <c r="A68">
        <v>1</v>
      </c>
      <c r="B68" t="str">
        <v>In-wall blocking</v>
      </c>
      <c r="C68" t="str">
        <v>N</v>
      </c>
      <c r="D68" t="str">
        <v>By Drywall Subcontractor</v>
      </c>
      <c r="M68" t="str">
        <v>N</v>
      </c>
    </row>
    <row r="69" ht="14.25" customHeight="1">
      <c r="A69">
        <f>A68+1</f>
        <v>2</v>
      </c>
      <c r="B69" t="str">
        <v>Protection of finished work</v>
      </c>
      <c r="C69" t="str">
        <v>N</v>
      </c>
      <c r="D69" t="str">
        <v xml:space="preserve">By GC </v>
      </c>
      <c r="M69" t="str">
        <v>N</v>
      </c>
    </row>
    <row r="70" ht="14.25" customHeight="1">
      <c r="A70">
        <f>A69+1</f>
        <v>3</v>
      </c>
      <c r="B70" t="str">
        <v>Typical wood doors</v>
      </c>
      <c r="C70" t="str">
        <v>N</v>
      </c>
      <c r="D70" t="str">
        <v>By DFH Subcontractor</v>
      </c>
      <c r="M70" t="str">
        <v>N</v>
      </c>
    </row>
    <row r="71" ht="14.25" customHeight="1">
      <c r="A71">
        <f>A70+1</f>
        <v>4</v>
      </c>
      <c r="B71" t="str">
        <v>Field painting of paint-grade millwork items; filling of holes/caulking</v>
      </c>
      <c r="C71" t="str">
        <v>N</v>
      </c>
      <c r="D71" t="str">
        <v>By Painting Subcontractor</v>
      </c>
      <c r="M71" t="str">
        <v>N</v>
      </c>
    </row>
    <row r="72" ht="14.25" customHeight="1">
      <c r="A72" t="str">
        <v>D</v>
      </c>
      <c r="B72" t="str">
        <v>Schedule</v>
      </c>
    </row>
    <row r="73" ht="14.25" customHeight="1">
      <c r="A73">
        <v>1</v>
      </c>
      <c r="B73" t="str">
        <v>Meet MCN Schedule</v>
      </c>
      <c r="C73" t="str">
        <v>Y</v>
      </c>
    </row>
    <row r="74" ht="14.25" customHeight="1">
      <c r="A74">
        <f>A73+1</f>
        <v>2</v>
      </c>
      <c r="B74" t="str">
        <v>Advise of Durations</v>
      </c>
    </row>
    <row r="75" ht="14.25" customHeight="1">
      <c r="A75">
        <f>A74+1</f>
        <v>3</v>
      </c>
      <c r="B75" t="str">
        <v>Submittals</v>
      </c>
      <c r="C75" t="str">
        <v>---&gt;</v>
      </c>
    </row>
    <row r="76" ht="14.25" customHeight="1">
      <c r="A76">
        <f>A75+1</f>
        <v>4</v>
      </c>
      <c r="B76" t="str">
        <v xml:space="preserve">Shop Drawings </v>
      </c>
      <c r="C76" t="str">
        <v>---&gt;</v>
      </c>
    </row>
    <row r="77" ht="14.25" customHeight="1">
      <c r="A77">
        <v>5</v>
      </c>
      <c r="B77" t="str">
        <v>Duration for Submittals and Shop Drawings</v>
      </c>
      <c r="C77" t="str">
        <v>---&gt;</v>
      </c>
    </row>
    <row r="78" ht="14.25" customHeight="1">
      <c r="A78">
        <f>A77+1</f>
        <v>6</v>
      </c>
      <c r="B78" t="str">
        <v>Advise of Lead Times:</v>
      </c>
    </row>
    <row r="79" ht="14.25" customHeight="1">
      <c r="A79">
        <f>A78+1</f>
        <v>7</v>
      </c>
      <c r="B79" t="str">
        <v>Material 1</v>
      </c>
      <c r="C79" t="str">
        <v>---&gt;</v>
      </c>
    </row>
    <row r="80" ht="14.25" customHeight="1">
      <c r="A80">
        <f>A79+1</f>
        <v>8</v>
      </c>
      <c r="B80" t="str">
        <v>Material 2</v>
      </c>
      <c r="C80" t="str">
        <v>---&gt;</v>
      </c>
    </row>
    <row r="81" ht="14.25" customHeight="1">
      <c r="A81">
        <f>A80+1</f>
        <v>9</v>
      </c>
      <c r="B81" t="str">
        <v>Material 3</v>
      </c>
      <c r="C81" t="str">
        <v>---&gt;</v>
      </c>
    </row>
    <row r="82" ht="14.25" customHeight="1"/>
    <row r="83" ht="14.25" customHeight="1"/>
    <row r="84" ht="14.25" customHeight="1">
      <c r="B84" t="str">
        <v>Allowances</v>
      </c>
    </row>
    <row r="85" ht="14.25" customHeight="1">
      <c r="A85">
        <v>1</v>
      </c>
      <c r="B85" t="str">
        <v xml:space="preserve">Add Alternate #1 - Solid Surfaces (QZ-01) </v>
      </c>
    </row>
    <row r="86" ht="14.25" customHeight="1">
      <c r="A86">
        <f>A85+1</f>
        <v>2</v>
      </c>
    </row>
    <row r="87" ht="14.25" customHeight="1">
      <c r="A87">
        <f>A86+1</f>
        <v>3</v>
      </c>
    </row>
    <row r="88" ht="14.25" customHeight="1">
      <c r="A88">
        <f>A87+1</f>
        <v>4</v>
      </c>
    </row>
    <row r="89" ht="14.25" customHeight="1"/>
    <row r="90" ht="14.25" customHeight="1"/>
    <row r="91" ht="14.25" customHeight="1">
      <c r="B91" t="str">
        <v>Alternates</v>
      </c>
    </row>
    <row r="92" ht="14.25" customHeight="1">
      <c r="A92">
        <v>1</v>
      </c>
      <c r="C92" t="str">
        <v>#</v>
      </c>
    </row>
    <row r="93" ht="14.25" customHeight="1">
      <c r="A93">
        <f>A92+1</f>
        <v>2</v>
      </c>
      <c r="C93" t="str">
        <v>#</v>
      </c>
    </row>
    <row r="94" ht="14.25" customHeight="1">
      <c r="A94">
        <f>A93+1</f>
        <v>3</v>
      </c>
      <c r="C94" t="str">
        <v>#</v>
      </c>
    </row>
    <row r="95" ht="14.25" customHeight="1">
      <c r="A95">
        <f>A94+1</f>
        <v>4</v>
      </c>
      <c r="C95" t="str">
        <v>#</v>
      </c>
    </row>
    <row r="96" ht="14.25" customHeight="1">
      <c r="C96" t="str">
        <v>#</v>
      </c>
    </row>
    <row r="97" ht="14.25" customHeight="1">
      <c r="B97" t="str">
        <v>Unit Prices</v>
      </c>
    </row>
    <row r="98" ht="14.25" customHeight="1">
      <c r="A98">
        <v>1</v>
      </c>
      <c r="C98" t="str">
        <v>#</v>
      </c>
    </row>
    <row r="99" ht="14.25" customHeight="1">
      <c r="A99">
        <f>A98+1</f>
        <v>2</v>
      </c>
      <c r="C99" t="str">
        <v>#</v>
      </c>
    </row>
    <row r="100" ht="14.25" customHeight="1">
      <c r="A100">
        <f>A99+1</f>
        <v>3</v>
      </c>
      <c r="C100" t="str">
        <v>#</v>
      </c>
    </row>
    <row r="101" ht="14.25" customHeight="1">
      <c r="A101">
        <f>A100+1</f>
        <v>4</v>
      </c>
      <c r="C101" t="str">
        <v>#</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1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Davenport TruTeam</v>
      </c>
      <c r="N1" t="str">
        <v>HRGM</v>
      </c>
      <c r="Q1" t="str">
        <v>LP</v>
      </c>
      <c r="T1" t="str">
        <v>Forsythe</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Will Rego</v>
      </c>
      <c r="N2" t="str">
        <v>John Maviglia</v>
      </c>
      <c r="Q2" t="str">
        <v>Dan Morin</v>
      </c>
      <c r="T2" t="str">
        <v>Zach Travers</v>
      </c>
      <c r="W2" t="str">
        <v>Name</v>
      </c>
      <c r="Z2" t="str">
        <v>Name</v>
      </c>
      <c r="AC2" t="str">
        <v>Name</v>
      </c>
      <c r="AH2" t="str">
        <v>MCN</v>
      </c>
      <c r="AM2" s="8">
        <f>I9</f>
        <v>0</v>
      </c>
    </row>
    <row r="3" ht="14.25" customHeight="1" outlineLevel="1">
      <c r="I3" t="str">
        <v>Email:</v>
      </c>
      <c r="K3" t="str">
        <v>william.rego@truteam.com</v>
      </c>
      <c r="N3" t="str">
        <v>john@hrgm.com</v>
      </c>
      <c r="Q3" t="str">
        <v>dan@lproofingllc.com</v>
      </c>
      <c r="T3" t="str">
        <v>zach@forsytheinc.net</v>
      </c>
      <c r="W3" t="str">
        <v>Email</v>
      </c>
      <c r="Z3" t="str">
        <v>Email</v>
      </c>
      <c r="AC3" t="str">
        <v>Email</v>
      </c>
      <c r="AH3">
        <v>1</v>
      </c>
      <c r="AI3" t="str">
        <f>IFNA(INDEX($K$1:$AE$1,1,MATCH($AH3,$K$10:$AE$10,0)),"")</f>
        <v>Davenport TruTeam</v>
      </c>
      <c r="AJ3" s="3" t="str">
        <f t="array" ref="AJ3">IFNA(INDEX($K$6:$AE$6,1,MATCH($AH3,$K$10:$AE$10,0)+1),"")</f>
        <v/>
      </c>
      <c r="AK3" s="3">
        <f t="array" ref="AK3">IFNA(INDEX($K$7:$AE$7,1,MATCH($AH3,$K$10:$AE$10,0)+1),"")</f>
        <v>260752.3</v>
      </c>
      <c r="AL3" s="3">
        <f t="array" ref="AL3">IFNA(INDEX($K$8:$AE$8,1,MATCH($AH3,$K$10:$AE$10,0)+1),"")</f>
        <v>5215.046</v>
      </c>
      <c r="AM3" s="3">
        <f t="array" ref="AM3">IFNA(INDEX($K$9:$AE$9,1,MATCH($AH3,$K$10:$AE$10,0)+1),"")</f>
        <v>265967.346</v>
      </c>
      <c r="AO3" s="9">
        <f>IFERROR(AN3*AM3,0)</f>
        <v>0</v>
      </c>
    </row>
    <row r="4" ht="14.25" customHeight="1" outlineLevel="1">
      <c r="A4" t="str">
        <v>Trade:</v>
      </c>
      <c r="B4" t="str">
        <v>07 - WP &amp; AB</v>
      </c>
      <c r="I4" t="str">
        <v>Phone:</v>
      </c>
      <c r="K4" t="str">
        <v>240-749-4668</v>
      </c>
      <c r="N4" t="str">
        <v>202-889-8400</v>
      </c>
      <c r="Q4" t="str">
        <v>778-208-1125</v>
      </c>
      <c r="T4" t="str">
        <v>301-848-7325</v>
      </c>
      <c r="W4" t="str">
        <v>Number</v>
      </c>
      <c r="Z4" t="str">
        <v>Number</v>
      </c>
      <c r="AC4" t="str">
        <v>Number</v>
      </c>
      <c r="AH4">
        <v>2</v>
      </c>
      <c r="AI4" t="str">
        <f>IFNA(INDEX($K$1:$AE$1,1,MATCH($AH4,$K$10:$AE$10,0)),"")</f>
        <v>HRGM</v>
      </c>
      <c r="AJ4" s="3" t="str">
        <f t="array" ref="AJ4">IFNA(INDEX($K$6:$AE$6,1,MATCH($AH4,$K$10:$AE$10,0)+1),"")</f>
        <v/>
      </c>
      <c r="AK4" s="3">
        <f t="array" ref="AK4">IFNA(INDEX($K$7:$AE$7,1,MATCH($AH4,$K$10:$AE$10,0)+1),"")</f>
        <v>336739.3</v>
      </c>
      <c r="AL4" s="3">
        <f t="array" ref="AL4">IFNA(INDEX($K$8:$AE$8,1,MATCH($AH4,$K$10:$AE$10,0)+1),"")</f>
        <v>6734.786</v>
      </c>
      <c r="AM4" s="3">
        <f t="array" ref="AM4">IFNA(INDEX($K$9:$AE$9,1,MATCH($AH4,$K$10:$AE$10,0)+1),"")</f>
        <v>343474.086</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FULL SCOPE</v>
      </c>
      <c r="W5" t="str">
        <v>Level Scope?</v>
      </c>
      <c r="X5" s="4" t="str">
        <v>NO</v>
      </c>
      <c r="Z5" t="str">
        <v>Level Scope?</v>
      </c>
      <c r="AA5" s="4" t="str">
        <v>NO</v>
      </c>
      <c r="AC5" t="str">
        <v>Level Scope?</v>
      </c>
      <c r="AD5" s="4" t="str">
        <v>NO</v>
      </c>
      <c r="AH5">
        <v>3</v>
      </c>
      <c r="AI5" t="str">
        <f>IFNA(INDEX($K$1:$AE$1,1,MATCH($AH5,$K$10:$AE$10,0)),"")</f>
        <v>Forsythe</v>
      </c>
      <c r="AJ5" s="3" t="str">
        <f t="array" ref="AJ5">IFNA(INDEX($K$6:$AE$6,1,MATCH($AH5,$K$10:$AE$10,0)+1),"")</f>
        <v/>
      </c>
      <c r="AK5" s="3">
        <f t="array" ref="AK5">IFNA(INDEX($K$7:$AE$7,1,MATCH($AH5,$K$10:$AE$10,0)+1),"")</f>
        <v>346544</v>
      </c>
      <c r="AL5" s="3">
        <f t="array" ref="AL5">IFNA(INDEX($K$8:$AE$8,1,MATCH($AH5,$K$10:$AE$10,0)+1),"")</f>
        <v>6930.88</v>
      </c>
      <c r="AM5" s="3">
        <f t="array" ref="AM5">IFNA(INDEX($K$9:$AE$9,1,MATCH($AH5,$K$10:$AE$10,0)+1),"")</f>
        <v>353474.88</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LP</v>
      </c>
      <c r="AJ6" s="3" t="str">
        <f t="array" ref="AJ6">IFNA(INDEX($K$6:$AE$6,1,MATCH($AH6,$K$10:$AE$10,0)+1),"")</f>
        <v/>
      </c>
      <c r="AK6" s="3">
        <f t="array" ref="AK6">IFNA(INDEX($K$7:$AE$7,1,MATCH($AH6,$K$10:$AE$10,0)+1),"")</f>
        <v>405398.1</v>
      </c>
      <c r="AL6" s="3">
        <f t="array" ref="AL6">IFNA(INDEX($K$8:$AE$8,1,MATCH($AH6,$K$10:$AE$10,0)+1),"")</f>
        <v>8107.962</v>
      </c>
      <c r="AM6" s="3">
        <f t="array" ref="AM6">IFNA(INDEX($K$9:$AE$9,1,MATCH($AH6,$K$10:$AE$10,0)+1),"")</f>
        <v>413506.062</v>
      </c>
      <c r="AO6" s="9">
        <f>IFERROR(AN6*AM6,0)</f>
        <v>0</v>
      </c>
    </row>
    <row r="7" ht="14.25" customHeight="1" outlineLevel="1">
      <c r="A7" t="str">
        <v>Contact:</v>
      </c>
      <c r="B7" t="str">
        <v>MCN Estimator Name</v>
      </c>
      <c r="C7" t="str">
        <v>Contact:</v>
      </c>
      <c r="G7" s="8" t="str">
        <v>| MCN Budget</v>
      </c>
      <c r="I7" s="8">
        <f>SUM(I20:I202,I13:I18)</f>
        <v>0</v>
      </c>
      <c r="K7" t="str">
        <v>Adjustments:</v>
      </c>
      <c r="L7" s="4">
        <f>SUM(L13:L18,L20:L202)</f>
        <v>260752.3</v>
      </c>
      <c r="N7" t="str">
        <v>Adjustments:</v>
      </c>
      <c r="O7" s="4">
        <f>SUM(O13:O18,O20:O202)</f>
        <v>336739.3</v>
      </c>
      <c r="Q7" t="str">
        <v>Adjustments:</v>
      </c>
      <c r="R7" s="4">
        <f>SUM(R13:R18,R20:R202)</f>
        <v>405398.1</v>
      </c>
      <c r="T7" t="str">
        <v>Adjustments:</v>
      </c>
      <c r="U7" s="4">
        <f>SUM(U13:U18,U20:U202)</f>
        <v>346544</v>
      </c>
      <c r="W7" t="str">
        <v>Adjustments:</v>
      </c>
      <c r="X7" s="4">
        <f>SUM(X13:X18,X20:X202)</f>
        <v>0</v>
      </c>
      <c r="Z7" t="str">
        <v>Adjustments:</v>
      </c>
      <c r="AA7" s="4">
        <f>SUM(AA13:AA18,AA20:AA202)</f>
        <v>0</v>
      </c>
      <c r="AC7" t="str">
        <v>Adjustments:</v>
      </c>
      <c r="AD7" s="4">
        <f>SUM(AD13:AD18,AD20:AD202)</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5215.046</v>
      </c>
      <c r="M8" s="10">
        <v>0.02</v>
      </c>
      <c r="N8" t="str">
        <v>Bond:</v>
      </c>
      <c r="O8" s="4">
        <f>M8*SUM(O6:O7)</f>
        <v>6734.786</v>
      </c>
      <c r="P8" s="10">
        <v>0.02</v>
      </c>
      <c r="Q8" t="str">
        <v>Bond:</v>
      </c>
      <c r="R8" s="4">
        <f>P8*SUM(R6:R7)</f>
        <v>8107.962</v>
      </c>
      <c r="S8" s="10">
        <v>0.02</v>
      </c>
      <c r="T8" t="str">
        <v>Bond:</v>
      </c>
      <c r="U8" s="4">
        <f>S8*SUM(U6:U7)</f>
        <v>6930.88</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f>IF(L5="FULL SCOPE",SUM(L6:L8),"not level")</f>
        <v>265967.346</v>
      </c>
      <c r="N9" t="str">
        <v>Total Bid:</v>
      </c>
      <c r="O9" s="4">
        <f>IF(O5="FULL SCOPE",SUM(O6:O8),"not level")</f>
        <v>343474.086</v>
      </c>
      <c r="Q9" t="str">
        <v>Total Bid:</v>
      </c>
      <c r="R9" s="4">
        <f>IF(R5="FULL SCOPE",SUM(R6:R8),"not level")</f>
        <v>413506.062</v>
      </c>
      <c r="T9" t="str">
        <v>Total Bid:</v>
      </c>
      <c r="U9" s="4">
        <f>IF(U5="FULL SCOPE",SUM(U6:U8),"not level")</f>
        <v>353474.88</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f>IF(R5="NO","INCOMPLETE",RANK.EQ(R9,$L$9:$AE$9,1))</f>
        <v>4</v>
      </c>
      <c r="T10">
        <f>IF(U5="NO","INCOMPLETE",RANK.EQ(U9,$L$9:$AE$9,1))</f>
        <v>3</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Waterproofing</v>
      </c>
      <c r="C22" t="str">
        <v>#</v>
      </c>
      <c r="D22" t="str">
        <v>$</v>
      </c>
      <c r="I22" s="8">
        <f>H22*F22</f>
        <v>0</v>
      </c>
      <c r="L22" s="8">
        <v>33730</v>
      </c>
      <c r="O22" s="8">
        <v>47449</v>
      </c>
      <c r="R22" s="8">
        <v>95900</v>
      </c>
      <c r="U22" s="8">
        <v>54986</v>
      </c>
    </row>
    <row r="23" ht="14.25" customHeight="1">
      <c r="A23">
        <f>A22+1</f>
        <v>5</v>
      </c>
      <c r="B23" t="str">
        <v>Elevator interior and exterior</v>
      </c>
      <c r="C23" t="str">
        <v>#</v>
      </c>
      <c r="D23" t="str">
        <v>$</v>
      </c>
      <c r="I23" s="8">
        <f>H23*F23</f>
        <v>0</v>
      </c>
    </row>
    <row r="24" ht="14.25" customHeight="1">
      <c r="A24">
        <f>A23+1</f>
        <v>6</v>
      </c>
      <c r="B24" t="str">
        <v>Air Barriers</v>
      </c>
      <c r="C24" t="str">
        <v>#</v>
      </c>
      <c r="D24" t="str">
        <v>$</v>
      </c>
      <c r="I24" s="8">
        <f>H24*F24</f>
        <v>0</v>
      </c>
      <c r="L24" s="8">
        <v>139810</v>
      </c>
      <c r="O24" s="8">
        <v>202078</v>
      </c>
      <c r="P24" t="str">
        <v>P</v>
      </c>
      <c r="R24" s="8">
        <f>202078*1.1</f>
        <v>222285.8</v>
      </c>
      <c r="U24" s="8">
        <v>185306</v>
      </c>
    </row>
    <row r="25" ht="14.25" customHeight="1">
      <c r="A25">
        <f>A24+1</f>
        <v>7</v>
      </c>
      <c r="B25" t="str">
        <v>Joint Sealants</v>
      </c>
      <c r="C25" t="str">
        <v>#</v>
      </c>
      <c r="D25" t="str">
        <v>$</v>
      </c>
      <c r="I25" s="8">
        <f>H25*F25</f>
        <v>0</v>
      </c>
      <c r="J25" t="str">
        <v>P</v>
      </c>
      <c r="L25" s="8">
        <f>U25*1.1</f>
        <v>77212.3</v>
      </c>
      <c r="M25" t="str">
        <v>P</v>
      </c>
      <c r="O25" s="8">
        <f>U25*1.1</f>
        <v>77212.3</v>
      </c>
      <c r="P25" t="str">
        <v>P</v>
      </c>
      <c r="R25" s="8">
        <f>U25*1.1</f>
        <v>77212.3</v>
      </c>
      <c r="U25" s="8">
        <v>70193</v>
      </c>
    </row>
    <row r="26" ht="14.25" customHeight="1">
      <c r="A26">
        <f>A25+1</f>
        <v>8</v>
      </c>
      <c r="I26" s="8">
        <f>H26*F26</f>
        <v>0</v>
      </c>
    </row>
    <row r="27" ht="14.25" customHeight="1">
      <c r="A27">
        <f>A26+1</f>
        <v>9</v>
      </c>
      <c r="B27" t="str">
        <v>Key Quantity Breakdown</v>
      </c>
      <c r="I27" s="8">
        <f>H27*F27</f>
        <v>0</v>
      </c>
    </row>
    <row r="28" ht="14.25" customHeight="1">
      <c r="A28">
        <f>A27+1</f>
        <v>10</v>
      </c>
      <c r="C28" t="str">
        <v>#</v>
      </c>
      <c r="D28" t="str">
        <v>CY</v>
      </c>
      <c r="I28" s="8">
        <f>H28*F28</f>
        <v>0</v>
      </c>
    </row>
    <row r="29" ht="14.25" customHeight="1">
      <c r="A29">
        <f>A28+1</f>
        <v>11</v>
      </c>
      <c r="C29" t="str">
        <v>#</v>
      </c>
      <c r="D29" t="str">
        <v>SF</v>
      </c>
      <c r="I29" s="8">
        <f>H29*F29</f>
        <v>0</v>
      </c>
    </row>
    <row r="30" ht="14.25" customHeight="1">
      <c r="A30">
        <f>A29+1</f>
        <v>12</v>
      </c>
      <c r="C30" t="str">
        <v>#</v>
      </c>
      <c r="D30" t="str">
        <v>LF</v>
      </c>
      <c r="I30" s="8">
        <f>H30*F30</f>
        <v>0</v>
      </c>
    </row>
    <row r="31" ht="14.25" customHeight="1">
      <c r="A31">
        <f>A30+1</f>
        <v>13</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c r="J36" t="str">
        <v>Y</v>
      </c>
      <c r="S36" t="str">
        <v>Y</v>
      </c>
    </row>
    <row r="37" ht="14.25" customHeight="1">
      <c r="B37" t="str">
        <v>071326 - Self-Adhering Sheet Waterproofing</v>
      </c>
      <c r="C37" t="str">
        <v>Y</v>
      </c>
      <c r="J37" t="str">
        <v>Y</v>
      </c>
      <c r="S37" t="str">
        <v>Y</v>
      </c>
    </row>
    <row r="38" ht="14.25" customHeight="1">
      <c r="B38" t="str">
        <v>071413 - Hot Fluid-Applied Rubberized Asphalt Waterproofing</v>
      </c>
      <c r="C38" t="str">
        <v>Y</v>
      </c>
      <c r="J38" t="str">
        <v>Y</v>
      </c>
      <c r="S38" t="str">
        <v>Y</v>
      </c>
    </row>
    <row r="39" ht="14.25" customHeight="1">
      <c r="B39" t="str">
        <v>071616 - Crystalline Waterproofing</v>
      </c>
      <c r="C39" t="str">
        <v>Y</v>
      </c>
      <c r="J39" t="str">
        <v>Y</v>
      </c>
      <c r="S39" t="str">
        <v>Y</v>
      </c>
    </row>
    <row r="40" ht="14.25" customHeight="1">
      <c r="B40" t="str">
        <v>071800 - Traffic Coatings</v>
      </c>
      <c r="C40" t="str">
        <v>Y</v>
      </c>
      <c r="J40" t="str">
        <v>Y</v>
      </c>
      <c r="S40" t="str">
        <v>Y</v>
      </c>
    </row>
    <row r="41" ht="14.25" customHeight="1">
      <c r="B41" t="str">
        <v>072100 - Thermal Insulation</v>
      </c>
      <c r="C41" t="str">
        <v>Y</v>
      </c>
      <c r="J41" t="str">
        <v>Y</v>
      </c>
      <c r="S41" t="str">
        <v>Y</v>
      </c>
    </row>
    <row r="42" ht="14.25" customHeight="1">
      <c r="B42" t="str">
        <v>072600 - Vapor Retarders</v>
      </c>
      <c r="C42" t="str">
        <v>Y</v>
      </c>
      <c r="J42" t="str">
        <v>Y</v>
      </c>
      <c r="S42" t="str">
        <v>Y</v>
      </c>
    </row>
    <row r="43" ht="14.25" customHeight="1">
      <c r="B43" t="str">
        <v>072726 - Fluid-Applied Membrane Air Barriers</v>
      </c>
      <c r="C43" t="str">
        <v>Y</v>
      </c>
      <c r="J43" t="str">
        <v>Y</v>
      </c>
      <c r="S43" t="str">
        <v>Y</v>
      </c>
    </row>
    <row r="44" ht="14.25" customHeight="1">
      <c r="B44" t="str">
        <v>078413 - Penetration Firestopping</v>
      </c>
      <c r="C44" t="str">
        <v>Y</v>
      </c>
      <c r="J44" t="str">
        <v>Y</v>
      </c>
      <c r="S44" t="str">
        <v>Y</v>
      </c>
    </row>
    <row r="45" ht="14.25" customHeight="1">
      <c r="B45" t="str">
        <v>078443 - Joint Firestopping</v>
      </c>
      <c r="C45" t="str">
        <v>Y</v>
      </c>
      <c r="J45" t="str">
        <v>Y</v>
      </c>
      <c r="S45" t="str">
        <v>Y</v>
      </c>
    </row>
    <row r="46" ht="14.25" customHeight="1">
      <c r="B46" t="str">
        <v>079200 - Joint Sealants</v>
      </c>
      <c r="C46" t="str">
        <v>Y</v>
      </c>
      <c r="J46" t="str">
        <v>Y</v>
      </c>
      <c r="S46" t="str">
        <v>Y</v>
      </c>
    </row>
    <row r="47" ht="14.25" customHeight="1">
      <c r="A47" t="str">
        <v>B</v>
      </c>
      <c r="B47" t="str">
        <v>Inclusions</v>
      </c>
    </row>
    <row r="48" ht="14.25" customHeight="1">
      <c r="A48">
        <v>1</v>
      </c>
      <c r="B48" t="str">
        <v>Self-Adhering Sheet Waterproofing</v>
      </c>
      <c r="C48" t="str">
        <v>Y</v>
      </c>
      <c r="I48" s="8">
        <f>H48*F48</f>
        <v>0</v>
      </c>
      <c r="J48" t="str">
        <v>Y</v>
      </c>
      <c r="S48" t="str">
        <v>Y</v>
      </c>
    </row>
    <row r="49" ht="14.25" customHeight="1">
      <c r="A49">
        <v>2</v>
      </c>
      <c r="B49" t="str">
        <v>Modified bituminous sheet waterproofing B.O.D.:</v>
      </c>
      <c r="C49" t="str">
        <v>Y</v>
      </c>
      <c r="I49" s="8">
        <f>H49*F49</f>
        <v>0</v>
      </c>
      <c r="J49" t="str">
        <v>Y</v>
      </c>
      <c r="S49" t="str">
        <v>Y</v>
      </c>
    </row>
    <row r="50" ht="14.25" customHeight="1">
      <c r="A50">
        <v>3</v>
      </c>
      <c r="B50" t="str">
        <v>Carlisle Coatings &amp; Waterproofing Inc; CCW MiraDRI 860/861 or comparable product per specifications</v>
      </c>
      <c r="C50" t="str">
        <v>Y</v>
      </c>
      <c r="I50" s="8">
        <f>H50*F50</f>
        <v>0</v>
      </c>
      <c r="J50" t="str">
        <v>Y</v>
      </c>
      <c r="S50" t="str">
        <v>Y</v>
      </c>
    </row>
    <row r="51" ht="14.25" customHeight="1">
      <c r="A51">
        <v>4</v>
      </c>
      <c r="B51" t="str">
        <v>Self-adhering rubberized-asphalt strips per specifications</v>
      </c>
      <c r="C51" t="str">
        <v>Y</v>
      </c>
      <c r="I51" s="8">
        <f>H51*F51</f>
        <v>0</v>
      </c>
      <c r="J51" t="str">
        <v>Y</v>
      </c>
      <c r="S51" t="str">
        <v>Y</v>
      </c>
    </row>
    <row r="52" ht="14.25" customHeight="1">
      <c r="A52">
        <v>5</v>
      </c>
      <c r="B52" t="str">
        <v>Include all materials and accessories to include, but not limited to;</v>
      </c>
      <c r="C52" t="str">
        <v>Y</v>
      </c>
      <c r="I52" s="8">
        <f>H52*F52</f>
        <v>0</v>
      </c>
      <c r="J52" t="str">
        <v>Y</v>
      </c>
      <c r="S52" t="str">
        <v>Y</v>
      </c>
    </row>
    <row r="53" ht="14.25" customHeight="1">
      <c r="A53">
        <v>6</v>
      </c>
      <c r="B53" t="str">
        <v>Primer</v>
      </c>
      <c r="C53" t="str">
        <v>Y</v>
      </c>
      <c r="I53" s="8">
        <f>H53*F53</f>
        <v>0</v>
      </c>
      <c r="J53" t="str">
        <v>Y</v>
      </c>
      <c r="S53" t="str">
        <v>Y</v>
      </c>
    </row>
    <row r="54" ht="14.25" customHeight="1">
      <c r="A54">
        <v>7</v>
      </c>
      <c r="B54" t="str">
        <v>Surface conditioner</v>
      </c>
      <c r="C54" t="str">
        <v>Y</v>
      </c>
      <c r="I54" s="8">
        <f>H54*F54</f>
        <v>0</v>
      </c>
      <c r="J54" t="str">
        <v>Y</v>
      </c>
      <c r="S54" t="str">
        <v>Y</v>
      </c>
    </row>
    <row r="55" ht="14.25" customHeight="1">
      <c r="A55">
        <v>8</v>
      </c>
      <c r="B55" t="str">
        <v>Liquid membranes</v>
      </c>
      <c r="C55" t="str">
        <v>Y</v>
      </c>
      <c r="I55" s="8">
        <f>H55*F55</f>
        <v>0</v>
      </c>
      <c r="J55" t="str">
        <v>Y</v>
      </c>
      <c r="S55" t="str">
        <v>Y</v>
      </c>
    </row>
    <row r="56" ht="14.25" customHeight="1">
      <c r="A56">
        <v>9</v>
      </c>
      <c r="B56" t="str">
        <v>Substrate patching membrane</v>
      </c>
      <c r="C56" t="str">
        <v>Y</v>
      </c>
      <c r="I56" s="8">
        <f>H56*F56</f>
        <v>0</v>
      </c>
      <c r="J56" t="str">
        <v>Y</v>
      </c>
      <c r="S56" t="str">
        <v>Y</v>
      </c>
    </row>
    <row r="57" ht="14.25" customHeight="1">
      <c r="A57">
        <v>10</v>
      </c>
      <c r="B57" t="str">
        <v>Metal termingation bars</v>
      </c>
      <c r="C57" t="str">
        <v>Y</v>
      </c>
      <c r="I57" s="8">
        <f>H57*F57</f>
        <v>0</v>
      </c>
      <c r="J57" t="str">
        <v>Y</v>
      </c>
      <c r="S57" t="str">
        <v>Y</v>
      </c>
    </row>
    <row r="58" ht="14.25" customHeight="1">
      <c r="A58">
        <v>11</v>
      </c>
      <c r="B58" t="str">
        <v>Nonwoven-geotextile faced molded-sheet drainage panels with polymeric film B.O.D.:</v>
      </c>
      <c r="C58" t="str">
        <v>Y</v>
      </c>
      <c r="I58" s="8">
        <f>H58*F58</f>
        <v>0</v>
      </c>
      <c r="J58" t="str">
        <v>Y</v>
      </c>
      <c r="S58" t="str">
        <v>Y</v>
      </c>
    </row>
    <row r="59" ht="14.25" customHeight="1">
      <c r="A59">
        <v>12</v>
      </c>
      <c r="B59" t="str">
        <v>Carlisle Coatings &amp; Waterproofing Inc; CCW MiraDRAIN 6000 or camparable product per specifications</v>
      </c>
      <c r="C59" t="str">
        <v>Y</v>
      </c>
      <c r="I59" s="8">
        <f>H59*F59</f>
        <v>0</v>
      </c>
      <c r="J59" t="str">
        <v>Y</v>
      </c>
      <c r="S59" t="str">
        <v>Y</v>
      </c>
    </row>
    <row r="60" ht="14.25" customHeight="1">
      <c r="A60">
        <v>13</v>
      </c>
      <c r="B60" t="str">
        <v>Insulation drainage panels to comply with Section 072100 "Thermal Insulation"</v>
      </c>
      <c r="C60" t="str">
        <v>Y</v>
      </c>
      <c r="I60" s="8">
        <f>H60*F60</f>
        <v>0</v>
      </c>
      <c r="J60" t="str">
        <v>Y</v>
      </c>
      <c r="S60" t="str">
        <v>Y</v>
      </c>
    </row>
    <row r="61" ht="14.25" customHeight="1">
      <c r="A61">
        <v>14</v>
      </c>
      <c r="B61" t="str">
        <v>Waterproofing warranty per specifications for a period of five years from date of Substantial Completion</v>
      </c>
      <c r="C61" t="str">
        <v>Y</v>
      </c>
      <c r="I61" s="8">
        <f>H61*F61</f>
        <v>0</v>
      </c>
      <c r="J61" t="str">
        <v>Y</v>
      </c>
      <c r="S61" t="str">
        <v>Y</v>
      </c>
    </row>
    <row r="62" ht="14.25" customHeight="1">
      <c r="A62">
        <v>15</v>
      </c>
      <c r="B62" t="str">
        <v>Installer's special warranty per specification for a warranty period of two years</v>
      </c>
      <c r="C62" t="str">
        <v>Y</v>
      </c>
      <c r="I62" s="8">
        <f>H62*F62</f>
        <v>0</v>
      </c>
      <c r="J62" t="str">
        <v>Y</v>
      </c>
      <c r="S62" t="str">
        <v>Y</v>
      </c>
    </row>
    <row r="63" ht="14.25" customHeight="1">
      <c r="A63">
        <v>16</v>
      </c>
      <c r="B63" t="str">
        <v>Obtain waterproofing materials, protection course, and molded-sheet drainage panels from single source from single manufacturer</v>
      </c>
      <c r="C63" t="str">
        <v>Y</v>
      </c>
      <c r="I63" s="8">
        <f>H63*F63</f>
        <v>0</v>
      </c>
      <c r="J63" t="str">
        <v>Y</v>
      </c>
      <c r="S63" t="str">
        <v>Y</v>
      </c>
    </row>
    <row r="64" ht="14.25" customHeight="1">
      <c r="A64">
        <v>17</v>
      </c>
    </row>
    <row r="65" ht="14.25" customHeight="1">
      <c r="A65">
        <v>18</v>
      </c>
      <c r="B65" t="str">
        <v>Crystalline Waterproofing</v>
      </c>
      <c r="C65" t="str">
        <v>Y</v>
      </c>
      <c r="I65" s="8">
        <f>H65*F65</f>
        <v>0</v>
      </c>
      <c r="J65" t="str">
        <v>Y</v>
      </c>
      <c r="S65" t="str">
        <v>Y</v>
      </c>
    </row>
    <row r="66" ht="14.25" customHeight="1">
      <c r="A66">
        <v>19</v>
      </c>
      <c r="B66" t="str">
        <v>Crystalline waterproofing B.O.D.:</v>
      </c>
      <c r="C66" t="str">
        <v>Y</v>
      </c>
      <c r="I66" s="8">
        <f>H66*F66</f>
        <v>0</v>
      </c>
      <c r="J66" t="str">
        <v>Y</v>
      </c>
      <c r="S66" t="str">
        <v>Y</v>
      </c>
    </row>
    <row r="67" ht="14.25" customHeight="1">
      <c r="A67">
        <v>20</v>
      </c>
      <c r="B67" t="str">
        <v>KOSTER American Corporation; NB 1 Grey or comparable product per specifications</v>
      </c>
      <c r="C67" t="str">
        <v>Y</v>
      </c>
      <c r="I67" s="8">
        <f>H67*F67</f>
        <v>0</v>
      </c>
      <c r="J67" t="str">
        <v>Y</v>
      </c>
      <c r="S67" t="str">
        <v>Y</v>
      </c>
    </row>
    <row r="68" ht="14.25" customHeight="1">
      <c r="A68">
        <v>21</v>
      </c>
      <c r="B68" t="str">
        <v>Include all meterials and accessories to include, but not limited to;</v>
      </c>
      <c r="C68" t="str">
        <v>Y</v>
      </c>
      <c r="I68" s="8">
        <f>H68*F68</f>
        <v>0</v>
      </c>
      <c r="J68" t="str">
        <v>Y</v>
      </c>
      <c r="S68" t="str">
        <v>Y</v>
      </c>
    </row>
    <row r="69" ht="14.25" customHeight="1">
      <c r="A69">
        <v>22</v>
      </c>
      <c r="B69" t="str">
        <v>Patching compoung per specifications</v>
      </c>
      <c r="C69" t="str">
        <v>Y</v>
      </c>
      <c r="I69" s="8">
        <f>H69*F69</f>
        <v>0</v>
      </c>
      <c r="J69" t="str">
        <v>Y</v>
      </c>
      <c r="S69" t="str">
        <v>Y</v>
      </c>
    </row>
    <row r="70" ht="14.25" customHeight="1">
      <c r="A70">
        <v>23</v>
      </c>
      <c r="B70" t="str">
        <v>Potable water</v>
      </c>
      <c r="C70" t="str">
        <v>Y</v>
      </c>
      <c r="I70" s="8">
        <f>H70*F70</f>
        <v>0</v>
      </c>
      <c r="J70" t="str">
        <v>Y</v>
      </c>
      <c r="S70" t="str">
        <v>Y</v>
      </c>
    </row>
    <row r="71" ht="14.25" customHeight="1">
      <c r="A71">
        <v>24</v>
      </c>
    </row>
    <row r="72" ht="14.25" customHeight="1">
      <c r="A72">
        <v>25</v>
      </c>
      <c r="B72" t="str">
        <v>Fluid-Applied Membrane Air Barrer</v>
      </c>
      <c r="C72" t="str">
        <v>Y</v>
      </c>
      <c r="I72" s="8">
        <f>H72*F72</f>
        <v>0</v>
      </c>
      <c r="J72" t="str">
        <v>Y</v>
      </c>
      <c r="S72" t="str">
        <v>Y</v>
      </c>
      <c r="T72" t="str">
        <v>GE Elemax 2600</v>
      </c>
    </row>
    <row r="73" ht="14.25" customHeight="1">
      <c r="A73">
        <f>A72+1</f>
        <v>26</v>
      </c>
      <c r="B73" t="str">
        <v>High-build vapor-retarding air barrier</v>
      </c>
      <c r="C73" t="str">
        <v>Y</v>
      </c>
      <c r="I73" s="8">
        <f>H73*F73</f>
        <v>0</v>
      </c>
      <c r="J73" t="str">
        <v>Y</v>
      </c>
      <c r="S73" t="str">
        <v>Y</v>
      </c>
    </row>
    <row r="74" ht="14.25" customHeight="1">
      <c r="A74">
        <f>A73+1</f>
        <v>27</v>
      </c>
      <c r="B74" t="str">
        <v>Installed dry film thickness per manufacturer's instruction of 35 mils or thicker</v>
      </c>
      <c r="C74" t="str">
        <v>Y</v>
      </c>
      <c r="I74" s="8">
        <f>H74*F74</f>
        <v>0</v>
      </c>
      <c r="J74" t="str">
        <v>Y</v>
      </c>
      <c r="S74" t="str">
        <v>Y</v>
      </c>
    </row>
    <row r="75" ht="14.25" customHeight="1">
      <c r="A75">
        <f>A74+1</f>
        <v>28</v>
      </c>
      <c r="B75" t="str">
        <v>Synthetic polymer tape manufacturer per specifications</v>
      </c>
      <c r="C75" t="str">
        <v>Y</v>
      </c>
      <c r="I75" s="8">
        <f>H75*F75</f>
        <v>0</v>
      </c>
      <c r="J75" t="str">
        <v>Y</v>
      </c>
      <c r="S75" t="str">
        <v>Y</v>
      </c>
    </row>
    <row r="76" ht="14.25" customHeight="1">
      <c r="A76">
        <f>A75+1</f>
        <v>29</v>
      </c>
      <c r="B76" t="str">
        <v>Physical and performance properties per specifications</v>
      </c>
      <c r="C76" t="str">
        <v>Y</v>
      </c>
      <c r="I76" s="8">
        <f>H76*F76</f>
        <v>0</v>
      </c>
      <c r="J76" t="str">
        <v>Y</v>
      </c>
      <c r="S76" t="str">
        <v>Y</v>
      </c>
    </row>
    <row r="77" ht="14.25" customHeight="1">
      <c r="A77">
        <f>A76+1</f>
        <v>30</v>
      </c>
      <c r="B77" t="str">
        <v>High-build vapor-permeable air barrier</v>
      </c>
      <c r="C77" t="str">
        <v>Y</v>
      </c>
      <c r="I77" s="8">
        <f>H77*F77</f>
        <v>0</v>
      </c>
      <c r="J77" t="str">
        <v>Y</v>
      </c>
      <c r="S77" t="str">
        <v>Y</v>
      </c>
    </row>
    <row r="78" ht="14.25" customHeight="1">
      <c r="A78">
        <f>A77+1</f>
        <v>31</v>
      </c>
      <c r="B78" t="str">
        <v>Installed dry film thickness per manufacturer's instruction of 35 mils or thicker</v>
      </c>
      <c r="C78" t="str">
        <v>Y</v>
      </c>
      <c r="I78" s="8">
        <f>H78*F78</f>
        <v>0</v>
      </c>
      <c r="J78" t="str">
        <v>Y</v>
      </c>
      <c r="S78" t="str">
        <v>Y</v>
      </c>
    </row>
    <row r="79" ht="14.25" customHeight="1">
      <c r="A79">
        <f>A78+1</f>
        <v>32</v>
      </c>
      <c r="B79" t="str">
        <v>Synthetic polymer tape manufacturer per specifications</v>
      </c>
      <c r="C79" t="str">
        <v>Y</v>
      </c>
      <c r="I79" s="8">
        <f>H79*F79</f>
        <v>0</v>
      </c>
      <c r="J79" t="str">
        <v>Y</v>
      </c>
      <c r="S79" t="str">
        <v>Y</v>
      </c>
    </row>
    <row r="80" ht="14.25" customHeight="1">
      <c r="A80">
        <f>A79+1</f>
        <v>33</v>
      </c>
      <c r="B80" t="str">
        <v>Physical and performance properties per specifications</v>
      </c>
      <c r="C80" t="str">
        <v>Y</v>
      </c>
      <c r="I80" s="8">
        <f>H80*F80</f>
        <v>0</v>
      </c>
      <c r="J80" t="str">
        <v>Y</v>
      </c>
      <c r="S80" t="str">
        <v>Y</v>
      </c>
    </row>
    <row r="81" ht="14.25" customHeight="1">
      <c r="A81">
        <f>A80+1</f>
        <v>34</v>
      </c>
      <c r="B81" t="str">
        <v>Include all materials and accessories to include, but not limited to, as recommended in writing by air-barrier manufacturer to product a complete air-barrier assembly;</v>
      </c>
      <c r="C81" t="str">
        <v>Y</v>
      </c>
      <c r="I81" s="8">
        <f>H81*F81</f>
        <v>0</v>
      </c>
      <c r="J81" t="str">
        <v>Y</v>
      </c>
      <c r="S81" t="str">
        <v>Y</v>
      </c>
    </row>
    <row r="82" ht="14.25" customHeight="1">
      <c r="A82">
        <f>A81+1</f>
        <v>35</v>
      </c>
      <c r="B82" t="str">
        <v>Primers</v>
      </c>
      <c r="C82" t="str">
        <v>Y</v>
      </c>
      <c r="I82" s="8">
        <f>H82*F82</f>
        <v>0</v>
      </c>
      <c r="J82" t="str">
        <v>Y</v>
      </c>
      <c r="S82" t="str">
        <v>Y</v>
      </c>
    </row>
    <row r="83" ht="14.25" customHeight="1">
      <c r="A83">
        <f>A82+1</f>
        <v>36</v>
      </c>
      <c r="B83" t="str">
        <v>Transition strips, termination strips</v>
      </c>
      <c r="C83" t="str">
        <v>Y</v>
      </c>
      <c r="I83" s="8">
        <f>H83*F83</f>
        <v>0</v>
      </c>
      <c r="J83" t="str">
        <v>Y</v>
      </c>
      <c r="S83" t="str">
        <v>Y</v>
      </c>
    </row>
    <row r="84" ht="14.25" customHeight="1">
      <c r="A84">
        <f>A83+1</f>
        <v>37</v>
      </c>
      <c r="B84" t="str">
        <v>Joint reinfocring fabric and strips</v>
      </c>
      <c r="C84" t="str">
        <v>Y</v>
      </c>
      <c r="I84" s="8">
        <f>H84*F84</f>
        <v>0</v>
      </c>
      <c r="J84" t="str">
        <v>Y</v>
      </c>
      <c r="S84" t="str">
        <v>Y</v>
      </c>
    </row>
    <row r="85" ht="14.25" customHeight="1">
      <c r="A85">
        <f>A84+1</f>
        <v>38</v>
      </c>
      <c r="B85" t="str">
        <v>Joint sealants</v>
      </c>
      <c r="C85" t="str">
        <v>Y</v>
      </c>
      <c r="I85" s="8">
        <f>H85*F85</f>
        <v>0</v>
      </c>
      <c r="J85" t="str">
        <v>Y</v>
      </c>
      <c r="S85" t="str">
        <v>Y</v>
      </c>
    </row>
    <row r="86" ht="14.25" customHeight="1">
      <c r="A86">
        <f>A85+1</f>
        <v>39</v>
      </c>
      <c r="B86" t="str">
        <v>Counterflashing strips</v>
      </c>
      <c r="C86" t="str">
        <v>Y</v>
      </c>
      <c r="I86" s="8">
        <f>H86*F86</f>
        <v>0</v>
      </c>
      <c r="J86" t="str">
        <v>Y</v>
      </c>
      <c r="S86" t="str">
        <v>Y</v>
      </c>
    </row>
    <row r="87" ht="14.25" customHeight="1">
      <c r="A87">
        <f>A86+1</f>
        <v>40</v>
      </c>
      <c r="B87" t="str">
        <v>Flashing sheets</v>
      </c>
      <c r="C87" t="str">
        <v>Y</v>
      </c>
      <c r="I87" s="8">
        <f>H87*F87</f>
        <v>0</v>
      </c>
      <c r="J87" t="str">
        <v>Y</v>
      </c>
      <c r="S87" t="str">
        <v>Y</v>
      </c>
    </row>
    <row r="88" ht="14.25" customHeight="1">
      <c r="A88">
        <f>A87+1</f>
        <v>41</v>
      </c>
      <c r="B88" t="str">
        <v>Metal termination bars</v>
      </c>
      <c r="C88" t="str">
        <v>Y</v>
      </c>
      <c r="I88" s="8">
        <f>H88*F88</f>
        <v>0</v>
      </c>
      <c r="J88" t="str">
        <v>Y</v>
      </c>
      <c r="S88" t="str">
        <v>Y</v>
      </c>
    </row>
    <row r="89" ht="14.25" customHeight="1">
      <c r="A89">
        <f>A88+1</f>
        <v>42</v>
      </c>
      <c r="B89" t="str">
        <v>Termination mastic</v>
      </c>
      <c r="C89" t="str">
        <v>Y</v>
      </c>
      <c r="I89" s="8">
        <f>H89*F89</f>
        <v>0</v>
      </c>
      <c r="J89" t="str">
        <v>Y</v>
      </c>
      <c r="S89" t="str">
        <v>Y</v>
      </c>
    </row>
    <row r="90" ht="14.25" customHeight="1">
      <c r="A90">
        <f>A89+1</f>
        <v>43</v>
      </c>
      <c r="B90" t="str">
        <v>Substrate patching materials</v>
      </c>
      <c r="C90" t="str">
        <v>Y</v>
      </c>
      <c r="I90" s="8">
        <f>H90*F90</f>
        <v>0</v>
      </c>
      <c r="J90" t="str">
        <v>N/A</v>
      </c>
      <c r="S90" t="str">
        <v>Y</v>
      </c>
    </row>
    <row r="91" ht="14.25" customHeight="1">
      <c r="A91">
        <f>A90+1</f>
        <v>44</v>
      </c>
      <c r="B91" t="str">
        <v>Adhesives</v>
      </c>
      <c r="C91" t="str">
        <v>Y</v>
      </c>
      <c r="I91" s="8">
        <f>H91*F91</f>
        <v>0</v>
      </c>
      <c r="J91" t="str">
        <v>Y</v>
      </c>
      <c r="S91" t="str">
        <v>Y</v>
      </c>
    </row>
    <row r="92" ht="14.25" customHeight="1">
      <c r="A92">
        <f>A91+1</f>
        <v>45</v>
      </c>
      <c r="B92" t="str">
        <v>Tapes</v>
      </c>
      <c r="C92" t="str">
        <v>Y</v>
      </c>
      <c r="I92" s="8">
        <f>H92*F92</f>
        <v>0</v>
      </c>
      <c r="J92" t="str">
        <v>Y</v>
      </c>
      <c r="S92" t="str">
        <v>Y</v>
      </c>
    </row>
    <row r="93" ht="14.25" customHeight="1">
      <c r="A93">
        <f>A92+1</f>
        <v>46</v>
      </c>
      <c r="B93" t="str">
        <v>Foam sealants</v>
      </c>
      <c r="C93" t="str">
        <v>Y</v>
      </c>
      <c r="I93" s="8">
        <f>H93*F93</f>
        <v>0</v>
      </c>
      <c r="J93" t="str">
        <v>N/A</v>
      </c>
      <c r="S93" t="str">
        <v>Y</v>
      </c>
    </row>
    <row r="94" ht="14.25" customHeight="1">
      <c r="A94">
        <f>A93+1</f>
        <v>47</v>
      </c>
      <c r="B94" t="str">
        <v>Lap sealants</v>
      </c>
      <c r="C94" t="str">
        <v>Y</v>
      </c>
      <c r="I94" s="8">
        <f>H94*F94</f>
        <v>0</v>
      </c>
      <c r="J94" t="str">
        <v>Y</v>
      </c>
      <c r="S94" t="str">
        <v>Y</v>
      </c>
    </row>
    <row r="95" ht="14.25" customHeight="1">
      <c r="A95">
        <f>A94+1</f>
        <v>48</v>
      </c>
      <c r="B95" t="str">
        <v>ABAA certified installers and supervisors per specfications</v>
      </c>
      <c r="C95" t="str">
        <v>Y</v>
      </c>
      <c r="I95" s="8">
        <f>H95*F95</f>
        <v>0</v>
      </c>
      <c r="J95" t="str">
        <v>Y</v>
      </c>
      <c r="S95" t="str">
        <v>Y</v>
      </c>
    </row>
    <row r="96" ht="14.25" customHeight="1">
      <c r="A96">
        <f>A95+1</f>
        <v>49</v>
      </c>
      <c r="B96" t="str">
        <v>Obtain primary air-barrier materials and air-barrier accessories from single source from single manufacturer</v>
      </c>
      <c r="C96" t="str">
        <v>Y</v>
      </c>
      <c r="I96" s="8">
        <f>H96*F96</f>
        <v>0</v>
      </c>
      <c r="J96" t="str">
        <v>Y</v>
      </c>
      <c r="S96" t="str">
        <v>Y</v>
      </c>
    </row>
    <row r="97" ht="14.25" customHeight="1">
      <c r="A97">
        <f>A96+1</f>
        <v>50</v>
      </c>
      <c r="B97" t="str">
        <v>Include all ABAA rees, testing and reports</v>
      </c>
      <c r="C97" t="str">
        <v>Y</v>
      </c>
      <c r="I97" s="8">
        <f>H97*F97</f>
        <v>0</v>
      </c>
      <c r="J97" t="str">
        <v>Y</v>
      </c>
      <c r="S97" t="str">
        <v>Y</v>
      </c>
      <c r="U97" s="8">
        <v>18165</v>
      </c>
    </row>
    <row r="98" ht="14.25" customHeight="1">
      <c r="A98">
        <f>A97+1</f>
        <v>51</v>
      </c>
      <c r="B98" t="str">
        <v>Include all warranty requirements per specificaitons</v>
      </c>
      <c r="C98" t="str">
        <v>Y</v>
      </c>
      <c r="I98" s="8">
        <f>H98*F98</f>
        <v>0</v>
      </c>
      <c r="J98" t="str">
        <v>Y</v>
      </c>
      <c r="S98" t="str">
        <v>Y</v>
      </c>
    </row>
    <row r="99" ht="14.25" customHeight="1">
      <c r="A99">
        <f>A98+1</f>
        <v>52</v>
      </c>
    </row>
    <row r="100" ht="14.25" customHeight="1">
      <c r="A100">
        <f>A99+1</f>
        <v>53</v>
      </c>
      <c r="B100" t="str">
        <v>Provide an add/alt for the drain tile</v>
      </c>
      <c r="C100" t="str">
        <v>Y</v>
      </c>
      <c r="I100" s="8">
        <f>H100*F100</f>
        <v>0</v>
      </c>
      <c r="S100" t="str">
        <v>Y</v>
      </c>
    </row>
    <row r="101" ht="14.25" customHeight="1">
      <c r="A101">
        <f>A100+1</f>
        <v>54</v>
      </c>
    </row>
    <row r="102" ht="14.25" customHeight="1">
      <c r="A102">
        <f>A101+1</f>
        <v>55</v>
      </c>
      <c r="B102" t="str">
        <v>Refer to general note 3 on AQ4.0 stating the inside surfaces of the backwash catch basin much be watperoofing</v>
      </c>
      <c r="C102" t="str">
        <v>Y</v>
      </c>
      <c r="I102" s="8">
        <f>H102*F102</f>
        <v>0</v>
      </c>
      <c r="S102" t="str">
        <v>Y</v>
      </c>
    </row>
    <row r="103" ht="14.25" customHeight="1">
      <c r="A103">
        <f>A102+1</f>
        <v>56</v>
      </c>
    </row>
    <row r="104" ht="14.25" customHeight="1">
      <c r="A104">
        <f>A103+1</f>
        <v>57</v>
      </c>
      <c r="B104" t="str">
        <v>Refer to 1/A6.1 for wall section at basement and curtainwall and include the necessary items;</v>
      </c>
      <c r="C104" t="str">
        <v>Y</v>
      </c>
      <c r="I104" s="8">
        <f>H104*F104</f>
        <v>0</v>
      </c>
      <c r="S104" t="str">
        <v>Y</v>
      </c>
    </row>
    <row r="105" ht="14.25" customHeight="1">
      <c r="A105">
        <f>A104+1</f>
        <v>58</v>
      </c>
      <c r="B105" t="str">
        <v>Drain board</v>
      </c>
      <c r="C105" t="str">
        <v>Y</v>
      </c>
      <c r="I105" s="8">
        <f>H105*F105</f>
        <v>0</v>
      </c>
      <c r="S105" t="str">
        <v>Y</v>
      </c>
    </row>
    <row r="106" ht="14.25" customHeight="1">
      <c r="A106">
        <f>A105+1</f>
        <v>59</v>
      </c>
      <c r="B106" t="str">
        <v>Geotextile fabric</v>
      </c>
      <c r="C106" t="str">
        <v>Y</v>
      </c>
      <c r="I106" s="8">
        <f>H106*F106</f>
        <v>0</v>
      </c>
      <c r="S106" t="str">
        <v>Y</v>
      </c>
    </row>
    <row r="107" ht="14.25" customHeight="1">
      <c r="A107">
        <f>A106+1</f>
        <v>60</v>
      </c>
      <c r="B107" t="str">
        <v>Watperoofing</v>
      </c>
      <c r="C107" t="str">
        <v>Y</v>
      </c>
      <c r="I107" s="8">
        <f>H107*F107</f>
        <v>0</v>
      </c>
      <c r="S107" t="str">
        <v>Y</v>
      </c>
    </row>
    <row r="108" ht="14.25" customHeight="1">
      <c r="A108">
        <f>A107+1</f>
        <v>61</v>
      </c>
      <c r="B108" t="str">
        <v>Drainage composite layer</v>
      </c>
      <c r="C108" t="str">
        <v>Y</v>
      </c>
      <c r="I108" s="8">
        <f>H108*F108</f>
        <v>0</v>
      </c>
      <c r="S108" t="str">
        <v>Y</v>
      </c>
    </row>
    <row r="109" ht="14.25" customHeight="1">
      <c r="A109">
        <f>A108+1</f>
        <v>62</v>
      </c>
      <c r="B109" t="str">
        <v>Ensure fabric facing SOE to extend from at minimum 2 ft. below finish grade to 1 ft. above bottom of footing</v>
      </c>
      <c r="C109" t="str">
        <v>Y</v>
      </c>
      <c r="I109" s="8">
        <f>H109*F109</f>
        <v>0</v>
      </c>
      <c r="S109" t="str">
        <v>Y</v>
      </c>
    </row>
    <row r="110" ht="14.25" customHeight="1">
      <c r="A110">
        <f>A109+1</f>
        <v>63</v>
      </c>
      <c r="B110" t="str">
        <v>Refer to 2/A6.1 for wall section at gym and include necessary items;</v>
      </c>
      <c r="C110" t="str">
        <v>Y</v>
      </c>
      <c r="I110" s="8">
        <f>H110*F110</f>
        <v>0</v>
      </c>
      <c r="S110" t="str">
        <v>Y</v>
      </c>
    </row>
    <row r="111" ht="14.25" customHeight="1">
      <c r="A111">
        <f>A110+1</f>
        <v>64</v>
      </c>
      <c r="B111" t="str">
        <v>Drain board</v>
      </c>
      <c r="C111" t="str">
        <v>Y</v>
      </c>
      <c r="I111" s="8">
        <f>H111*F111</f>
        <v>0</v>
      </c>
      <c r="S111" t="str">
        <v>Y</v>
      </c>
    </row>
    <row r="112" ht="14.25" customHeight="1">
      <c r="A112">
        <f>A111+1</f>
        <v>65</v>
      </c>
      <c r="B112" t="str">
        <v>Geotextile fabric</v>
      </c>
      <c r="C112" t="str">
        <v>Y</v>
      </c>
      <c r="I112" s="8">
        <f>H112*F112</f>
        <v>0</v>
      </c>
      <c r="S112" t="str">
        <v>Y</v>
      </c>
    </row>
    <row r="113" ht="14.25" customHeight="1">
      <c r="A113">
        <f>A112+1</f>
        <v>66</v>
      </c>
      <c r="B113" t="str">
        <v>Refer to 3/A6.1 for wall section at gym and include necessary items;</v>
      </c>
      <c r="C113" t="str">
        <v>Y</v>
      </c>
      <c r="I113" s="8">
        <f>H113*F113</f>
        <v>0</v>
      </c>
      <c r="S113" t="str">
        <v>Y</v>
      </c>
    </row>
    <row r="114" ht="14.25" customHeight="1">
      <c r="A114">
        <f>A113+1</f>
        <v>67</v>
      </c>
      <c r="B114" t="str">
        <v>Drain board</v>
      </c>
      <c r="C114" t="str">
        <v>Y</v>
      </c>
      <c r="I114" s="8">
        <f>H114*F114</f>
        <v>0</v>
      </c>
      <c r="S114" t="str">
        <v>Y</v>
      </c>
    </row>
    <row r="115" ht="14.25" customHeight="1">
      <c r="A115">
        <f>A114+1</f>
        <v>68</v>
      </c>
      <c r="B115" t="str">
        <v>Geotextile fabric</v>
      </c>
      <c r="C115" t="str">
        <v>Y</v>
      </c>
      <c r="I115" s="8">
        <f>H115*F115</f>
        <v>0</v>
      </c>
      <c r="S115" t="str">
        <v>Y</v>
      </c>
    </row>
    <row r="116" ht="14.25" customHeight="1">
      <c r="A116">
        <f>A115+1</f>
        <v>69</v>
      </c>
      <c r="B116" t="str">
        <v>2" (R-10 min.) extruded polystyrene insulation extended down to 24" below grade</v>
      </c>
      <c r="C116" t="str">
        <v>Y</v>
      </c>
      <c r="I116" s="8">
        <f>H116*F116</f>
        <v>0</v>
      </c>
      <c r="S116" t="str">
        <v>Y</v>
      </c>
    </row>
    <row r="117" ht="14.25" customHeight="1">
      <c r="A117">
        <f>A116+1</f>
        <v>70</v>
      </c>
      <c r="B117" t="str">
        <v>Refer to 4/A6.1 for wall section at vestibule/circulation and include necessary items;</v>
      </c>
      <c r="C117" t="str">
        <v>Y</v>
      </c>
      <c r="I117" s="8">
        <f>H117*F117</f>
        <v>0</v>
      </c>
      <c r="S117" t="str">
        <v>Y</v>
      </c>
    </row>
    <row r="118" ht="14.25" customHeight="1">
      <c r="A118">
        <f>A117+1</f>
        <v>71</v>
      </c>
      <c r="B118" t="str">
        <v>Drain board</v>
      </c>
      <c r="C118" t="str">
        <v>Y</v>
      </c>
      <c r="I118" s="8">
        <f>H118*F118</f>
        <v>0</v>
      </c>
      <c r="S118" t="str">
        <v>Y</v>
      </c>
    </row>
    <row r="119" ht="14.25" customHeight="1">
      <c r="A119">
        <f>A118+1</f>
        <v>72</v>
      </c>
      <c r="B119" t="str">
        <v>Geotextile fabric</v>
      </c>
      <c r="C119" t="str">
        <v>Y</v>
      </c>
      <c r="I119" s="8">
        <f>H119*F119</f>
        <v>0</v>
      </c>
      <c r="S119" t="str">
        <v>Y</v>
      </c>
    </row>
    <row r="120" ht="14.25" customHeight="1">
      <c r="A120">
        <f>A119+1</f>
        <v>73</v>
      </c>
      <c r="B120" t="str">
        <v>2" (R-10 min.) extruded polystyrene insulation extended down to 24" below grade</v>
      </c>
      <c r="C120" t="str">
        <v>Y</v>
      </c>
      <c r="I120" s="8">
        <f>H120*F120</f>
        <v>0</v>
      </c>
      <c r="S120" t="str">
        <v>Y</v>
      </c>
    </row>
    <row r="121" ht="14.25" customHeight="1">
      <c r="A121">
        <f>A120+1</f>
        <v>74</v>
      </c>
      <c r="B121" t="str">
        <v>Refer to 1/A6.2 for wall section at lobby/gym/mechanical room and include the necessary items;</v>
      </c>
      <c r="C121" t="str">
        <v>Y</v>
      </c>
      <c r="I121" s="8">
        <f>H121*F121</f>
        <v>0</v>
      </c>
      <c r="S121" t="str">
        <v>Y</v>
      </c>
    </row>
    <row r="122" ht="14.25" customHeight="1">
      <c r="A122">
        <f>A121+1</f>
        <v>75</v>
      </c>
      <c r="B122" t="str">
        <v>Fabric flap</v>
      </c>
      <c r="C122" t="str">
        <v>Y</v>
      </c>
      <c r="I122" s="8">
        <f>H122*F122</f>
        <v>0</v>
      </c>
      <c r="S122" t="str">
        <v>Y</v>
      </c>
    </row>
    <row r="123" ht="14.25" customHeight="1">
      <c r="A123">
        <f>A122+1</f>
        <v>76</v>
      </c>
      <c r="B123" t="str">
        <v>Watperoofing</v>
      </c>
      <c r="C123" t="str">
        <v>Y</v>
      </c>
      <c r="I123" s="8">
        <f>H123*F123</f>
        <v>0</v>
      </c>
      <c r="S123" t="str">
        <v>Y</v>
      </c>
    </row>
    <row r="124" ht="14.25" customHeight="1">
      <c r="A124">
        <f>A123+1</f>
        <v>77</v>
      </c>
      <c r="B124" t="str">
        <v>Fabric layer</v>
      </c>
      <c r="C124" t="str">
        <v>Y</v>
      </c>
      <c r="I124" s="8">
        <f>H124*F124</f>
        <v>0</v>
      </c>
      <c r="S124" t="str">
        <v>Y</v>
      </c>
    </row>
    <row r="125" ht="14.25" customHeight="1">
      <c r="A125">
        <f>A124+1</f>
        <v>78</v>
      </c>
      <c r="B125" t="str">
        <v>Drainage composite layer</v>
      </c>
      <c r="C125" t="str">
        <v>Y</v>
      </c>
      <c r="I125" s="8">
        <f>H125*F125</f>
        <v>0</v>
      </c>
      <c r="S125" t="str">
        <v>Y</v>
      </c>
    </row>
    <row r="126" ht="14.25" customHeight="1">
      <c r="A126">
        <f>A125+1</f>
        <v>79</v>
      </c>
      <c r="B126" t="str">
        <v>Fabric flap</v>
      </c>
      <c r="C126" t="str">
        <v>Y</v>
      </c>
      <c r="I126" s="8">
        <f>H126*F126</f>
        <v>0</v>
      </c>
      <c r="S126" t="str">
        <v>Y</v>
      </c>
    </row>
    <row r="127" ht="14.25" customHeight="1">
      <c r="A127">
        <f>A126+1</f>
        <v>80</v>
      </c>
      <c r="B127" t="str">
        <v>Refer to 3/A6.2 for exterior wall section at stair B and include the necessary items;</v>
      </c>
      <c r="C127" t="str">
        <v>Y</v>
      </c>
      <c r="I127" s="8">
        <f>H127*F127</f>
        <v>0</v>
      </c>
      <c r="S127" t="str">
        <v>Y</v>
      </c>
    </row>
    <row r="128" ht="14.25" customHeight="1">
      <c r="A128">
        <f>A127+1</f>
        <v>81</v>
      </c>
      <c r="B128" t="str">
        <v>2" extruded polystyrene insulaiton extended down to frost depth</v>
      </c>
      <c r="C128" t="str">
        <v>Y</v>
      </c>
      <c r="I128" s="8">
        <f>H128*F128</f>
        <v>0</v>
      </c>
      <c r="S128" t="str">
        <v>Y</v>
      </c>
    </row>
    <row r="129" ht="14.25" customHeight="1">
      <c r="A129">
        <f>A128+1</f>
        <v>82</v>
      </c>
      <c r="B129" t="str">
        <v>Fabric flap</v>
      </c>
      <c r="C129" t="str">
        <v>Y</v>
      </c>
      <c r="I129" s="8">
        <f>H129*F129</f>
        <v>0</v>
      </c>
      <c r="S129" t="str">
        <v>Y</v>
      </c>
    </row>
    <row r="130" ht="14.25" customHeight="1">
      <c r="A130">
        <f>A129+1</f>
        <v>83</v>
      </c>
      <c r="B130" t="str">
        <v>Waterproofing</v>
      </c>
      <c r="C130" t="str">
        <v>Y</v>
      </c>
      <c r="I130" s="8">
        <f>H130*F130</f>
        <v>0</v>
      </c>
      <c r="S130" t="str">
        <v>Y</v>
      </c>
    </row>
    <row r="131" ht="14.25" customHeight="1">
      <c r="A131">
        <f>A130+1</f>
        <v>84</v>
      </c>
      <c r="B131" t="str">
        <v>Drainage composite layer</v>
      </c>
      <c r="C131" t="str">
        <v>Y</v>
      </c>
      <c r="I131" s="8">
        <f>H131*F131</f>
        <v>0</v>
      </c>
      <c r="S131" t="str">
        <v>Y</v>
      </c>
    </row>
    <row r="132" ht="14.25" customHeight="1">
      <c r="A132">
        <f>A131+1</f>
        <v>85</v>
      </c>
      <c r="B132" t="str">
        <v>Ensure fabric facing SOE to extend from at minimum 2 ft. below finish grade to 1 ft. above bottom of footing</v>
      </c>
      <c r="C132" t="str">
        <v>Y</v>
      </c>
      <c r="I132" s="8">
        <f>H132*F132</f>
        <v>0</v>
      </c>
      <c r="S132" t="str">
        <v>Y</v>
      </c>
    </row>
    <row r="133" ht="14.25" customHeight="1">
      <c r="A133">
        <f>A132+1</f>
        <v>86</v>
      </c>
      <c r="B133" t="str">
        <v>Fabric flap</v>
      </c>
      <c r="C133" t="str">
        <v>Y</v>
      </c>
      <c r="I133" s="8">
        <f>H133*F133</f>
        <v>0</v>
      </c>
      <c r="S133" t="str">
        <v>Y</v>
      </c>
    </row>
    <row r="134" ht="14.25" customHeight="1">
      <c r="A134">
        <f>A133+1</f>
        <v>87</v>
      </c>
      <c r="B134" t="str">
        <v>Refer top 4/A6.2 for exterior wall section at auxillary gym and include the necessary items;</v>
      </c>
      <c r="C134" t="str">
        <v>Y</v>
      </c>
      <c r="I134" s="8">
        <f>H134*F134</f>
        <v>0</v>
      </c>
      <c r="S134" t="str">
        <v>Y</v>
      </c>
    </row>
    <row r="135" ht="14.25" customHeight="1">
      <c r="A135">
        <f>A134+1</f>
        <v>88</v>
      </c>
      <c r="B135" t="str">
        <v>Drain board</v>
      </c>
      <c r="C135" t="str">
        <v>Y</v>
      </c>
      <c r="I135" s="8">
        <f>H135*F135</f>
        <v>0</v>
      </c>
      <c r="S135" t="str">
        <v>Y</v>
      </c>
    </row>
    <row r="136" ht="14.25" customHeight="1">
      <c r="A136">
        <f>A135+1</f>
        <v>89</v>
      </c>
      <c r="B136" t="str">
        <v>Geotextile fabric</v>
      </c>
      <c r="C136" t="str">
        <v>Y</v>
      </c>
      <c r="I136" s="8">
        <f>H136*F136</f>
        <v>0</v>
      </c>
      <c r="S136" t="str">
        <v>Y</v>
      </c>
    </row>
    <row r="137" ht="14.25" customHeight="1">
      <c r="A137">
        <f>A136+1</f>
        <v>90</v>
      </c>
      <c r="B137" t="str">
        <v>2" (R-10 min.) extruded polystyrene insulation extended down to 24" below grade</v>
      </c>
      <c r="C137" t="str">
        <v>Y</v>
      </c>
      <c r="I137" s="8">
        <f>H137*F137</f>
        <v>0</v>
      </c>
      <c r="S137" t="str">
        <v>Y</v>
      </c>
    </row>
    <row r="138" ht="14.25" customHeight="1">
      <c r="A138">
        <f>A137+1</f>
        <v>91</v>
      </c>
      <c r="B138" t="str">
        <v>Refer to 2/A6.2 for wall section at game room/TLT/shower and include the necessary items;</v>
      </c>
      <c r="C138" t="str">
        <v>Y</v>
      </c>
      <c r="I138" s="8">
        <f>H138*F138</f>
        <v>0</v>
      </c>
      <c r="S138" t="str">
        <v>Y</v>
      </c>
    </row>
    <row r="139" ht="14.25" customHeight="1">
      <c r="A139">
        <f>A138+1</f>
        <v>92</v>
      </c>
      <c r="B139" t="str">
        <v>Drain board</v>
      </c>
      <c r="C139" t="str">
        <v>Y</v>
      </c>
      <c r="I139" s="8">
        <f>H139*F139</f>
        <v>0</v>
      </c>
      <c r="S139" t="str">
        <v>Y</v>
      </c>
    </row>
    <row r="140" ht="14.25" customHeight="1">
      <c r="A140">
        <f>A139+1</f>
        <v>93</v>
      </c>
      <c r="B140" t="str">
        <v>Geotextile fabric</v>
      </c>
      <c r="C140" t="str">
        <v>Y</v>
      </c>
      <c r="I140" s="8">
        <f>H140*F140</f>
        <v>0</v>
      </c>
      <c r="S140" t="str">
        <v>Y</v>
      </c>
    </row>
    <row r="141" ht="14.25" customHeight="1">
      <c r="A141">
        <f>A140+1</f>
        <v>94</v>
      </c>
      <c r="B141" t="str">
        <v>Include the vapor barrier at all exterior wall assemblies</v>
      </c>
      <c r="C141" t="str">
        <v>Y</v>
      </c>
      <c r="I141" s="8">
        <f>H141*F141</f>
        <v>0</v>
      </c>
      <c r="S141" t="str">
        <v>Y</v>
      </c>
    </row>
    <row r="142" ht="14.25" customHeight="1">
      <c r="A142">
        <f>A141+1</f>
        <v>95</v>
      </c>
      <c r="B142" t="str">
        <v>Include the waterproofing at the inside surfaces of the backwash catch basin as noted on note 3 on AQ4.0</v>
      </c>
      <c r="C142" t="str">
        <v>N/A</v>
      </c>
      <c r="I142" s="8">
        <f>H142*F142</f>
        <v>0</v>
      </c>
      <c r="S142" t="str">
        <v>Y</v>
      </c>
    </row>
    <row r="143" ht="14.25" customHeight="1">
      <c r="A143">
        <f>A142+1</f>
        <v>96</v>
      </c>
      <c r="B143" t="str">
        <v>Include the waterproof membrane at metal panel wall assemblies. Refer to 4/A6.1</v>
      </c>
      <c r="C143" t="str">
        <v>Y</v>
      </c>
      <c r="I143" s="8">
        <f>H143*F143</f>
        <v>0</v>
      </c>
      <c r="S143" t="str">
        <v>Y</v>
      </c>
      <c r="T143" t="str">
        <v>[$4,800] ADD</v>
      </c>
    </row>
    <row r="144" ht="14.25" customHeight="1">
      <c r="A144">
        <f>A143+1</f>
        <v>97</v>
      </c>
      <c r="B144" t="str">
        <v>Include all waterproofing at interior and exterior of elevator</v>
      </c>
      <c r="C144" t="str">
        <v>Y</v>
      </c>
      <c r="I144" s="8">
        <f>H144*F144</f>
        <v>0</v>
      </c>
      <c r="S144" t="str">
        <v>Y</v>
      </c>
      <c r="U144" s="8">
        <v>9420</v>
      </c>
    </row>
    <row r="145" ht="14.25" customHeight="1">
      <c r="A145">
        <f>A144+1</f>
        <v>98</v>
      </c>
      <c r="B145" t="str">
        <v>Waterproofing and drawin tile at geo vault</v>
      </c>
      <c r="C145" t="str">
        <v>Y</v>
      </c>
      <c r="I145" s="8">
        <f>H145*F145</f>
        <v>0</v>
      </c>
      <c r="J145" t="str">
        <v>P</v>
      </c>
      <c r="L145" s="8">
        <v>10000</v>
      </c>
      <c r="M145" t="str">
        <v>P</v>
      </c>
      <c r="O145" s="8">
        <v>10000</v>
      </c>
      <c r="P145" t="str">
        <v>P</v>
      </c>
      <c r="R145" s="8">
        <v>10000</v>
      </c>
      <c r="S145" t="str">
        <v>Y</v>
      </c>
      <c r="U145" s="8">
        <v>8474</v>
      </c>
    </row>
    <row r="146" ht="14.25" customHeight="1">
      <c r="A146">
        <f>A145+1</f>
        <v>99</v>
      </c>
    </row>
    <row r="147" ht="14.25" customHeight="1">
      <c r="A147">
        <f>A146+1</f>
        <v>100</v>
      </c>
      <c r="B147" t="str">
        <v>Ref. A1.2-6.3, A9.1, A9.3, A9.10, S301, S001-005</v>
      </c>
      <c r="C147" t="str">
        <v>Y</v>
      </c>
      <c r="I147" s="8">
        <f>H147*F147</f>
        <v>0</v>
      </c>
      <c r="S147" t="str">
        <v>Y</v>
      </c>
    </row>
    <row r="148" ht="14.25" customHeight="1">
      <c r="A148">
        <f>A147+1</f>
        <v>101</v>
      </c>
      <c r="B148" t="str">
        <v>Furnish and install below-grade wall system with drainage board and insulation, ref. A6.3</v>
      </c>
      <c r="C148" t="str">
        <v>Y</v>
      </c>
      <c r="I148" s="8">
        <f>H148*F148</f>
        <v>0</v>
      </c>
      <c r="S148" t="str">
        <v>Y</v>
      </c>
    </row>
    <row r="149" ht="14.25" customHeight="1">
      <c r="A149">
        <f>A148+1</f>
        <v>102</v>
      </c>
      <c r="B149" t="str">
        <v>Furnish and install drainage board/mat with geotextile fabric, ref. A6.1, A6.4, A9.1, A9.3</v>
      </c>
      <c r="C149" t="str">
        <v>Y</v>
      </c>
      <c r="I149" s="8">
        <f>H149*F149</f>
        <v>0</v>
      </c>
      <c r="S149" t="str">
        <v>Y</v>
      </c>
    </row>
    <row r="150" ht="14.25" customHeight="1">
      <c r="A150">
        <f>A149+1</f>
        <v>103</v>
      </c>
      <c r="B150" t="str">
        <v>Furnish and install drainage board with weeps, ref. S001</v>
      </c>
      <c r="C150" t="str">
        <v>Y</v>
      </c>
      <c r="I150" s="8">
        <f>H150*F150</f>
        <v>0</v>
      </c>
      <c r="S150" t="str">
        <v>Y</v>
      </c>
    </row>
    <row r="151" ht="14.25" customHeight="1">
      <c r="A151">
        <f>A150+1</f>
        <v>104</v>
      </c>
      <c r="B151" t="str">
        <v>Furnish and install vapor barrier/retarder as shown, refi. A6.1-6.4, A9.10</v>
      </c>
      <c r="C151" t="str">
        <v>Y</v>
      </c>
      <c r="I151" s="8">
        <f>H151*F151</f>
        <v>0</v>
      </c>
      <c r="S151" t="str">
        <v>Y</v>
      </c>
    </row>
    <row r="152" ht="14.25" customHeight="1">
      <c r="A152">
        <f>A151+1</f>
        <v>105</v>
      </c>
      <c r="B152" t="str">
        <v>Furnish and install waterproofing membrane, ref. A6.1, A9.1-9.4, a9.10</v>
      </c>
      <c r="C152" t="str">
        <v>Y</v>
      </c>
      <c r="I152" s="8">
        <f>H152*F152</f>
        <v>0</v>
      </c>
      <c r="S152" t="str">
        <v>Y</v>
      </c>
    </row>
    <row r="153" ht="14.25" customHeight="1">
      <c r="A153">
        <f>A152+1</f>
        <v>106</v>
      </c>
      <c r="B153" t="str">
        <v>Furnish and install water resistive barrier (WRB), ref. A6.1-6.4, A9.1-9.3</v>
      </c>
      <c r="C153" t="str">
        <v>Y</v>
      </c>
      <c r="I153" s="8">
        <f>H153*F153</f>
        <v>0</v>
      </c>
      <c r="S153" t="str">
        <v>Y</v>
      </c>
    </row>
    <row r="154" ht="14.25" customHeight="1">
      <c r="A154">
        <f>A153+1</f>
        <v>107</v>
      </c>
      <c r="B154" t="str">
        <v>Furnish and install 2" (R-10 min.) extruded polystyrene insulation below grade, ref. 3/2A6.1, A6.4, 1/A9.4</v>
      </c>
      <c r="C154" t="str">
        <v>Y</v>
      </c>
      <c r="I154" s="8">
        <f>H154*F154</f>
        <v>0</v>
      </c>
      <c r="S154" t="str">
        <v>Y</v>
      </c>
    </row>
    <row r="155" ht="14.25" customHeight="1">
      <c r="A155">
        <f>A154+1</f>
        <v>108</v>
      </c>
      <c r="B155" t="str">
        <v>Furnish and install 3" polystyrene insulation, ref. 13/A9.1</v>
      </c>
      <c r="C155" t="str">
        <v>Y</v>
      </c>
      <c r="I155" s="8">
        <f>H155*F155</f>
        <v>0</v>
      </c>
      <c r="S155" t="str">
        <v>Y</v>
      </c>
    </row>
    <row r="156" ht="14.25" customHeight="1">
      <c r="A156">
        <f>A155+1</f>
        <v>109</v>
      </c>
      <c r="B156" t="str">
        <v>Furnish and install R-20 minimum 25 PSI extruded polystyrene insulation below grade, ref. 2/A6.1, 1/A6.2</v>
      </c>
      <c r="C156" t="str">
        <v>Y</v>
      </c>
      <c r="I156" s="8">
        <f>H156*F156</f>
        <v>0</v>
      </c>
      <c r="S156" t="str">
        <v>Y</v>
      </c>
    </row>
    <row r="157" ht="14.25" customHeight="1">
      <c r="A157">
        <f>A156+1</f>
        <v>110</v>
      </c>
      <c r="B157" t="str">
        <v>Refer to structural details for waterproofing, foundation CMU block and connection details</v>
      </c>
      <c r="C157" t="str">
        <v>Y</v>
      </c>
      <c r="I157" s="8">
        <f>H157*F157</f>
        <v>0</v>
      </c>
      <c r="S157" t="str">
        <v>Y</v>
      </c>
    </row>
    <row r="158" ht="14.25" customHeight="1">
      <c r="A158">
        <f>A157+1</f>
        <v>111</v>
      </c>
    </row>
    <row r="159" ht="14.25" customHeight="1">
      <c r="A159">
        <f>A158+1</f>
        <v>112</v>
      </c>
      <c r="B159" t="str">
        <v>STANDARD / GENERAL SCOPE</v>
      </c>
      <c r="C159" t="str">
        <v>Y</v>
      </c>
      <c r="I159" s="8">
        <f>H159*F159</f>
        <v>0</v>
      </c>
      <c r="J159" t="str">
        <v>Y</v>
      </c>
      <c r="S159" t="str">
        <v>Y</v>
      </c>
    </row>
    <row r="160" ht="14.25" customHeight="1">
      <c r="A160">
        <f>A159+1</f>
        <v>113</v>
      </c>
      <c r="B160" t="str">
        <v>Provide all material, tools, equipment, hoisting, supervision, etc for this work</v>
      </c>
      <c r="C160" t="str">
        <v>Y</v>
      </c>
      <c r="I160" s="8">
        <f>H160*F160</f>
        <v>0</v>
      </c>
      <c r="J160" t="str">
        <v>Y</v>
      </c>
      <c r="S160" t="str">
        <v>Y</v>
      </c>
    </row>
    <row r="161" ht="14.25" customHeight="1">
      <c r="A161">
        <f>A160+1</f>
        <v>114</v>
      </c>
      <c r="B161" t="str">
        <v>Advise if use of mason's scaffold will be required</v>
      </c>
      <c r="C161" t="str">
        <v>Y</v>
      </c>
      <c r="I161" s="8">
        <f>H161*F161</f>
        <v>0</v>
      </c>
      <c r="J161" t="str">
        <v>Y</v>
      </c>
      <c r="S161" t="str">
        <v>Y</v>
      </c>
    </row>
    <row r="162" ht="14.25" customHeight="1">
      <c r="A162">
        <f>A161+1</f>
        <v>115</v>
      </c>
      <c r="B162" t="str">
        <v>Accessories to include primers, mastics, adhesives, tapes, joint seals/gels, flashings, transitions strips, sealants, etc</v>
      </c>
      <c r="C162" t="str">
        <v>Y</v>
      </c>
      <c r="I162" s="8">
        <f>H162*F162</f>
        <v>0</v>
      </c>
      <c r="J162" t="str">
        <v>Y</v>
      </c>
      <c r="S162" t="str">
        <v>Y</v>
      </c>
    </row>
    <row r="163" ht="14.25" customHeight="1">
      <c r="A163">
        <f>A162+1</f>
        <v>116</v>
      </c>
      <c r="B163" t="str">
        <v>Minor surface prep, filler, dampening/rinsing as needed</v>
      </c>
      <c r="C163" t="str">
        <v>Y</v>
      </c>
      <c r="I163" s="8">
        <f>H163*F163</f>
        <v>0</v>
      </c>
      <c r="J163" t="str">
        <v>Y</v>
      </c>
      <c r="S163" t="str">
        <v>Y</v>
      </c>
    </row>
    <row r="164" ht="14.25" customHeight="1">
      <c r="A164">
        <f>A163+1</f>
        <v>117</v>
      </c>
      <c r="B164" t="str">
        <v>Term bars as req'd</v>
      </c>
      <c r="C164" t="str">
        <v>Y</v>
      </c>
      <c r="I164" s="8">
        <f>H164*F164</f>
        <v>0</v>
      </c>
      <c r="J164" t="str">
        <v>Y</v>
      </c>
      <c r="S164" t="str">
        <v>Y</v>
      </c>
    </row>
    <row r="165" ht="14.25" customHeight="1">
      <c r="A165">
        <f>A164+1</f>
        <v>118</v>
      </c>
      <c r="B165" t="str">
        <v>Flashing/sealing of penetrations</v>
      </c>
      <c r="C165" t="str">
        <v>Y</v>
      </c>
      <c r="I165" s="8">
        <f>H165*F165</f>
        <v>0</v>
      </c>
      <c r="J165" t="str">
        <v>Y</v>
      </c>
      <c r="S165" t="str">
        <v>Y</v>
      </c>
    </row>
    <row r="166" ht="14.25" customHeight="1">
      <c r="A166">
        <f>A165+1</f>
        <v>119</v>
      </c>
      <c r="B166" t="str">
        <v>Layout from GC control lines and benchmarks</v>
      </c>
      <c r="C166" t="str">
        <v>Y</v>
      </c>
      <c r="I166" s="8">
        <f>H166*F166</f>
        <v>0</v>
      </c>
      <c r="J166" t="str">
        <v>Y</v>
      </c>
      <c r="S166" t="str">
        <v>Y</v>
      </c>
    </row>
    <row r="167" ht="14.25" customHeight="1">
      <c r="A167">
        <f>A166+1</f>
        <v>120</v>
      </c>
      <c r="B167" t="str">
        <v>Clean up to MCN dumpster</v>
      </c>
      <c r="C167" t="str">
        <v>Y</v>
      </c>
      <c r="I167" s="8">
        <f>H167*F167</f>
        <v>0</v>
      </c>
      <c r="J167" t="str">
        <v>Y</v>
      </c>
      <c r="S167" t="str">
        <v>Y</v>
      </c>
    </row>
    <row r="168" ht="14.25" customHeight="1">
      <c r="A168">
        <f>A167+1</f>
        <v>121</v>
      </c>
      <c r="B168" t="str">
        <v>Shop dwgs, samples, product data, certs, etc</v>
      </c>
      <c r="C168" t="str">
        <v>Y</v>
      </c>
      <c r="I168" s="8">
        <f>H168*F168</f>
        <v>0</v>
      </c>
      <c r="J168" t="str">
        <v>Y</v>
      </c>
      <c r="S168" t="str">
        <v>Y</v>
      </c>
    </row>
    <row r="169" ht="14.25" customHeight="1">
      <c r="A169">
        <f>A168+1</f>
        <v>122</v>
      </c>
      <c r="C169" t="str">
        <v>Y</v>
      </c>
      <c r="I169" s="8">
        <f>H169*F169</f>
        <v>0</v>
      </c>
    </row>
    <row r="170" ht="14.25" customHeight="1">
      <c r="A170">
        <f>A169+1</f>
        <v>123</v>
      </c>
      <c r="B170" t="str">
        <v>Provide an add price for perimeter drain tile including gravel &amp; filter fabric</v>
      </c>
      <c r="C170" t="str">
        <v>Y</v>
      </c>
      <c r="I170" s="8">
        <f>H170*F170</f>
        <v>0</v>
      </c>
      <c r="S170" t="str">
        <v>Y</v>
      </c>
      <c r="T170" s="3">
        <v>43800</v>
      </c>
    </row>
    <row r="171" ht="14.25" customHeight="1">
      <c r="A171">
        <f>A170+1</f>
        <v>124</v>
      </c>
      <c r="B171" t="str">
        <v>Provide an add price for expansion joint assemblies</v>
      </c>
      <c r="C171" t="str">
        <v>Y</v>
      </c>
      <c r="I171" s="8">
        <f>H171*F171</f>
        <v>0</v>
      </c>
    </row>
    <row r="172" ht="14.25" customHeight="1">
      <c r="A172">
        <f>A171+1</f>
        <v>125</v>
      </c>
      <c r="C172" t="str">
        <v>Y</v>
      </c>
      <c r="I172" s="8">
        <f>H172*F172</f>
        <v>0</v>
      </c>
    </row>
    <row r="173" ht="14.25" customHeight="1">
      <c r="I173" s="8">
        <f>H173*F173</f>
        <v>0</v>
      </c>
    </row>
    <row r="174" ht="14.25" customHeight="1">
      <c r="A174" t="str">
        <v>C</v>
      </c>
      <c r="B174" t="str">
        <v>Exclusions</v>
      </c>
    </row>
    <row r="175" ht="14.25" customHeight="1">
      <c r="A175">
        <v>1</v>
      </c>
      <c r="B175" t="str">
        <v>Payment and Performance Bond</v>
      </c>
      <c r="C175" t="str">
        <v>N</v>
      </c>
    </row>
    <row r="176" ht="14.25" customHeight="1">
      <c r="A176">
        <f>A175+1</f>
        <v>2</v>
      </c>
      <c r="B176" t="str">
        <v xml:space="preserve">Sales Tax </v>
      </c>
      <c r="C176" t="str">
        <v>N</v>
      </c>
    </row>
    <row r="177" ht="14.25" customHeight="1">
      <c r="A177">
        <f>A176+1</f>
        <v>3</v>
      </c>
      <c r="B177" t="str">
        <v>Wood Blocking</v>
      </c>
      <c r="C177" t="str">
        <v>N</v>
      </c>
    </row>
    <row r="178" ht="14.25" customHeight="1">
      <c r="A178">
        <f>A177+1</f>
        <v>4</v>
      </c>
      <c r="B178" t="str">
        <v>Roofing (provide separate price if bidding this package)</v>
      </c>
      <c r="C178" t="str">
        <v>N</v>
      </c>
    </row>
    <row r="179" ht="14.25" customHeight="1">
      <c r="A179">
        <f>A178+1</f>
        <v>5</v>
      </c>
      <c r="B179" t="str">
        <v>Below slab vapor retarders</v>
      </c>
      <c r="C179" t="str">
        <v>N</v>
      </c>
    </row>
    <row r="180" ht="14.25" customHeight="1">
      <c r="A180">
        <f>A179+1</f>
        <v>6</v>
      </c>
      <c r="C180" t="str">
        <v>N</v>
      </c>
    </row>
    <row r="181" ht="14.25" customHeight="1">
      <c r="A181">
        <f>A180+1</f>
        <v>7</v>
      </c>
      <c r="C181" t="str">
        <v>N</v>
      </c>
    </row>
    <row r="182" ht="14.25" customHeight="1">
      <c r="A182">
        <f>A181+1</f>
        <v>8</v>
      </c>
      <c r="C182" t="str">
        <v>N</v>
      </c>
    </row>
    <row r="183" ht="14.25" customHeight="1"/>
    <row r="184" ht="14.25" customHeight="1">
      <c r="A184" t="str">
        <v>D</v>
      </c>
      <c r="B184" t="str">
        <v>Schedule</v>
      </c>
    </row>
    <row r="185" ht="14.25" customHeight="1">
      <c r="A185">
        <v>1</v>
      </c>
      <c r="B185" t="str">
        <v>Meet MCN Schedule</v>
      </c>
      <c r="C185" t="str">
        <v>Y</v>
      </c>
    </row>
    <row r="186" ht="14.25" customHeight="1">
      <c r="A186">
        <f>A185+1</f>
        <v>2</v>
      </c>
      <c r="B186" t="str">
        <v>Advise of Durations</v>
      </c>
    </row>
    <row r="187" ht="14.25" customHeight="1">
      <c r="A187">
        <f>A186+1</f>
        <v>3</v>
      </c>
      <c r="B187" t="str">
        <v>Activity 1</v>
      </c>
      <c r="C187" t="str">
        <v>---&gt;</v>
      </c>
    </row>
    <row r="188" ht="14.25" customHeight="1">
      <c r="A188">
        <f>A187+1</f>
        <v>4</v>
      </c>
      <c r="B188" t="str">
        <v>Activity 2</v>
      </c>
      <c r="C188" t="str">
        <v>---&gt;</v>
      </c>
    </row>
    <row r="189" ht="14.25" customHeight="1">
      <c r="A189">
        <f>A188+1</f>
        <v>5</v>
      </c>
      <c r="B189" t="str">
        <v>Activity 3</v>
      </c>
      <c r="C189" t="str">
        <v>---&gt;</v>
      </c>
    </row>
    <row r="190" ht="14.25" customHeight="1">
      <c r="A190">
        <f>A189+1</f>
        <v>6</v>
      </c>
      <c r="B190" t="str">
        <v>Duration for Submittals and Shop Drawings</v>
      </c>
      <c r="C190" t="str">
        <v>---&gt;</v>
      </c>
    </row>
    <row r="191" ht="14.25" customHeight="1">
      <c r="A191">
        <f>A190+1</f>
        <v>7</v>
      </c>
      <c r="B191" t="str">
        <v>Advise of Lead Times:</v>
      </c>
    </row>
    <row r="192" ht="14.25" customHeight="1">
      <c r="A192">
        <f>A191+1</f>
        <v>8</v>
      </c>
      <c r="B192" t="str">
        <v>Material 1</v>
      </c>
      <c r="C192" t="str">
        <v>---&gt;</v>
      </c>
    </row>
    <row r="193" ht="14.25" customHeight="1">
      <c r="A193">
        <f>A192+1</f>
        <v>9</v>
      </c>
      <c r="B193" t="str">
        <v>Material 2</v>
      </c>
      <c r="C193" t="str">
        <v>---&gt;</v>
      </c>
    </row>
    <row r="194" ht="14.25" customHeight="1">
      <c r="A194">
        <f>A193+1</f>
        <v>10</v>
      </c>
      <c r="B194" t="str">
        <v>Material 3</v>
      </c>
      <c r="C194" t="str">
        <v>---&gt;</v>
      </c>
    </row>
    <row r="195" ht="14.25" customHeight="1"/>
    <row r="196" ht="14.25" customHeight="1"/>
    <row r="197" ht="14.25" customHeight="1">
      <c r="B197" t="str">
        <v>Allowances</v>
      </c>
    </row>
    <row r="198" ht="14.25" customHeight="1">
      <c r="A198">
        <v>1</v>
      </c>
    </row>
    <row r="199" ht="14.25" customHeight="1">
      <c r="A199">
        <f>A198+1</f>
        <v>2</v>
      </c>
    </row>
    <row r="200" ht="14.25" customHeight="1">
      <c r="A200">
        <f>A199+1</f>
        <v>3</v>
      </c>
    </row>
    <row r="201" ht="14.25" customHeight="1">
      <c r="A201">
        <f>A200+1</f>
        <v>4</v>
      </c>
    </row>
    <row r="202" ht="14.25" customHeight="1"/>
    <row r="203" ht="14.25" customHeight="1"/>
    <row r="204" ht="14.25" customHeight="1">
      <c r="B204" t="str">
        <v>Alternates</v>
      </c>
    </row>
    <row r="205" ht="14.25" customHeight="1">
      <c r="A205">
        <v>1</v>
      </c>
      <c r="B205" t="str">
        <v>ALT 01: Provide Payment &amp; Performance Bond</v>
      </c>
      <c r="C205" t="str">
        <v>#</v>
      </c>
    </row>
    <row r="206" ht="14.25" customHeight="1">
      <c r="A206">
        <f>A205+1</f>
        <v>2</v>
      </c>
      <c r="B206" t="str">
        <v>ALT 02: Sales Tax</v>
      </c>
      <c r="C206" t="str">
        <v>#</v>
      </c>
    </row>
    <row r="207" ht="14.25" customHeight="1">
      <c r="A207">
        <f>A206+1</f>
        <v>3</v>
      </c>
      <c r="B207" t="str">
        <v>ALT 03: Drain Tile ADD/ALT</v>
      </c>
      <c r="C207" t="str">
        <v>#</v>
      </c>
      <c r="U207" s="8">
        <v>43800</v>
      </c>
    </row>
    <row r="208" ht="14.25" customHeight="1">
      <c r="A208">
        <f>A207+1</f>
        <v>4</v>
      </c>
      <c r="B208" t="str">
        <v>ALT 04: Sheet applied WP and Drain Tile at Site Retaining Wall (S301/5 &amp; L3.1/5)</v>
      </c>
      <c r="C208" t="str">
        <v>#</v>
      </c>
      <c r="U208" s="8">
        <v>53206</v>
      </c>
    </row>
    <row r="209" ht="14.25" customHeight="1">
      <c r="A209">
        <f>A208+1</f>
        <v>5</v>
      </c>
      <c r="B209" t="str">
        <v>ALT 05: Sheet applied WP and Drain Tile at Ext. Bio Retention Wall (L1.6 &amp; S601/B)</v>
      </c>
      <c r="C209" t="str">
        <v>#</v>
      </c>
      <c r="U209" s="8">
        <v>24420</v>
      </c>
    </row>
    <row r="210" ht="14.25" customHeight="1">
      <c r="B210" t="str">
        <v>Unit Prices</v>
      </c>
    </row>
    <row r="211" ht="14.25" customHeight="1">
      <c r="A211">
        <v>1</v>
      </c>
      <c r="C211" t="str">
        <v>#</v>
      </c>
    </row>
    <row r="212" ht="14.25" customHeight="1">
      <c r="A212">
        <f>A211+1</f>
        <v>2</v>
      </c>
      <c r="C212" t="str">
        <v>#</v>
      </c>
    </row>
    <row r="213" ht="14.25" customHeight="1">
      <c r="A213">
        <f>A212+1</f>
        <v>3</v>
      </c>
      <c r="C213" t="str">
        <v>#</v>
      </c>
    </row>
    <row r="214" ht="14.25" customHeight="1">
      <c r="A214">
        <f>A213+1</f>
        <v>4</v>
      </c>
      <c r="C214" t="str">
        <v>#</v>
      </c>
    </row>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T3" r:id="rId4"/>
  </hyperlinks>
  <pageMargins left="0.7" right="0.7" top="0.25" bottom="0.75" header="0" footer="0"/>
  <ignoredErrors>
    <ignoredError numberStoredAsText="1" sqref="A1:AO1000"/>
  </ignoredErrors>
</worksheet>
</file>

<file path=xl/worksheets/sheet1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RK International</v>
      </c>
      <c r="N1" t="str">
        <v>Chu</v>
      </c>
      <c r="Q1" t="str">
        <v>Prestige</v>
      </c>
      <c r="T1" t="str">
        <v>Innovo</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Rawad El Khawand</v>
      </c>
      <c r="N2" t="str">
        <v>Sean Kim</v>
      </c>
      <c r="Q2" t="str">
        <v>Dave Cotter</v>
      </c>
      <c r="T2" t="str">
        <v>Name</v>
      </c>
      <c r="W2" t="str">
        <v>Name</v>
      </c>
      <c r="Z2" t="str">
        <v>Name</v>
      </c>
      <c r="AC2" t="str">
        <v>Name</v>
      </c>
      <c r="AH2" t="str">
        <v>MCN</v>
      </c>
      <c r="AM2" s="8">
        <f>I9</f>
        <v>0</v>
      </c>
    </row>
    <row r="3" ht="14.25" customHeight="1" outlineLevel="1">
      <c r="I3" t="str">
        <v>Email:</v>
      </c>
      <c r="K3" t="str">
        <v>rawad@rkinternational.com</v>
      </c>
      <c r="N3" t="str">
        <v>seankim@chucontracting.com</v>
      </c>
      <c r="Q3" t="str">
        <v>david@prestigefacades.com</v>
      </c>
      <c r="T3" t="str">
        <v>Email</v>
      </c>
      <c r="W3" t="str">
        <v>Email</v>
      </c>
      <c r="Z3" t="str">
        <v>Email</v>
      </c>
      <c r="AC3" t="str">
        <v>Email</v>
      </c>
      <c r="AH3">
        <v>1</v>
      </c>
      <c r="AI3" t="str">
        <f>IFNA(INDEX($K$1:$AE$1,1,MATCH($AH3,$K$10:$AE$10,0)),"")</f>
        <v>RK International</v>
      </c>
      <c r="AJ3" s="3" t="str">
        <f t="array" ref="AJ3">IFNA(INDEX($K$6:$AE$6,1,MATCH($AH3,$K$10:$AE$10,0)+1),"")</f>
        <v/>
      </c>
      <c r="AK3" s="3">
        <f t="array" ref="AK3">IFNA(INDEX($K$7:$AE$7,1,MATCH($AH3,$K$10:$AE$10,0)+1),"")</f>
        <v>181840</v>
      </c>
      <c r="AL3" s="3">
        <f t="array" ref="AL3">IFNA(INDEX($K$8:$AE$8,1,MATCH($AH3,$K$10:$AE$10,0)+1),"")</f>
        <v>3636.8</v>
      </c>
      <c r="AM3" s="3">
        <f t="array" ref="AM3">IFNA(INDEX($K$9:$AE$9,1,MATCH($AH3,$K$10:$AE$10,0)+1),"")</f>
        <v>185476.8</v>
      </c>
      <c r="AO3" s="9">
        <f>IFERROR(AN3*AM3,0)</f>
        <v>0</v>
      </c>
    </row>
    <row r="4" ht="14.25" customHeight="1" outlineLevel="1">
      <c r="A4" t="str">
        <v>Trade:</v>
      </c>
      <c r="B4" t="str">
        <v>07 - METAL PANELS</v>
      </c>
      <c r="I4" t="str">
        <v>Phone:</v>
      </c>
      <c r="K4" t="str">
        <v>703-810-9193</v>
      </c>
      <c r="N4" t="str">
        <v>Number</v>
      </c>
      <c r="Q4" t="str">
        <v>919-616-0371</v>
      </c>
      <c r="T4" t="str">
        <v>Number</v>
      </c>
      <c r="W4" t="str">
        <v>Number</v>
      </c>
      <c r="Z4" t="str">
        <v>Number</v>
      </c>
      <c r="AC4" t="str">
        <v>Number</v>
      </c>
      <c r="AH4">
        <v>2</v>
      </c>
      <c r="AI4" t="str">
        <f>IFNA(INDEX($K$1:$AE$1,1,MATCH($AH4,$K$10:$AE$10,0)),"")</f>
        <v>Chu</v>
      </c>
      <c r="AJ4" s="3" t="str">
        <f t="array" ref="AJ4">IFNA(INDEX($K$6:$AE$6,1,MATCH($AH4,$K$10:$AE$10,0)+1),"")</f>
        <v/>
      </c>
      <c r="AK4" s="3">
        <f t="array" ref="AK4">IFNA(INDEX($K$7:$AE$7,1,MATCH($AH4,$K$10:$AE$10,0)+1),"")</f>
        <v>190200</v>
      </c>
      <c r="AL4" s="3">
        <f t="array" ref="AL4">IFNA(INDEX($K$8:$AE$8,1,MATCH($AH4,$K$10:$AE$10,0)+1),"")</f>
        <v>3804</v>
      </c>
      <c r="AM4" s="3">
        <f t="array" ref="AM4">IFNA(INDEX($K$9:$AE$9,1,MATCH($AH4,$K$10:$AE$10,0)+1),"")</f>
        <v>194004</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FULL SCOPE</v>
      </c>
      <c r="W5" t="str">
        <v>Level Scope?</v>
      </c>
      <c r="X5" s="4" t="str">
        <v>NO</v>
      </c>
      <c r="Z5" t="str">
        <v>Level Scope?</v>
      </c>
      <c r="AA5" s="4" t="str">
        <v>NO</v>
      </c>
      <c r="AC5" t="str">
        <v>Level Scope?</v>
      </c>
      <c r="AD5" s="4" t="str">
        <v>NO</v>
      </c>
      <c r="AH5">
        <v>3</v>
      </c>
      <c r="AI5" t="str">
        <f>IFNA(INDEX($K$1:$AE$1,1,MATCH($AH5,$K$10:$AE$10,0)),"")</f>
        <v>Prestige</v>
      </c>
      <c r="AJ5" s="3" t="str">
        <f t="array" ref="AJ5">IFNA(INDEX($K$6:$AE$6,1,MATCH($AH5,$K$10:$AE$10,0)+1),"")</f>
        <v/>
      </c>
      <c r="AK5" s="3">
        <f t="array" ref="AK5">IFNA(INDEX($K$7:$AE$7,1,MATCH($AH5,$K$10:$AE$10,0)+1),"")</f>
        <v>279130</v>
      </c>
      <c r="AL5" s="3">
        <f t="array" ref="AL5">IFNA(INDEX($K$8:$AE$8,1,MATCH($AH5,$K$10:$AE$10,0)+1),"")</f>
        <v>6978.25</v>
      </c>
      <c r="AM5" s="3">
        <f t="array" ref="AM5">IFNA(INDEX($K$9:$AE$9,1,MATCH($AH5,$K$10:$AE$10,0)+1),"")</f>
        <v>286108.25</v>
      </c>
      <c r="AO5" s="9">
        <f>IFERROR(AN5*AM5,0)</f>
        <v>0</v>
      </c>
    </row>
    <row r="6" ht="14.25" customHeight="1" outlineLevel="1">
      <c r="K6" t="str">
        <v>Base Bid:</v>
      </c>
      <c r="N6" t="str">
        <v>Base Bid:</v>
      </c>
      <c r="Q6" t="str">
        <v>Base Bid:</v>
      </c>
      <c r="T6" t="str">
        <v>Base Bid:</v>
      </c>
      <c r="U6" s="4">
        <v>298209</v>
      </c>
      <c r="W6" t="str">
        <v>Base Bid:</v>
      </c>
      <c r="Z6" t="str">
        <v>Base Bid:</v>
      </c>
      <c r="AC6" t="str">
        <v>Base Bid:</v>
      </c>
      <c r="AH6">
        <v>4</v>
      </c>
      <c r="AI6" t="str">
        <f>IFNA(INDEX($K$1:$AE$1,1,MATCH($AH6,$K$10:$AE$10,0)),"")</f>
        <v>Innovo</v>
      </c>
      <c r="AJ6" s="3">
        <f t="array" ref="AJ6">IFNA(INDEX($K$6:$AE$6,1,MATCH($AH6,$K$10:$AE$10,0)+1),"")</f>
        <v>298209</v>
      </c>
      <c r="AK6" s="3">
        <f t="array" ref="AK6">IFNA(INDEX($K$7:$AE$7,1,MATCH($AH6,$K$10:$AE$10,0)+1),"")</f>
        <v>0</v>
      </c>
      <c r="AL6" s="3">
        <f t="array" ref="AL6">IFNA(INDEX($K$8:$AE$8,1,MATCH($AH6,$K$10:$AE$10,0)+1),"")</f>
        <v>5964.18</v>
      </c>
      <c r="AM6" s="3">
        <f t="array" ref="AM6">IFNA(INDEX($K$9:$AE$9,1,MATCH($AH6,$K$10:$AE$10,0)+1),"")</f>
        <v>304173.18</v>
      </c>
      <c r="AO6" s="9">
        <f>IFERROR(AN6*AM6,0)</f>
        <v>0</v>
      </c>
    </row>
    <row r="7" ht="14.25" customHeight="1" outlineLevel="1">
      <c r="A7" t="str">
        <v>Contact:</v>
      </c>
      <c r="B7" t="str">
        <v>MCN Estimator Name</v>
      </c>
      <c r="C7" t="str">
        <v>Contact:</v>
      </c>
      <c r="G7" s="8" t="str">
        <v>| MCN Budget</v>
      </c>
      <c r="I7" s="8">
        <f>SUM(I20:I144,I13:I18)</f>
        <v>0</v>
      </c>
      <c r="K7" t="str">
        <v>Adjustments:</v>
      </c>
      <c r="L7" s="4">
        <f>SUM(L13:L18,L20:L144)</f>
        <v>181840</v>
      </c>
      <c r="N7" t="str">
        <v>Adjustments:</v>
      </c>
      <c r="O7" s="4">
        <f>SUM(O13:O18,O20:O144)</f>
        <v>190200</v>
      </c>
      <c r="Q7" t="str">
        <v>Adjustments:</v>
      </c>
      <c r="R7" s="4">
        <f>SUM(R13:R18,R20:R144)</f>
        <v>279130</v>
      </c>
      <c r="T7" t="str">
        <v>Adjustments:</v>
      </c>
      <c r="U7" s="4">
        <f>SUM(U13:U18,U20:U144)</f>
        <v>0</v>
      </c>
      <c r="W7" t="str">
        <v>Adjustments:</v>
      </c>
      <c r="X7" s="4">
        <f>SUM(X13:X18,X20:X144)</f>
        <v>0</v>
      </c>
      <c r="Z7" t="str">
        <v>Adjustments:</v>
      </c>
      <c r="AA7" s="4">
        <f>SUM(AA13:AA18,AA20:AA144)</f>
        <v>0</v>
      </c>
      <c r="AC7" t="str">
        <v>Adjustments:</v>
      </c>
      <c r="AD7" s="4">
        <f>SUM(AD13:AD18,AD20:AD144)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3636.8</v>
      </c>
      <c r="M8" s="10">
        <v>0.02</v>
      </c>
      <c r="N8" t="str">
        <v>Bond:</v>
      </c>
      <c r="O8" s="4">
        <f>M8*SUM(O6:O7)</f>
        <v>3804</v>
      </c>
      <c r="P8" s="10">
        <v>0.025</v>
      </c>
      <c r="Q8" t="str">
        <v>Bond:</v>
      </c>
      <c r="R8" s="4">
        <f>P8*SUM(R6:R7)</f>
        <v>6978.25</v>
      </c>
      <c r="S8" s="10">
        <v>0.02</v>
      </c>
      <c r="T8" t="str">
        <v>Bond:</v>
      </c>
      <c r="U8" s="4">
        <f>S8*SUM(U6:U7)</f>
        <v>5964.18</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f>IF(L5="FULL SCOPE",SUM(L6:L8),"not level")</f>
        <v>185476.8</v>
      </c>
      <c r="N9" t="str">
        <v>Total Bid:</v>
      </c>
      <c r="O9" s="4">
        <f>IF(O5="FULL SCOPE",SUM(O6:O8),"not level")</f>
        <v>194004</v>
      </c>
      <c r="Q9" t="str">
        <v>Total Bid:</v>
      </c>
      <c r="R9" s="4">
        <f>IF(R5="FULL SCOPE",SUM(R6:R8),"not level")</f>
        <v>286108.25</v>
      </c>
      <c r="T9" t="str">
        <v>Total Bid:</v>
      </c>
      <c r="U9" s="4">
        <f>IF(U5="FULL SCOPE",SUM(U6:U8),"not level")</f>
        <v>304173.18</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f>IF(R5="NO","INCOMPLETE",RANK.EQ(R9,$L$9:$AE$9,1))</f>
        <v>3</v>
      </c>
      <c r="T10">
        <f>IF(U5="NO","INCOMPLETE",RANK.EQ(U9,$L$9:$AE$9,1))</f>
        <v>4</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f>U6</f>
        <v>298209</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Flat Lock Metal Panel System</v>
      </c>
      <c r="C22" t="str">
        <v>#</v>
      </c>
      <c r="D22" t="str">
        <v>$</v>
      </c>
      <c r="I22" s="8">
        <f>H22*F22</f>
        <v>0</v>
      </c>
      <c r="L22" s="8">
        <v>106840</v>
      </c>
      <c r="O22" s="8">
        <v>152900</v>
      </c>
      <c r="R22" s="8">
        <v>181820</v>
      </c>
      <c r="U22" s="8" t="str">
        <v>INCL</v>
      </c>
    </row>
    <row r="23" ht="14.25" customHeight="1">
      <c r="A23">
        <f>A22+1</f>
        <v>5</v>
      </c>
      <c r="B23" t="str">
        <v>Formed Metal Wall Panels</v>
      </c>
      <c r="C23" t="str">
        <v>#</v>
      </c>
      <c r="D23" t="str">
        <v>$</v>
      </c>
      <c r="I23" s="8">
        <f>H23*F23</f>
        <v>0</v>
      </c>
    </row>
    <row r="24" ht="14.25" customHeight="1">
      <c r="A24">
        <f>A23+1</f>
        <v>6</v>
      </c>
      <c r="B24" t="str">
        <v>Exterior Metal Soffits</v>
      </c>
      <c r="C24" t="str">
        <v>#</v>
      </c>
      <c r="D24" t="str">
        <v>$</v>
      </c>
      <c r="I24" s="8">
        <f>H24*F24</f>
        <v>0</v>
      </c>
      <c r="L24" s="8" t="str">
        <v>EXCL</v>
      </c>
      <c r="O24" s="8">
        <v>37300</v>
      </c>
      <c r="R24" s="8">
        <v>69940</v>
      </c>
      <c r="U24" s="8" t="str">
        <v>INCL</v>
      </c>
    </row>
    <row r="25" ht="14.25" customHeight="1">
      <c r="A25">
        <f>A24+1</f>
        <v>7</v>
      </c>
      <c r="B25" t="str">
        <v>Rigid Insulation at Panel Systems</v>
      </c>
      <c r="C25" t="str">
        <v>#</v>
      </c>
      <c r="D25" t="str">
        <v>$</v>
      </c>
      <c r="I25" s="8">
        <f>H25*F25</f>
        <v>0</v>
      </c>
      <c r="O25" s="8" t="str">
        <v>INCL</v>
      </c>
      <c r="R25" s="8">
        <v>27370</v>
      </c>
      <c r="U25" s="8" t="str">
        <v>INCL</v>
      </c>
    </row>
    <row r="26" ht="14.25" customHeight="1">
      <c r="A26">
        <f>A25+1</f>
        <v>8</v>
      </c>
      <c r="I26" s="8">
        <f>H26*F26</f>
        <v>0</v>
      </c>
    </row>
    <row r="27" ht="14.25" customHeight="1">
      <c r="A27">
        <f>A26+1</f>
        <v>9</v>
      </c>
      <c r="B27" t="str">
        <v>Key Quantity Breakdown</v>
      </c>
      <c r="I27" s="8">
        <f>H27*F27</f>
        <v>0</v>
      </c>
    </row>
    <row r="28" ht="14.25" customHeight="1">
      <c r="A28">
        <f>A27+1</f>
        <v>10</v>
      </c>
      <c r="B28" t="str">
        <v>Flat Lock Metal Panel System</v>
      </c>
      <c r="C28" t="str">
        <v>#</v>
      </c>
      <c r="D28" t="str">
        <v>SF</v>
      </c>
      <c r="I28" s="8">
        <f>H28*F28</f>
        <v>0</v>
      </c>
      <c r="Q28" s="15">
        <v>780</v>
      </c>
    </row>
    <row r="29" ht="14.25" customHeight="1">
      <c r="A29">
        <f>A28+1</f>
        <v>11</v>
      </c>
      <c r="B29" t="str">
        <v>Formed Metal Wall Panels</v>
      </c>
      <c r="C29" t="str">
        <v>#</v>
      </c>
      <c r="D29" t="str">
        <v>SF</v>
      </c>
      <c r="I29" s="8">
        <f>H29*F29</f>
        <v>0</v>
      </c>
    </row>
    <row r="30" ht="14.25" customHeight="1">
      <c r="A30">
        <f>A29+1</f>
        <v>12</v>
      </c>
      <c r="B30" t="str">
        <v>Exterior Metal Soffits</v>
      </c>
      <c r="C30" t="str">
        <v>#</v>
      </c>
      <c r="D30" t="str">
        <v>SF</v>
      </c>
      <c r="I30" s="8">
        <f>H30*F30</f>
        <v>0</v>
      </c>
      <c r="Q30" s="15">
        <v>416</v>
      </c>
    </row>
    <row r="31" ht="14.25" customHeight="1">
      <c r="A31">
        <f>A30+1</f>
        <v>13</v>
      </c>
      <c r="B31" t="str">
        <v>Rigid Insulation at Panel Systems</v>
      </c>
      <c r="C31" t="str">
        <v>#</v>
      </c>
      <c r="D31" t="str">
        <v>SF</v>
      </c>
      <c r="I31" s="8">
        <f>H31*F31</f>
        <v>0</v>
      </c>
      <c r="Q31" s="15">
        <v>460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c r="M36" t="str">
        <v>Y</v>
      </c>
      <c r="P36" t="str">
        <v>Y</v>
      </c>
    </row>
    <row r="37" ht="14.25" customHeight="1">
      <c r="B37" t="str">
        <v>Division 01 - General Requirements</v>
      </c>
      <c r="C37" t="str">
        <v>Y</v>
      </c>
      <c r="M37" t="str">
        <v>Y</v>
      </c>
      <c r="P37" t="str">
        <v>Y</v>
      </c>
    </row>
    <row r="38" ht="14.25" customHeight="1">
      <c r="B38" t="str">
        <v>072100 - Thermal Insulation</v>
      </c>
      <c r="C38" t="str">
        <v>Y</v>
      </c>
      <c r="M38" t="str">
        <v>Y</v>
      </c>
      <c r="P38" t="str">
        <v>Y</v>
      </c>
    </row>
    <row r="39" ht="14.25" customHeight="1">
      <c r="B39" t="str">
        <v>074213.13 - Formed Metal Wall Panels</v>
      </c>
      <c r="C39" t="str">
        <v>N/A</v>
      </c>
      <c r="M39" t="str">
        <v>N/A</v>
      </c>
      <c r="P39" t="str">
        <v>N/A</v>
      </c>
    </row>
    <row r="40" ht="14.25" customHeight="1">
      <c r="B40" t="str">
        <v>074293 - Soffit Panels</v>
      </c>
      <c r="C40" t="str">
        <v>Y</v>
      </c>
      <c r="M40" t="str">
        <v>Y</v>
      </c>
      <c r="P40" t="str">
        <v>Y</v>
      </c>
    </row>
    <row r="41" ht="14.25" customHeight="1">
      <c r="B41" t="str">
        <v>076200 - Sheet Metal Flashing and Trim</v>
      </c>
      <c r="C41" t="str">
        <v>Y</v>
      </c>
      <c r="M41" t="str">
        <v>Y</v>
      </c>
      <c r="P41" t="str">
        <v>Y</v>
      </c>
    </row>
    <row r="42" ht="14.25" customHeight="1">
      <c r="B42" t="str">
        <v>076419 - Flat Lock Metal Panel System</v>
      </c>
      <c r="C42" t="str">
        <v>Y</v>
      </c>
      <c r="M42" t="str">
        <v>Y</v>
      </c>
      <c r="P42" t="str">
        <v>Y</v>
      </c>
    </row>
    <row r="43" ht="14.25" customHeight="1">
      <c r="B43" t="str">
        <v>078413 - Penetration Firestopping</v>
      </c>
      <c r="C43" t="str">
        <v>Y</v>
      </c>
      <c r="M43" t="str">
        <v>N</v>
      </c>
      <c r="N43" t="str">
        <v>NO/OK</v>
      </c>
      <c r="P43" t="str">
        <v>N</v>
      </c>
      <c r="Q43" t="str">
        <v>NO/OK</v>
      </c>
    </row>
    <row r="44" ht="14.25" customHeight="1">
      <c r="B44" t="str">
        <v>078443 - Joint Firestopping</v>
      </c>
      <c r="C44" t="str">
        <v>Y</v>
      </c>
      <c r="M44" t="str">
        <v>N</v>
      </c>
      <c r="N44" t="str">
        <v>NO/OK</v>
      </c>
      <c r="P44" t="str">
        <v>N</v>
      </c>
      <c r="Q44" t="str">
        <v>NO/OK</v>
      </c>
    </row>
    <row r="45" ht="14.25" customHeight="1">
      <c r="B45" t="str">
        <v>079200 - Joint Sealants</v>
      </c>
      <c r="C45" t="str">
        <v>Y</v>
      </c>
      <c r="M45" t="str">
        <v>Y</v>
      </c>
      <c r="P45" t="str">
        <v>Y</v>
      </c>
    </row>
    <row r="46" ht="14.25" customHeight="1">
      <c r="B46" t="str">
        <v>Geotech Report ID # by Engineer dated YYYY-MM-DD</v>
      </c>
      <c r="C46" t="str">
        <v>Y</v>
      </c>
      <c r="M46" t="str">
        <v>Y</v>
      </c>
      <c r="P46" t="str">
        <v>Y</v>
      </c>
    </row>
    <row r="47" ht="14.25" customHeight="1">
      <c r="A47" t="str">
        <v>B</v>
      </c>
      <c r="B47" t="str">
        <v>Inclusions</v>
      </c>
    </row>
    <row r="48" ht="14.25" customHeight="1">
      <c r="A48">
        <v>1</v>
      </c>
      <c r="B48" t="str">
        <v>SPECIFIC SCOPE ITEMS</v>
      </c>
      <c r="C48" t="str">
        <v>Y</v>
      </c>
      <c r="I48" s="8">
        <f>H48*F48</f>
        <v>0</v>
      </c>
      <c r="M48" t="str">
        <v>Y</v>
      </c>
      <c r="P48" t="str">
        <v>Y</v>
      </c>
    </row>
    <row r="49" ht="14.25" customHeight="1">
      <c r="A49">
        <f>A48+1</f>
        <v>2</v>
      </c>
      <c r="B49" t="str">
        <v>Flat Lock Metal Panel System</v>
      </c>
      <c r="C49" t="str">
        <v>Y</v>
      </c>
      <c r="I49" s="8">
        <f>H49*F49</f>
        <v>0</v>
      </c>
      <c r="J49" t="str">
        <v>Y</v>
      </c>
      <c r="M49" t="str">
        <v>Y</v>
      </c>
      <c r="P49" t="str">
        <v>Y</v>
      </c>
    </row>
    <row r="50" ht="14.25" customHeight="1">
      <c r="A50">
        <f>A49+1</f>
        <v>3</v>
      </c>
      <c r="B50" t="str">
        <v>Light gauge wall panel system. Ref. 1 &amp; 4/A6..</v>
      </c>
      <c r="C50" t="str">
        <v>Y</v>
      </c>
      <c r="I50" s="8">
        <f>H50*F50</f>
        <v>0</v>
      </c>
      <c r="J50" t="str">
        <v>Y</v>
      </c>
      <c r="M50" t="str">
        <v>Y</v>
      </c>
      <c r="P50" t="str">
        <v>Y</v>
      </c>
    </row>
    <row r="51" ht="14.25" customHeight="1">
      <c r="A51">
        <f>A50+1</f>
        <v>4</v>
      </c>
      <c r="B51" t="str">
        <v>Copper cladding</v>
      </c>
      <c r="C51" t="str">
        <v>Y</v>
      </c>
      <c r="I51" s="8">
        <f>H51*F51</f>
        <v>0</v>
      </c>
      <c r="J51" t="str">
        <v>Y</v>
      </c>
      <c r="M51" t="str">
        <v>Y</v>
      </c>
      <c r="P51" t="str">
        <v>Y</v>
      </c>
    </row>
    <row r="52" ht="14.25" customHeight="1">
      <c r="A52">
        <f>A51+1</f>
        <v>5</v>
      </c>
      <c r="B52" t="str">
        <v>2" thick (R-8 min.) semi-rigid mineral fiber continuous insulation</v>
      </c>
      <c r="C52" t="str">
        <v>Y</v>
      </c>
      <c r="I52" s="8">
        <f>H52*F52</f>
        <v>0</v>
      </c>
      <c r="J52" t="str">
        <v>N</v>
      </c>
      <c r="M52" t="str">
        <v>Y</v>
      </c>
      <c r="P52" t="str">
        <v>Y</v>
      </c>
    </row>
    <row r="53" ht="14.25" customHeight="1">
      <c r="A53">
        <f>A52+1</f>
        <v>6</v>
      </c>
      <c r="B53" t="str">
        <v>Waterproofing membrane [provide add/alt]</v>
      </c>
      <c r="C53" t="str">
        <v>Y</v>
      </c>
      <c r="D53" t="str">
        <v>PROVIDE ADD/ALT</v>
      </c>
      <c r="I53" s="8">
        <f>H53*F53</f>
        <v>0</v>
      </c>
      <c r="J53" t="str">
        <v>N</v>
      </c>
      <c r="M53" t="str">
        <v>Y</v>
      </c>
      <c r="P53" t="str">
        <v>Y</v>
      </c>
    </row>
    <row r="54" ht="14.25" customHeight="1">
      <c r="A54">
        <f>A53+1</f>
        <v>7</v>
      </c>
      <c r="B54" t="str">
        <v>B.O.D. Americlad AC-5500 "No Clip" Flat-Lock Panel System or approve equal</v>
      </c>
      <c r="C54" t="str">
        <v>Y</v>
      </c>
      <c r="I54" s="8">
        <f>H54*F54</f>
        <v>0</v>
      </c>
      <c r="J54" t="str">
        <v>Y</v>
      </c>
      <c r="M54" t="str">
        <v>Y</v>
      </c>
      <c r="P54" t="str">
        <v>Y</v>
      </c>
      <c r="Q54" t="str">
        <v>Alt man.</v>
      </c>
    </row>
    <row r="55" ht="14.25" customHeight="1">
      <c r="A55">
        <f>A54+1</f>
        <v>8</v>
      </c>
      <c r="B55" t="str">
        <v>Longitudinal flat seam with clip integrated directly in panel system</v>
      </c>
      <c r="C55" t="str">
        <v>Y</v>
      </c>
      <c r="I55" s="8">
        <f>H55*F55</f>
        <v>0</v>
      </c>
      <c r="J55" t="str">
        <v>Y</v>
      </c>
      <c r="M55" t="str">
        <v>Y</v>
      </c>
      <c r="P55" t="str">
        <v>Y</v>
      </c>
    </row>
    <row r="56" ht="14.25" customHeight="1">
      <c r="A56">
        <f>A55+1</f>
        <v>9</v>
      </c>
      <c r="B56" t="str">
        <v>Copper sheet - 16 oz./sq. ft.</v>
      </c>
      <c r="C56" t="str">
        <v>Y</v>
      </c>
      <c r="I56" s="8">
        <f>H56*F56</f>
        <v>0</v>
      </c>
      <c r="J56" t="str">
        <v>Y</v>
      </c>
      <c r="M56" t="str">
        <v>Y</v>
      </c>
      <c r="P56" t="str">
        <v>Y</v>
      </c>
    </row>
    <row r="57" ht="14.25" customHeight="1">
      <c r="A57">
        <f>A56+1</f>
        <v>10</v>
      </c>
      <c r="B57" t="str">
        <v>Nonpatinated mill finish</v>
      </c>
      <c r="C57" t="str">
        <v>Y</v>
      </c>
      <c r="I57" s="8">
        <f>H57*F57</f>
        <v>0</v>
      </c>
      <c r="J57" t="str">
        <v>Y</v>
      </c>
      <c r="M57" t="str">
        <v>Y</v>
      </c>
      <c r="P57" t="str">
        <v>Y</v>
      </c>
    </row>
    <row r="58" ht="14.25" customHeight="1">
      <c r="A58">
        <f>A57+1</f>
        <v>11</v>
      </c>
      <c r="B58" t="str">
        <v>Include all materials and accessories to include, but not limited to, flashing, trim, and panel fasteners</v>
      </c>
      <c r="C58" t="str">
        <v>Y</v>
      </c>
      <c r="I58" s="8">
        <f>H58*F58</f>
        <v>0</v>
      </c>
      <c r="J58" t="str">
        <v>Y</v>
      </c>
      <c r="M58" t="str">
        <v>Y</v>
      </c>
      <c r="P58" t="str">
        <v>Y</v>
      </c>
    </row>
    <row r="59" ht="14.25" customHeight="1">
      <c r="A59">
        <f>A58+1</f>
        <v>12</v>
      </c>
      <c r="B59" t="str">
        <v>Include all insulation for a complete assembly</v>
      </c>
      <c r="C59" t="str">
        <v>Y</v>
      </c>
      <c r="I59" s="8">
        <f>H59*F59</f>
        <v>0</v>
      </c>
      <c r="J59" t="str">
        <v>Y</v>
      </c>
      <c r="M59" t="str">
        <v>Y</v>
      </c>
      <c r="P59" t="str">
        <v>Y</v>
      </c>
    </row>
    <row r="60" ht="14.25" customHeight="1">
      <c r="A60">
        <f>A59+1</f>
        <v>13</v>
      </c>
    </row>
    <row r="61" ht="14.25" customHeight="1">
      <c r="A61">
        <f>A60+1</f>
        <v>14</v>
      </c>
      <c r="B61" t="str">
        <v>Formed Metal Wall Panels</v>
      </c>
      <c r="C61" t="str">
        <v>N/A</v>
      </c>
      <c r="I61" s="8">
        <f>H61*F61</f>
        <v>0</v>
      </c>
      <c r="J61" t="str">
        <v>N/A</v>
      </c>
      <c r="M61" t="str">
        <v>N/A</v>
      </c>
      <c r="P61" t="str">
        <v>N/A</v>
      </c>
    </row>
    <row r="62" ht="14.25" customHeight="1">
      <c r="A62">
        <f>A61+1</f>
        <v>15</v>
      </c>
      <c r="B62" t="str">
        <v>Exposed-Fastener Lap-Seam Wall Panels at mechanical roof</v>
      </c>
      <c r="C62" t="str">
        <v>N/A</v>
      </c>
      <c r="I62" s="8">
        <f>H62*F62</f>
        <v>0</v>
      </c>
      <c r="J62" t="str">
        <v>N/A</v>
      </c>
      <c r="M62" t="str">
        <v>N/A</v>
      </c>
      <c r="P62" t="str">
        <v>N/A</v>
      </c>
    </row>
    <row r="63" ht="14.25" customHeight="1">
      <c r="A63">
        <f>A62+1</f>
        <v>16</v>
      </c>
      <c r="B63" t="str">
        <v>Ribbed-profile exposed-fastener perforated metal wall panels</v>
      </c>
      <c r="C63" t="str">
        <v>N/A</v>
      </c>
      <c r="I63" s="8">
        <f>H63*F63</f>
        <v>0</v>
      </c>
      <c r="J63" t="str">
        <v>N/A</v>
      </c>
      <c r="M63" t="str">
        <v>N/A</v>
      </c>
      <c r="P63" t="str">
        <v>N/A</v>
      </c>
    </row>
    <row r="64" ht="14.25" customHeight="1">
      <c r="A64">
        <f>A63+1</f>
        <v>17</v>
      </c>
      <c r="B64" t="str">
        <v>B.O.D. Metl Span; Ecoscreen BR5-36 or approved equal per specifications</v>
      </c>
      <c r="C64" t="str">
        <v>N/A</v>
      </c>
      <c r="I64" s="8">
        <f>H64*F64</f>
        <v>0</v>
      </c>
      <c r="J64" t="str">
        <v>N/A</v>
      </c>
      <c r="M64" t="str">
        <v>N/A</v>
      </c>
      <c r="P64" t="str">
        <v>N/A</v>
      </c>
    </row>
    <row r="65" ht="14.25" customHeight="1">
      <c r="A65">
        <f>A64+1</f>
        <v>18</v>
      </c>
      <c r="B65" t="str">
        <v>Coil-coated aluminum sheet</v>
      </c>
      <c r="C65" t="str">
        <v>N/A</v>
      </c>
      <c r="I65" s="8">
        <f>H65*F65</f>
        <v>0</v>
      </c>
      <c r="J65" t="str">
        <v>N/A</v>
      </c>
      <c r="M65" t="str">
        <v>N/A</v>
      </c>
      <c r="P65" t="str">
        <v>N/A</v>
      </c>
    </row>
    <row r="66" ht="14.25" customHeight="1">
      <c r="A66">
        <f>A65+1</f>
        <v>19</v>
      </c>
      <c r="B66" t="str">
        <v>0.040 inches thick</v>
      </c>
      <c r="C66" t="str">
        <v>N/A</v>
      </c>
      <c r="I66" s="8">
        <f>H66*F66</f>
        <v>0</v>
      </c>
      <c r="J66" t="str">
        <v>N/A</v>
      </c>
      <c r="M66" t="str">
        <v>N/A</v>
      </c>
      <c r="P66" t="str">
        <v>N/A</v>
      </c>
    </row>
    <row r="67" ht="14.25" customHeight="1">
      <c r="A67">
        <f>A66+1</f>
        <v>20</v>
      </c>
      <c r="B67" t="str">
        <v>Smooth flat finish</v>
      </c>
      <c r="C67" t="str">
        <v>N/A</v>
      </c>
      <c r="I67" s="8">
        <f>H67*F67</f>
        <v>0</v>
      </c>
      <c r="J67" t="str">
        <v>N/A</v>
      </c>
      <c r="M67" t="str">
        <v>N/A</v>
      </c>
      <c r="P67" t="str">
        <v>N/A</v>
      </c>
    </row>
    <row r="68" ht="14.25" customHeight="1">
      <c r="A68">
        <f>A67+1</f>
        <v>21</v>
      </c>
      <c r="B68" t="str">
        <v>Two-coat fluropolymer finish, color to match Architect's sample</v>
      </c>
      <c r="C68" t="str">
        <v>N/A</v>
      </c>
      <c r="I68" s="8">
        <f>H68*F68</f>
        <v>0</v>
      </c>
      <c r="J68" t="str">
        <v>N/A</v>
      </c>
      <c r="M68" t="str">
        <v>N/A</v>
      </c>
      <c r="P68" t="str">
        <v>N/A</v>
      </c>
    </row>
    <row r="69" ht="14.25" customHeight="1">
      <c r="A69">
        <f>A68+1</f>
        <v>22</v>
      </c>
      <c r="B69" t="str">
        <v>7.2 inch o.c. rib spacing</v>
      </c>
      <c r="C69" t="str">
        <v>N/A</v>
      </c>
      <c r="I69" s="8">
        <f>H69*F69</f>
        <v>0</v>
      </c>
      <c r="J69" t="str">
        <v>N/A</v>
      </c>
      <c r="M69" t="str">
        <v>N/A</v>
      </c>
      <c r="P69" t="str">
        <v>N/A</v>
      </c>
    </row>
    <row r="70" ht="14.25" customHeight="1">
      <c r="A70">
        <f>A69+1</f>
        <v>23</v>
      </c>
      <c r="B70" t="str">
        <v>36 inch panel coverage</v>
      </c>
      <c r="C70" t="str">
        <v>N/A</v>
      </c>
      <c r="I70" s="8">
        <f>H70*F70</f>
        <v>0</v>
      </c>
      <c r="J70" t="str">
        <v>N/A</v>
      </c>
      <c r="M70" t="str">
        <v>N/A</v>
      </c>
      <c r="P70" t="str">
        <v>N/A</v>
      </c>
    </row>
    <row r="71" ht="14.25" customHeight="1">
      <c r="A71">
        <f>A70+1</f>
        <v>24</v>
      </c>
      <c r="B71" t="str">
        <v>1.5 inch panel height</v>
      </c>
      <c r="C71" t="str">
        <v>N/A</v>
      </c>
      <c r="I71" s="8">
        <f>H71*F71</f>
        <v>0</v>
      </c>
      <c r="J71" t="str">
        <v>N/A</v>
      </c>
      <c r="M71" t="str">
        <v>N/A</v>
      </c>
      <c r="P71" t="str">
        <v>N/A</v>
      </c>
    </row>
    <row r="72" ht="14.25" customHeight="1">
      <c r="A72">
        <f>A71+1</f>
        <v>25</v>
      </c>
      <c r="B72" t="str">
        <v>Include all materials and accessories to include, but not limited to, trim, copings, fascia, mullions, sills, corner units, clips, flashings, sealants, gaskets, fillers, clousre strips, backing plates, etc.</v>
      </c>
      <c r="C72" t="str">
        <v>N/A</v>
      </c>
      <c r="I72" s="8">
        <f>H72*F72</f>
        <v>0</v>
      </c>
      <c r="J72" t="str">
        <v>N/A</v>
      </c>
      <c r="M72" t="str">
        <v>N/A</v>
      </c>
      <c r="P72" t="str">
        <v>N/A</v>
      </c>
    </row>
    <row r="73" ht="14.25" customHeight="1">
      <c r="A73">
        <f>A72+1</f>
        <v>26</v>
      </c>
    </row>
    <row r="74" ht="14.25" customHeight="1">
      <c r="A74">
        <f>A73+1</f>
        <v>27</v>
      </c>
      <c r="B74" t="str">
        <v>Exterior Metal Soffit Panels</v>
      </c>
      <c r="C74" t="str">
        <v>Y</v>
      </c>
      <c r="I74" s="8">
        <f>H74*F74</f>
        <v>0</v>
      </c>
      <c r="J74" t="str">
        <v>P</v>
      </c>
      <c r="K74" t="str">
        <v>MCN Plug</v>
      </c>
      <c r="L74" s="8">
        <v>75000</v>
      </c>
      <c r="M74" t="str">
        <v>Y</v>
      </c>
      <c r="P74" t="str">
        <v>Y</v>
      </c>
    </row>
    <row r="75" ht="14.25" customHeight="1">
      <c r="A75">
        <f>A74+1</f>
        <v>28</v>
      </c>
      <c r="B75" t="str">
        <v>Prefinished aluminum exterior soffit panels. Ref. 1/A6.1&amp; 2/A6.2.</v>
      </c>
      <c r="C75" t="str">
        <v>Y</v>
      </c>
      <c r="I75" s="8">
        <f>H75*F75</f>
        <v>0</v>
      </c>
      <c r="K75" t="str">
        <v>In plug above</v>
      </c>
      <c r="M75" t="str">
        <v>Y</v>
      </c>
      <c r="P75" t="str">
        <v>Y</v>
      </c>
    </row>
    <row r="76" ht="14.25" customHeight="1">
      <c r="A76">
        <f>A75+1</f>
        <v>29</v>
      </c>
      <c r="B76" t="str">
        <v>Tongue-and-groove aluminum soffit B.O.D.:</v>
      </c>
      <c r="C76" t="str">
        <v>Y</v>
      </c>
      <c r="I76" s="8">
        <f>H76*F76</f>
        <v>0</v>
      </c>
      <c r="K76" t="str">
        <v>" "</v>
      </c>
      <c r="M76" t="str">
        <v>Y</v>
      </c>
      <c r="P76" t="str">
        <v>Y</v>
      </c>
    </row>
    <row r="77" ht="14.25" customHeight="1">
      <c r="A77">
        <f>A76+1</f>
        <v>30</v>
      </c>
      <c r="B77" t="str">
        <v>Longboard Tongue-and-Groove Planks or approved equal per specifications</v>
      </c>
      <c r="C77" t="str">
        <v>Y</v>
      </c>
      <c r="I77" s="8">
        <f>H77*F77</f>
        <v>0</v>
      </c>
      <c r="K77" t="str">
        <v>" "</v>
      </c>
      <c r="M77" t="str">
        <v>Y</v>
      </c>
      <c r="P77" t="str">
        <v>Y</v>
      </c>
    </row>
    <row r="78" ht="14.25" customHeight="1">
      <c r="A78">
        <f>A77+1</f>
        <v>31</v>
      </c>
      <c r="B78" t="str">
        <v>V-groove profile</v>
      </c>
      <c r="C78" t="str">
        <v>Y</v>
      </c>
      <c r="I78" s="8">
        <f>H78*F78</f>
        <v>0</v>
      </c>
      <c r="K78" t="str">
        <v>" "</v>
      </c>
      <c r="M78" t="str">
        <v>Y</v>
      </c>
      <c r="P78" t="str">
        <v>Y</v>
      </c>
    </row>
    <row r="79" ht="14.25" customHeight="1">
      <c r="A79">
        <f>A78+1</f>
        <v>32</v>
      </c>
      <c r="B79" t="str">
        <v>Powder coated wood grain color finish as selected by Architect</v>
      </c>
      <c r="C79" t="str">
        <v>Y</v>
      </c>
      <c r="I79" s="8">
        <f>H79*F79</f>
        <v>0</v>
      </c>
      <c r="K79" t="str">
        <v>" "</v>
      </c>
      <c r="M79" t="str">
        <v>Y</v>
      </c>
      <c r="P79" t="str">
        <v>Y</v>
      </c>
    </row>
    <row r="80" ht="14.25" customHeight="1">
      <c r="A80">
        <f>A79+1</f>
        <v>33</v>
      </c>
      <c r="B80" t="str">
        <v>Include rigid insulation</v>
      </c>
      <c r="C80" t="str">
        <v>Y</v>
      </c>
      <c r="I80" s="8">
        <f>H80*F80</f>
        <v>0</v>
      </c>
      <c r="K80" t="str">
        <v>" "</v>
      </c>
      <c r="M80" t="str">
        <v>Y</v>
      </c>
      <c r="P80" t="str">
        <v>Y</v>
      </c>
    </row>
    <row r="81" ht="14.25" customHeight="1">
      <c r="A81">
        <f>A80+1</f>
        <v>34</v>
      </c>
      <c r="B81" t="str">
        <v>Include all materials and accessories for a complete systems to include, but not limited to, to match materail and finish of metal panels u.n.o.;</v>
      </c>
      <c r="C81" t="str">
        <v>Y</v>
      </c>
      <c r="I81" s="8">
        <f>H81*F81</f>
        <v>0</v>
      </c>
      <c r="K81" t="str">
        <v>" "</v>
      </c>
      <c r="M81" t="str">
        <v>Y</v>
      </c>
      <c r="P81" t="str">
        <v>Y</v>
      </c>
    </row>
    <row r="82" ht="14.25" customHeight="1">
      <c r="A82">
        <f>A81+1</f>
        <v>35</v>
      </c>
      <c r="B82" t="str">
        <v>Trim</v>
      </c>
      <c r="C82" t="str">
        <v>Y</v>
      </c>
      <c r="I82" s="8">
        <f>H82*F82</f>
        <v>0</v>
      </c>
      <c r="K82" t="str">
        <v>" "</v>
      </c>
      <c r="M82" t="str">
        <v>Y</v>
      </c>
      <c r="P82" t="str">
        <v>Y</v>
      </c>
    </row>
    <row r="83" ht="14.25" customHeight="1">
      <c r="A83">
        <f>A82+1</f>
        <v>36</v>
      </c>
      <c r="B83" t="str">
        <v>Flashings</v>
      </c>
      <c r="C83" t="str">
        <v>Y</v>
      </c>
      <c r="I83" s="8">
        <f>H83*F83</f>
        <v>0</v>
      </c>
      <c r="K83" t="str">
        <v>" "</v>
      </c>
      <c r="M83" t="str">
        <v>Y</v>
      </c>
      <c r="P83" t="str">
        <v>Y</v>
      </c>
    </row>
    <row r="84" ht="14.25" customHeight="1">
      <c r="A84">
        <f>A83+1</f>
        <v>37</v>
      </c>
      <c r="B84" t="str">
        <v>Fillings</v>
      </c>
      <c r="C84" t="str">
        <v>Y</v>
      </c>
      <c r="I84" s="8">
        <f>H84*F84</f>
        <v>0</v>
      </c>
      <c r="K84" t="str">
        <v>" "</v>
      </c>
      <c r="M84" t="str">
        <v>Y</v>
      </c>
      <c r="P84" t="str">
        <v>Y</v>
      </c>
    </row>
    <row r="85" ht="14.25" customHeight="1">
      <c r="A85">
        <f>A84+1</f>
        <v>38</v>
      </c>
      <c r="B85" t="str">
        <v>Fillers</v>
      </c>
      <c r="C85" t="str">
        <v>Y</v>
      </c>
      <c r="I85" s="8">
        <f>H85*F85</f>
        <v>0</v>
      </c>
      <c r="K85" t="str">
        <v>" "</v>
      </c>
      <c r="M85" t="str">
        <v>Y</v>
      </c>
      <c r="P85" t="str">
        <v>Y</v>
      </c>
    </row>
    <row r="86" ht="14.25" customHeight="1">
      <c r="A86">
        <f>A85+1</f>
        <v>39</v>
      </c>
      <c r="B86" t="str">
        <v>Closure strips</v>
      </c>
      <c r="C86" t="str">
        <v>Y</v>
      </c>
      <c r="I86" s="8">
        <f>H86*F86</f>
        <v>0</v>
      </c>
      <c r="K86" t="str">
        <v>" "</v>
      </c>
      <c r="M86" t="str">
        <v>Y</v>
      </c>
      <c r="P86" t="str">
        <v>Y</v>
      </c>
    </row>
    <row r="87" ht="14.25" customHeight="1">
      <c r="A87">
        <f>A86+1</f>
        <v>40</v>
      </c>
      <c r="B87" t="str">
        <v>Flashing and trim</v>
      </c>
      <c r="C87" t="str">
        <v>Y</v>
      </c>
      <c r="I87" s="8">
        <f>H87*F87</f>
        <v>0</v>
      </c>
      <c r="K87" t="str">
        <v>" "</v>
      </c>
      <c r="M87" t="str">
        <v>Y</v>
      </c>
      <c r="P87" t="str">
        <v>Y</v>
      </c>
    </row>
    <row r="88" ht="14.25" customHeight="1">
      <c r="A88">
        <f>A87+1</f>
        <v>41</v>
      </c>
      <c r="B88" t="str">
        <v>Panel fasteners</v>
      </c>
      <c r="C88" t="str">
        <v>Y</v>
      </c>
      <c r="I88" s="8">
        <f>H88*F88</f>
        <v>0</v>
      </c>
      <c r="K88" t="str">
        <v>" "</v>
      </c>
      <c r="M88" t="str">
        <v>Y</v>
      </c>
      <c r="P88" t="str">
        <v>Y</v>
      </c>
    </row>
    <row r="89" ht="14.25" customHeight="1">
      <c r="A89">
        <f>A88+1</f>
        <v>42</v>
      </c>
    </row>
    <row r="90" ht="14.25" customHeight="1">
      <c r="A90">
        <f>A89+1</f>
        <v>43</v>
      </c>
      <c r="B90" t="str">
        <v>Furnish and install all metal copings to match the metal panel as shown on the drawings</v>
      </c>
      <c r="C90" t="str">
        <v>Y</v>
      </c>
      <c r="I90" s="8">
        <f>H90*F90</f>
        <v>0</v>
      </c>
      <c r="J90" t="str">
        <v>Y</v>
      </c>
      <c r="M90" t="str">
        <v>Y</v>
      </c>
      <c r="N90" t="str">
        <v>Copper coping to match wall panels</v>
      </c>
      <c r="P90" t="str">
        <v>Y</v>
      </c>
    </row>
    <row r="91" ht="14.25" customHeight="1">
      <c r="A91">
        <f>A90+1</f>
        <v>44</v>
      </c>
      <c r="B91" t="str">
        <v>Ensure all performance and physical properties are met per specifications</v>
      </c>
      <c r="C91" t="str">
        <v>Y</v>
      </c>
      <c r="I91" s="8">
        <f>H91*F91</f>
        <v>0</v>
      </c>
      <c r="M91" t="str">
        <v>Y</v>
      </c>
      <c r="P91" t="str">
        <v>Y</v>
      </c>
    </row>
    <row r="92" ht="14.25" customHeight="1">
      <c r="A92">
        <f>A91+1</f>
        <v>45</v>
      </c>
      <c r="B92" t="str">
        <v>Include all warranty requirements per specificaitons</v>
      </c>
      <c r="C92" t="str">
        <v>Y</v>
      </c>
      <c r="I92" s="8">
        <f>H92*F92</f>
        <v>0</v>
      </c>
      <c r="M92" t="str">
        <v>Y</v>
      </c>
      <c r="P92" t="str">
        <v>Y</v>
      </c>
      <c r="Q92" t="str">
        <v>1 Yr workmanship</v>
      </c>
    </row>
    <row r="93" ht="14.25" customHeight="1">
      <c r="A93">
        <f>A92+1</f>
        <v>46</v>
      </c>
    </row>
    <row r="94" ht="14.25" customHeight="1">
      <c r="A94">
        <f>A93+1</f>
        <v>47</v>
      </c>
      <c r="B94" t="str">
        <v>Refer to A1.2 for Level 01 - First Floor Plan</v>
      </c>
      <c r="C94" t="str">
        <v>Y</v>
      </c>
      <c r="I94" s="8">
        <f>H94*F94</f>
        <v>0</v>
      </c>
      <c r="M94" t="str">
        <v>Y</v>
      </c>
      <c r="P94" t="str">
        <v>Y</v>
      </c>
    </row>
    <row r="95" ht="14.25" customHeight="1">
      <c r="A95">
        <f>A94+1</f>
        <v>48</v>
      </c>
      <c r="B95" t="str">
        <v>Refer to A1.3 for Level 02 - Second Floor Plan</v>
      </c>
      <c r="C95" t="str">
        <v>Y</v>
      </c>
      <c r="I95" s="8">
        <f>H95*F95</f>
        <v>0</v>
      </c>
      <c r="M95" t="str">
        <v>Y</v>
      </c>
      <c r="P95" t="str">
        <v>Y</v>
      </c>
    </row>
    <row r="96" ht="14.25" customHeight="1">
      <c r="A96">
        <f>A95+1</f>
        <v>49</v>
      </c>
      <c r="B96" t="str">
        <v>Refer to A1.4 for Roof Plan</v>
      </c>
      <c r="C96" t="str">
        <v>Y</v>
      </c>
      <c r="I96" s="8">
        <f>H96*F96</f>
        <v>0</v>
      </c>
      <c r="M96" t="str">
        <v>Y</v>
      </c>
      <c r="P96" t="str">
        <v>Y</v>
      </c>
    </row>
    <row r="97" ht="14.25" customHeight="1">
      <c r="A97">
        <f>A96+1</f>
        <v>50</v>
      </c>
      <c r="B97" t="str">
        <v>Refer to A3.2 for Level 01 - Reflected Ceiling Plan</v>
      </c>
      <c r="C97" t="str">
        <v>Y</v>
      </c>
      <c r="I97" s="8">
        <f>H97*F97</f>
        <v>0</v>
      </c>
      <c r="M97" t="str">
        <v>Y</v>
      </c>
      <c r="P97" t="str">
        <v>Y</v>
      </c>
    </row>
    <row r="98" ht="14.25" customHeight="1">
      <c r="A98">
        <f>A97+1</f>
        <v>51</v>
      </c>
      <c r="B98" t="str">
        <v>Refer to A3.3 for Level 02 - Reflected Ceiling Plan</v>
      </c>
      <c r="C98" t="str">
        <v>Y</v>
      </c>
      <c r="I98" s="8">
        <f>H98*F98</f>
        <v>0</v>
      </c>
      <c r="M98" t="str">
        <v>Y</v>
      </c>
      <c r="P98" t="str">
        <v>Y</v>
      </c>
    </row>
    <row r="99" ht="14.25" customHeight="1">
      <c r="A99">
        <f>A98+1</f>
        <v>52</v>
      </c>
      <c r="B99" t="str">
        <v>Refer to A4.1 for Exterior Elevations</v>
      </c>
      <c r="C99" t="str">
        <v>Y</v>
      </c>
      <c r="I99" s="8">
        <f>H99*F99</f>
        <v>0</v>
      </c>
      <c r="M99" t="str">
        <v>Y</v>
      </c>
      <c r="P99" t="str">
        <v>Y</v>
      </c>
    </row>
    <row r="100" ht="14.25" customHeight="1">
      <c r="A100">
        <f>A99+1</f>
        <v>53</v>
      </c>
      <c r="B100" t="str">
        <v>Refer to A5.1 - A5.2 for Building Sections</v>
      </c>
      <c r="C100" t="str">
        <v>Y</v>
      </c>
      <c r="I100" s="8">
        <f>H100*F100</f>
        <v>0</v>
      </c>
      <c r="M100" t="str">
        <v>Y</v>
      </c>
      <c r="P100" t="str">
        <v>Y</v>
      </c>
    </row>
    <row r="101" ht="14.25" customHeight="1">
      <c r="A101">
        <f>A100+1</f>
        <v>54</v>
      </c>
      <c r="B101" t="str">
        <v>Refer to A6.1 - A6.2 for Wall Sections</v>
      </c>
      <c r="C101" t="str">
        <v>Y</v>
      </c>
      <c r="I101" s="8">
        <f>H101*F101</f>
        <v>0</v>
      </c>
      <c r="M101" t="str">
        <v>Y</v>
      </c>
      <c r="P101" t="str">
        <v>Y</v>
      </c>
    </row>
    <row r="102" ht="14.25" customHeight="1">
      <c r="A102">
        <f>A101+1</f>
        <v>55</v>
      </c>
      <c r="B102" t="str">
        <v>Refer to A12.1 for Finish Schedules</v>
      </c>
      <c r="C102" t="str">
        <v>Y</v>
      </c>
      <c r="I102" s="8">
        <f>H102*F102</f>
        <v>0</v>
      </c>
      <c r="M102" t="str">
        <v>Y</v>
      </c>
      <c r="P102" t="str">
        <v>Y</v>
      </c>
    </row>
    <row r="103" ht="14.25" customHeight="1">
      <c r="A103">
        <f>A102+1</f>
        <v>56</v>
      </c>
    </row>
    <row r="104" ht="14.25" customHeight="1">
      <c r="A104">
        <f>A103+1</f>
        <v>57</v>
      </c>
      <c r="B104" t="str">
        <v>Provide ADD/ALT for exterior rigid insulation at all exterior wall types</v>
      </c>
      <c r="C104" t="str">
        <v>Y</v>
      </c>
      <c r="D104" t="str">
        <v>PROVIDE ADD/ALT</v>
      </c>
      <c r="I104" s="8">
        <f>H104*F104</f>
        <v>0</v>
      </c>
      <c r="M104" t="str">
        <v>N</v>
      </c>
    </row>
    <row r="105" ht="14.25" customHeight="1">
      <c r="A105">
        <f>A104+1</f>
        <v>58</v>
      </c>
    </row>
    <row r="106" ht="14.25" customHeight="1">
      <c r="A106">
        <f>A105+1</f>
        <v>59</v>
      </c>
      <c r="C106" t="str">
        <v>Y</v>
      </c>
      <c r="I106" s="8">
        <f>H106*F106</f>
        <v>0</v>
      </c>
    </row>
    <row r="107" ht="14.25" customHeight="1">
      <c r="A107">
        <f>A106+1</f>
        <v>60</v>
      </c>
      <c r="B107" t="str">
        <v>Furnish and install light-gauge natural copper flat lock panel system, ref. A4.1, A6.1, A6.3-6.4, A9.1-9.3</v>
      </c>
      <c r="C107" t="str">
        <v>Y</v>
      </c>
      <c r="I107" s="8">
        <f>H107*F107</f>
        <v>0</v>
      </c>
      <c r="M107" t="str">
        <v>Y</v>
      </c>
      <c r="P107" t="str">
        <v>Y</v>
      </c>
    </row>
    <row r="108" ht="14.25" customHeight="1">
      <c r="A108">
        <f>A107+1</f>
        <v>61</v>
      </c>
      <c r="B108" t="str">
        <v>Ensure note that front entrance canopy is to be reduced to 8" to match stone</v>
      </c>
      <c r="C108" t="str">
        <v>Y</v>
      </c>
      <c r="I108" s="8">
        <f>H108*F108</f>
        <v>0</v>
      </c>
      <c r="M108" t="str">
        <v>Y</v>
      </c>
      <c r="P108" t="str">
        <v>Y</v>
      </c>
    </row>
    <row r="109" ht="14.25" customHeight="1">
      <c r="A109">
        <f>A108+1</f>
        <v>62</v>
      </c>
      <c r="B109" t="str">
        <v>Furnish and install metal panel façade system, ref. S505, A4.1</v>
      </c>
      <c r="C109" t="str">
        <v>Y</v>
      </c>
      <c r="I109" s="8">
        <f>H109*F109</f>
        <v>0</v>
      </c>
      <c r="M109" t="str">
        <v>Y</v>
      </c>
      <c r="P109" t="str">
        <v>Y</v>
      </c>
    </row>
    <row r="110" ht="14.25" customHeight="1">
      <c r="A110">
        <f>A109+1</f>
        <v>63</v>
      </c>
      <c r="B110" t="str">
        <v>Coordinate with roofing and metal panel subs, ref. 2&amp;3/A9.1</v>
      </c>
      <c r="C110" t="str">
        <v>Y</v>
      </c>
      <c r="I110" s="8">
        <f>H110*F110</f>
        <v>0</v>
      </c>
      <c r="M110" t="str">
        <v>Y</v>
      </c>
      <c r="P110" t="str">
        <v>Y</v>
      </c>
    </row>
    <row r="111" ht="14.25" customHeight="1">
      <c r="A111">
        <f>A110+1</f>
        <v>64</v>
      </c>
      <c r="B111" t="str">
        <v>Provide all material, labor, tools, equipment, hoisting, supervision, etc. for this work</v>
      </c>
      <c r="C111" t="str">
        <v>Y</v>
      </c>
      <c r="I111" s="8">
        <f>H111*F111</f>
        <v>0</v>
      </c>
      <c r="M111" t="str">
        <v>Y</v>
      </c>
      <c r="P111" t="str">
        <v>Y</v>
      </c>
    </row>
    <row r="112" ht="14.25" customHeight="1">
      <c r="A112">
        <f>A111+1</f>
        <v>65</v>
      </c>
      <c r="B112" t="str">
        <v>Layout from GC control lines and benchmarks</v>
      </c>
      <c r="C112" t="str">
        <v>Y</v>
      </c>
      <c r="I112" s="8">
        <f>H112*F112</f>
        <v>0</v>
      </c>
      <c r="M112" t="str">
        <v>Y</v>
      </c>
      <c r="P112" t="str">
        <v>Y</v>
      </c>
    </row>
    <row r="113" ht="14.25" customHeight="1">
      <c r="A113">
        <f>A112+1</f>
        <v>66</v>
      </c>
      <c r="B113" t="str">
        <v>Clean up to MCN dumpster</v>
      </c>
      <c r="C113" t="str">
        <v>Y</v>
      </c>
      <c r="I113" s="8">
        <f>H113*F113</f>
        <v>0</v>
      </c>
      <c r="M113" t="str">
        <v>Y</v>
      </c>
      <c r="P113" t="str">
        <v>Y</v>
      </c>
    </row>
    <row r="114" ht="14.25" customHeight="1">
      <c r="A114">
        <f>A113+1</f>
        <v>67</v>
      </c>
      <c r="B114" t="str">
        <v>Shop drawings, samples, product data, certs, etc.</v>
      </c>
      <c r="C114" t="str">
        <v>Y</v>
      </c>
      <c r="I114" s="8">
        <f>H114*F114</f>
        <v>0</v>
      </c>
      <c r="M114" t="str">
        <v>Y</v>
      </c>
      <c r="P114" t="str">
        <v>Y</v>
      </c>
    </row>
    <row r="115" ht="14.25" customHeight="1">
      <c r="I115" s="8">
        <f>H115*F115</f>
        <v>0</v>
      </c>
    </row>
    <row r="116" ht="14.25" customHeight="1">
      <c r="A116" t="str">
        <v>C</v>
      </c>
      <c r="B116" t="str">
        <v>Exclusions</v>
      </c>
    </row>
    <row r="117" ht="14.25" customHeight="1">
      <c r="A117">
        <v>1</v>
      </c>
      <c r="B117" t="str">
        <v>Wood blocking</v>
      </c>
      <c r="C117" t="str">
        <v>N</v>
      </c>
      <c r="D117" t="str">
        <v>by carpentry</v>
      </c>
      <c r="M117" t="str">
        <v>N</v>
      </c>
    </row>
    <row r="118" ht="14.25" customHeight="1">
      <c r="A118">
        <f>A117+1</f>
        <v>2</v>
      </c>
      <c r="B118" t="str">
        <v>Caulking</v>
      </c>
      <c r="C118" t="str">
        <v>N</v>
      </c>
      <c r="D118" t="str">
        <v>by caulking</v>
      </c>
      <c r="M118" t="str">
        <v>N</v>
      </c>
    </row>
    <row r="119" ht="14.25" customHeight="1">
      <c r="A119">
        <f>A118+1</f>
        <v>3</v>
      </c>
      <c r="B119" t="str">
        <v>Composite metal panels (provide separate number, if bidding)</v>
      </c>
      <c r="C119" t="str">
        <v>N</v>
      </c>
      <c r="D119" t="str">
        <v>by glass/glazing</v>
      </c>
      <c r="M119" t="str">
        <v>N</v>
      </c>
    </row>
    <row r="120" ht="14.25" customHeight="1">
      <c r="A120">
        <f>A119+1</f>
        <v>4</v>
      </c>
      <c r="B120" t="str">
        <v>Studs, sheathing &amp; vapor barrier</v>
      </c>
      <c r="C120" t="str">
        <v>N</v>
      </c>
      <c r="D120" t="str">
        <v>by drywall</v>
      </c>
      <c r="M120" t="str">
        <v>N</v>
      </c>
    </row>
    <row r="121" ht="14.25" customHeight="1">
      <c r="A121">
        <f>A120+1</f>
        <v>5</v>
      </c>
      <c r="C121" t="str">
        <v>N</v>
      </c>
    </row>
    <row r="122" ht="14.25" customHeight="1">
      <c r="A122">
        <f>A121+1</f>
        <v>6</v>
      </c>
      <c r="C122" t="str">
        <v>N</v>
      </c>
    </row>
    <row r="123" ht="14.25" customHeight="1">
      <c r="A123">
        <f>A122+1</f>
        <v>7</v>
      </c>
      <c r="C123" t="str">
        <v>N</v>
      </c>
    </row>
    <row r="124" ht="14.25" customHeight="1">
      <c r="A124">
        <f>A123+1</f>
        <v>8</v>
      </c>
      <c r="C124" t="str">
        <v>N</v>
      </c>
    </row>
    <row r="125" ht="14.25" customHeight="1"/>
    <row r="126" ht="14.25" customHeight="1">
      <c r="A126" t="str">
        <v>D</v>
      </c>
      <c r="B126" t="str">
        <v>Schedule</v>
      </c>
    </row>
    <row r="127" ht="14.25" customHeight="1">
      <c r="A127">
        <v>1</v>
      </c>
      <c r="B127" t="str">
        <v>Meet MCN Schedule</v>
      </c>
      <c r="C127" t="str">
        <v>Y</v>
      </c>
    </row>
    <row r="128" ht="14.25" customHeight="1">
      <c r="A128">
        <f>A127+1</f>
        <v>2</v>
      </c>
      <c r="B128" t="str">
        <v>Advise of Durations</v>
      </c>
    </row>
    <row r="129" ht="14.25" customHeight="1">
      <c r="A129">
        <f>A128+1</f>
        <v>3</v>
      </c>
      <c r="B129" t="str">
        <v>Activity 1</v>
      </c>
      <c r="C129" t="str">
        <v>---&gt;</v>
      </c>
    </row>
    <row r="130" ht="14.25" customHeight="1">
      <c r="A130">
        <f>A129+1</f>
        <v>4</v>
      </c>
      <c r="B130" t="str">
        <v>Activity 2</v>
      </c>
      <c r="C130" t="str">
        <v>---&gt;</v>
      </c>
    </row>
    <row r="131" ht="14.25" customHeight="1">
      <c r="A131">
        <f>A130+1</f>
        <v>5</v>
      </c>
      <c r="B131" t="str">
        <v>Activity 3</v>
      </c>
      <c r="C131" t="str">
        <v>---&gt;</v>
      </c>
    </row>
    <row r="132" ht="14.25" customHeight="1">
      <c r="A132">
        <f>A131+1</f>
        <v>6</v>
      </c>
      <c r="B132" t="str">
        <v>Duration for Submittals and Shop Drawings</v>
      </c>
      <c r="C132" t="str">
        <v>---&gt;</v>
      </c>
    </row>
    <row r="133" ht="14.25" customHeight="1">
      <c r="A133">
        <f>A132+1</f>
        <v>7</v>
      </c>
      <c r="B133" t="str">
        <v>Advise of Lead Times:</v>
      </c>
    </row>
    <row r="134" ht="14.25" customHeight="1">
      <c r="A134">
        <f>A133+1</f>
        <v>8</v>
      </c>
      <c r="B134" t="str">
        <v>Material 1</v>
      </c>
      <c r="C134" t="str">
        <v>---&gt;</v>
      </c>
    </row>
    <row r="135" ht="14.25" customHeight="1">
      <c r="A135">
        <f>A134+1</f>
        <v>9</v>
      </c>
      <c r="B135" t="str">
        <v>Material 2</v>
      </c>
      <c r="C135" t="str">
        <v>---&gt;</v>
      </c>
    </row>
    <row r="136" ht="14.25" customHeight="1">
      <c r="A136">
        <f>A135+1</f>
        <v>10</v>
      </c>
      <c r="B136" t="str">
        <v>Material 3</v>
      </c>
      <c r="C136" t="str">
        <v>---&gt;</v>
      </c>
    </row>
    <row r="137" ht="14.25" customHeight="1"/>
    <row r="138" ht="14.25" customHeight="1"/>
    <row r="139" ht="14.25" customHeight="1">
      <c r="B139" t="str">
        <v>Allowances</v>
      </c>
    </row>
    <row r="140" ht="14.25" customHeight="1">
      <c r="A140">
        <v>1</v>
      </c>
    </row>
    <row r="141" ht="14.25" customHeight="1">
      <c r="A141">
        <f>A140+1</f>
        <v>2</v>
      </c>
    </row>
    <row r="142" ht="14.25" customHeight="1">
      <c r="A142">
        <f>A141+1</f>
        <v>3</v>
      </c>
    </row>
    <row r="143" ht="14.25" customHeight="1">
      <c r="A143">
        <f>A142+1</f>
        <v>4</v>
      </c>
    </row>
    <row r="144" ht="14.25" customHeight="1"/>
    <row r="145" ht="14.25" customHeight="1"/>
    <row r="146" ht="14.25" customHeight="1">
      <c r="B146" t="str">
        <v>Alternates</v>
      </c>
    </row>
    <row r="147" ht="14.25" customHeight="1">
      <c r="A147">
        <v>1</v>
      </c>
      <c r="B147" t="str">
        <v>Shop fabricated copper panel ILO Americlad panel [CHU]</v>
      </c>
      <c r="C147" t="str">
        <v>#</v>
      </c>
      <c r="O147" s="8">
        <v>-86500</v>
      </c>
    </row>
    <row r="148" ht="14.25" customHeight="1">
      <c r="A148">
        <f>A147+1</f>
        <v>2</v>
      </c>
      <c r="B148" t="str">
        <v>5/8" Plywood and air barrier behind Americlad panel required</v>
      </c>
      <c r="C148" t="str">
        <v>#</v>
      </c>
      <c r="O148" s="8">
        <v>8600</v>
      </c>
      <c r="R148" s="8">
        <v>3840</v>
      </c>
    </row>
    <row r="149" ht="14.25" customHeight="1">
      <c r="A149">
        <f>A148+1</f>
        <v>3</v>
      </c>
      <c r="B149" t="str">
        <v>Aluminum anchor straps for wood panels (perpindicular to studs &amp; panels)</v>
      </c>
      <c r="C149" t="str">
        <v>#</v>
      </c>
      <c r="R149" s="8">
        <v>12790</v>
      </c>
    </row>
    <row r="150" ht="14.25" customHeight="1">
      <c r="A150">
        <f>A149+1</f>
        <v>4</v>
      </c>
      <c r="C150" t="str">
        <v>#</v>
      </c>
    </row>
    <row r="151" ht="14.25" customHeight="1">
      <c r="C151" t="str">
        <v>#</v>
      </c>
    </row>
    <row r="152" ht="14.25" customHeight="1">
      <c r="B152" t="str">
        <v>Unit Prices</v>
      </c>
    </row>
    <row r="153" ht="14.25" customHeight="1">
      <c r="A153">
        <v>1</v>
      </c>
      <c r="B153" t="str">
        <v>Labor: Site Labor [Prestige]</v>
      </c>
      <c r="C153" t="str">
        <v>#</v>
      </c>
      <c r="R153" s="8">
        <v>120</v>
      </c>
    </row>
    <row r="154" ht="14.25" customHeight="1">
      <c r="A154">
        <f>A153+1</f>
        <v>2</v>
      </c>
      <c r="C154" t="str">
        <v>#</v>
      </c>
    </row>
    <row r="155" ht="14.25" customHeight="1">
      <c r="A155">
        <f>A154+1</f>
        <v>3</v>
      </c>
      <c r="C155" t="str">
        <v>#</v>
      </c>
    </row>
    <row r="156" ht="14.25" customHeight="1">
      <c r="A156">
        <f>A155+1</f>
        <v>4</v>
      </c>
      <c r="C156" t="str">
        <v>#</v>
      </c>
    </row>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s>
  <pageMargins left="0.7" right="0.7" top="0.25" bottom="0.75" header="0" footer="0"/>
  <ignoredErrors>
    <ignoredError numberStoredAsText="1" sqref="A1:AO1000"/>
  </ignoredErrors>
</worksheet>
</file>

<file path=xl/worksheets/sheet1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Chu</v>
      </c>
      <c r="N1" t="str">
        <v>HRGM</v>
      </c>
      <c r="Q1" t="str">
        <v>LP Roofing</v>
      </c>
      <c r="T1" t="str">
        <v>Forsythe</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Sean Kim</v>
      </c>
      <c r="N2" t="str">
        <v>John Maviglia</v>
      </c>
      <c r="Q2" t="str">
        <v>Dan Morin</v>
      </c>
      <c r="T2" t="str">
        <v>Zach Travers</v>
      </c>
      <c r="W2" t="str">
        <v>Name</v>
      </c>
      <c r="Z2" t="str">
        <v>Name</v>
      </c>
      <c r="AC2" t="str">
        <v>Name</v>
      </c>
      <c r="AH2" t="str">
        <v>MCN</v>
      </c>
      <c r="AM2" s="8">
        <f>I9</f>
        <v>0</v>
      </c>
    </row>
    <row r="3" ht="14.25" customHeight="1" outlineLevel="1">
      <c r="I3" t="str">
        <v>Email:</v>
      </c>
      <c r="K3" t="str">
        <v>703-378-8190</v>
      </c>
      <c r="N3" t="str">
        <v>202-889-8400</v>
      </c>
      <c r="Q3" t="str">
        <v>703-843-7374</v>
      </c>
      <c r="T3" t="str">
        <v>zach@forsytheinc.net</v>
      </c>
      <c r="W3" t="str">
        <v>Email</v>
      </c>
      <c r="Z3" t="str">
        <v>Email</v>
      </c>
      <c r="AC3" t="str">
        <v>Email</v>
      </c>
      <c r="AH3">
        <v>1</v>
      </c>
      <c r="AI3" t="str">
        <f>IFNA(INDEX($K$1:$AE$1,1,MATCH($AH3,$K$10:$AE$10,0)),"")</f>
        <v>Chu</v>
      </c>
      <c r="AJ3" s="3" t="str">
        <f t="array" ref="AJ3">IFNA(INDEX($K$6:$AE$6,1,MATCH($AH3,$K$10:$AE$10,0)+1),"")</f>
        <v/>
      </c>
      <c r="AK3" s="3">
        <f t="array" ref="AK3">IFNA(INDEX($K$7:$AE$7,1,MATCH($AH3,$K$10:$AE$10,0)+1),"")</f>
        <v>866400</v>
      </c>
      <c r="AL3" s="3">
        <f t="array" ref="AL3">IFNA(INDEX($K$8:$AE$8,1,MATCH($AH3,$K$10:$AE$10,0)+1),"")</f>
        <v>17328</v>
      </c>
      <c r="AM3" s="3">
        <f t="array" ref="AM3">IFNA(INDEX($K$9:$AE$9,1,MATCH($AH3,$K$10:$AE$10,0)+1),"")</f>
        <v>883728</v>
      </c>
      <c r="AO3" s="9">
        <f>IFERROR(AN3*AM3,0)</f>
        <v>0</v>
      </c>
    </row>
    <row r="4" ht="14.25" customHeight="1" outlineLevel="1">
      <c r="A4" t="str">
        <v>Trade:</v>
      </c>
      <c r="B4" t="str">
        <v>07 - ROOFING</v>
      </c>
      <c r="I4" t="str">
        <v>Phone:</v>
      </c>
      <c r="K4" t="str">
        <v>seankim@chucontracting.com</v>
      </c>
      <c r="N4" t="str">
        <v>john@hrgm.com</v>
      </c>
      <c r="Q4" t="str">
        <v>dan@lproofingllc.com</v>
      </c>
      <c r="T4" t="str">
        <v>Number</v>
      </c>
      <c r="W4" t="str">
        <v>Number</v>
      </c>
      <c r="Z4" t="str">
        <v>Number</v>
      </c>
      <c r="AC4" t="str">
        <v>Number</v>
      </c>
      <c r="AH4">
        <v>2</v>
      </c>
      <c r="AI4" t="str">
        <f>IFNA(INDEX($K$1:$AE$1,1,MATCH($AH4,$K$10:$AE$10,0)),"")</f>
        <v>HRGM</v>
      </c>
      <c r="AJ4" s="3">
        <f t="array" ref="AJ4">IFNA(INDEX($K$6:$AE$6,1,MATCH($AH4,$K$10:$AE$10,0)+1),"")</f>
        <v>876073</v>
      </c>
      <c r="AK4" s="3">
        <f t="array" ref="AK4">IFNA(INDEX($K$7:$AE$7,1,MATCH($AH4,$K$10:$AE$10,0)+1),"")</f>
        <v>15000</v>
      </c>
      <c r="AL4" s="3">
        <f t="array" ref="AL4">IFNA(INDEX($K$8:$AE$8,1,MATCH($AH4,$K$10:$AE$10,0)+1),"")</f>
        <v>9980.0176</v>
      </c>
      <c r="AM4" s="3">
        <f t="array" ref="AM4">IFNA(INDEX($K$9:$AE$9,1,MATCH($AH4,$K$10:$AE$10,0)+1),"")</f>
        <v>901053.0176</v>
      </c>
      <c r="AO4" s="9">
        <f>IFERROR(AN4*AM4,0)</f>
        <v>0</v>
      </c>
    </row>
    <row r="5" ht="14.25" customHeight="1" outlineLevel="1">
      <c r="A5" t="str">
        <v>Rev/Date:</v>
      </c>
      <c r="B5" t="str">
        <v>Date Issued 01-30-2025</v>
      </c>
      <c r="C5" t="str">
        <v>Bidder:</v>
      </c>
      <c r="K5" t="str">
        <v>Level Scope?</v>
      </c>
      <c r="L5" s="4" t="str">
        <v>FULL SCOPE</v>
      </c>
      <c r="N5" t="str">
        <v>Level Scope?</v>
      </c>
      <c r="O5" s="4" t="str">
        <v>FULL SCOPE</v>
      </c>
      <c r="Q5" t="str">
        <v>Level Scope?</v>
      </c>
      <c r="R5" s="4" t="str">
        <v>NO</v>
      </c>
      <c r="T5" t="str">
        <v>Level Scope?</v>
      </c>
      <c r="U5" s="4" t="str">
        <v>FULL SCOPE</v>
      </c>
      <c r="W5" t="str">
        <v>Level Scope?</v>
      </c>
      <c r="X5" s="4" t="str">
        <v>NO</v>
      </c>
      <c r="Z5" t="str">
        <v>Level Scope?</v>
      </c>
      <c r="AA5" s="4" t="str">
        <v>NO</v>
      </c>
      <c r="AC5" t="str">
        <v>Level Scope?</v>
      </c>
      <c r="AD5" s="4" t="str">
        <v>NO</v>
      </c>
      <c r="AH5">
        <v>3</v>
      </c>
      <c r="AI5" t="str">
        <f>IFNA(INDEX($K$1:$AE$1,1,MATCH($AH5,$K$10:$AE$10,0)),"")</f>
        <v>Forsythe</v>
      </c>
      <c r="AJ5" s="3">
        <f t="array" ref="AJ5">IFNA(INDEX($K$6:$AE$6,1,MATCH($AH5,$K$10:$AE$10,0)+1),"")</f>
        <v>894325</v>
      </c>
      <c r="AK5" s="3">
        <f t="array" ref="AK5">IFNA(INDEX($K$7:$AE$7,1,MATCH($AH5,$K$10:$AE$10,0)+1),"")</f>
        <v>0</v>
      </c>
      <c r="AL5" s="3">
        <f t="array" ref="AL5">IFNA(INDEX($K$8:$AE$8,1,MATCH($AH5,$K$10:$AE$10,0)+1),"")</f>
        <v>17886.5</v>
      </c>
      <c r="AM5" s="3">
        <f t="array" ref="AM5">IFNA(INDEX($K$9:$AE$9,1,MATCH($AH5,$K$10:$AE$10,0)+1),"")</f>
        <v>912211.5</v>
      </c>
      <c r="AO5" s="9">
        <f>IFERROR(AN5*AM5,0)</f>
        <v>0</v>
      </c>
    </row>
    <row r="6" ht="14.25" customHeight="1" outlineLevel="1">
      <c r="K6" t="str">
        <v>Base Bid:</v>
      </c>
      <c r="N6" t="str">
        <v>Base Bid:</v>
      </c>
      <c r="O6" s="4">
        <v>876073</v>
      </c>
      <c r="Q6" t="str">
        <v>Base Bid:</v>
      </c>
      <c r="R6" s="4">
        <v>622200</v>
      </c>
      <c r="T6" t="str">
        <v>Base Bid:</v>
      </c>
      <c r="U6" s="4">
        <v>894325</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James Crowle</v>
      </c>
      <c r="C7" t="str">
        <v>Contact:</v>
      </c>
      <c r="G7" s="8" t="str">
        <v>| MCN Budget</v>
      </c>
      <c r="I7" s="8">
        <f>SUM(I20:I204,I13:I18)</f>
        <v>0</v>
      </c>
      <c r="K7" t="str">
        <v>Adjustments:</v>
      </c>
      <c r="L7" s="4">
        <f>SUM(L13:L18,L20:L204)</f>
        <v>866400</v>
      </c>
      <c r="N7" t="str">
        <v>Adjustments:</v>
      </c>
      <c r="O7" s="4">
        <f>SUM(O13:O18,O20:O204)</f>
        <v>15000</v>
      </c>
      <c r="Q7" t="str">
        <v>Adjustments:</v>
      </c>
      <c r="R7" s="4">
        <f>SUM(R13:R18,R20:R204)</f>
        <v>0</v>
      </c>
      <c r="T7" t="str">
        <v>Adjustments:</v>
      </c>
      <c r="U7" s="4">
        <f>SUM(U13:U18,U20:U204)</f>
        <v>0</v>
      </c>
      <c r="W7" t="str">
        <v>Adjustments:</v>
      </c>
      <c r="X7" s="4">
        <f>SUM(X13:X18,X20:X204)</f>
        <v>0</v>
      </c>
      <c r="Z7" t="str">
        <v>Adjustments:</v>
      </c>
      <c r="AA7" s="4">
        <f>SUM(AA13:AA18,AA20:AA204)</f>
        <v>0</v>
      </c>
      <c r="AC7" t="str">
        <v>Adjustments:</v>
      </c>
      <c r="AD7" s="4">
        <f>SUM(AD13:AD18,AD20:AD204)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James.Crowle@MCNBuild.com</v>
      </c>
      <c r="C8" t="str">
        <v>Email:</v>
      </c>
      <c r="F8" s="10">
        <v>0.02</v>
      </c>
      <c r="G8" s="8" t="str">
        <v>| Bond</v>
      </c>
      <c r="I8" s="8">
        <f>F8*I7</f>
        <v>0</v>
      </c>
      <c r="J8" s="10">
        <v>0.02</v>
      </c>
      <c r="K8" t="str">
        <v>Bond:</v>
      </c>
      <c r="L8" s="4">
        <f>J8*SUM(L6:L7)</f>
        <v>17328</v>
      </c>
      <c r="M8" s="10">
        <v>0.0112</v>
      </c>
      <c r="N8" t="str">
        <v>Bond:</v>
      </c>
      <c r="O8" s="4">
        <f>M8*SUM(O6:O7)</f>
        <v>9980.0176</v>
      </c>
      <c r="P8" s="10">
        <v>0.02</v>
      </c>
      <c r="Q8" t="str">
        <v>Bond:</v>
      </c>
      <c r="R8" s="4">
        <f>P8*SUM(R6:R7)</f>
        <v>12444</v>
      </c>
      <c r="S8" s="10">
        <v>0.02</v>
      </c>
      <c r="T8" t="str">
        <v>Bond:</v>
      </c>
      <c r="U8" s="4">
        <f>S8*SUM(U6:U7)</f>
        <v>17886.5</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771-209-1893</v>
      </c>
      <c r="C9" t="str">
        <v>Phone:</v>
      </c>
      <c r="G9" t="str">
        <v>-----</v>
      </c>
      <c r="H9" s="8" t="str">
        <v xml:space="preserve">  --------&gt;</v>
      </c>
      <c r="I9" s="8">
        <f>SUM(I7:I8)</f>
        <v>0</v>
      </c>
      <c r="K9" t="str">
        <v>Total Bid:</v>
      </c>
      <c r="L9" s="4">
        <f>IF(L5="FULL SCOPE",SUM(L6:L8),"not level")</f>
        <v>883728</v>
      </c>
      <c r="N9" t="str">
        <v>Total Bid:</v>
      </c>
      <c r="O9" s="4">
        <f>IF(O5="FULL SCOPE",SUM(O6:O8),"not level")</f>
        <v>901053.0176</v>
      </c>
      <c r="Q9" t="str">
        <v>Total Bid:</v>
      </c>
      <c r="R9" s="4" t="str">
        <f>IF(R5="FULL SCOPE",SUM(R6:R8),"not level")</f>
        <v>not level</v>
      </c>
      <c r="T9" t="str">
        <v>Total Bid:</v>
      </c>
      <c r="U9" s="4">
        <f>IF(U5="FULL SCOPE",SUM(U6:U8),"not level")</f>
        <v>912211.5</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t="str">
        <f>IF(R5="NO","INCOMPLETE",RANK.EQ(R9,$L$9:$AE$9,1))</f>
        <v>INCOMPLETE</v>
      </c>
      <c r="T10">
        <f>IF(U5="NO","INCOMPLETE",RANK.EQ(U9,$L$9:$AE$9,1))</f>
        <v>3</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J16" t="str">
        <v>Y</v>
      </c>
      <c r="M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f>O6</f>
        <v>876073</v>
      </c>
      <c r="R19" s="8">
        <f>R6</f>
        <v>622200</v>
      </c>
      <c r="U19" s="8">
        <f>U6</f>
        <v>894325</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PVC Roofing</v>
      </c>
      <c r="C22" t="str">
        <v>#</v>
      </c>
      <c r="D22" t="str">
        <v>$</v>
      </c>
      <c r="I22" s="8">
        <f>H22*F22</f>
        <v>0</v>
      </c>
      <c r="L22" s="8">
        <v>402200</v>
      </c>
    </row>
    <row r="23" ht="14.25" customHeight="1">
      <c r="A23">
        <f>A22+1</f>
        <v>5</v>
      </c>
      <c r="B23" t="str">
        <v>Green Roof</v>
      </c>
      <c r="C23" t="str">
        <v>#</v>
      </c>
      <c r="D23" t="str">
        <v>$</v>
      </c>
      <c r="I23" s="8">
        <f>H23*F23</f>
        <v>0</v>
      </c>
      <c r="L23" s="8">
        <v>464200</v>
      </c>
    </row>
    <row r="24" ht="14.25" customHeight="1">
      <c r="A24">
        <f>A23+1</f>
        <v>6</v>
      </c>
      <c r="C24" t="str">
        <v>#</v>
      </c>
      <c r="D24" t="str">
        <v>$</v>
      </c>
      <c r="I24" s="8">
        <f>H24*F24</f>
        <v>0</v>
      </c>
    </row>
    <row r="25" ht="14.25" customHeight="1">
      <c r="A25">
        <f>A24+1</f>
        <v>7</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PVC Roofing</v>
      </c>
      <c r="C28" t="str">
        <v>#</v>
      </c>
      <c r="D28" t="str">
        <v>SF</v>
      </c>
      <c r="I28" s="8">
        <f>H28*F28</f>
        <v>0</v>
      </c>
    </row>
    <row r="29" ht="14.25" customHeight="1">
      <c r="A29">
        <f>A28+1</f>
        <v>11</v>
      </c>
      <c r="B29" t="str">
        <v>Green Roof</v>
      </c>
      <c r="C29" t="str">
        <v>#</v>
      </c>
      <c r="D29" t="str">
        <v>SF</v>
      </c>
      <c r="I29" s="8">
        <f>H29*F29</f>
        <v>0</v>
      </c>
    </row>
    <row r="30" ht="14.25" customHeight="1">
      <c r="A30">
        <f>A29+1</f>
        <v>12</v>
      </c>
      <c r="C30" t="str">
        <v>#</v>
      </c>
      <c r="I30" s="8">
        <f>H30*F30</f>
        <v>0</v>
      </c>
    </row>
    <row r="31" ht="14.25" customHeight="1">
      <c r="A31">
        <f>A30+1</f>
        <v>13</v>
      </c>
      <c r="C31" t="str">
        <v>#</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c r="J36" t="str">
        <v>Y</v>
      </c>
    </row>
    <row r="37" ht="14.25" customHeight="1">
      <c r="B37" t="str">
        <v>072100 - Thermal Insulation</v>
      </c>
      <c r="C37" t="str">
        <v>Y</v>
      </c>
      <c r="J37" t="str">
        <v>Y</v>
      </c>
    </row>
    <row r="38" ht="14.25" customHeight="1">
      <c r="B38" t="str">
        <v>074213.13 - Formed Metal Wall Panels</v>
      </c>
      <c r="C38" t="str">
        <v>Y</v>
      </c>
      <c r="J38" t="str">
        <v>Y</v>
      </c>
    </row>
    <row r="39" ht="14.25" customHeight="1">
      <c r="B39" t="str">
        <v>074293 - Soffit Panels</v>
      </c>
      <c r="C39" t="str">
        <v>Y</v>
      </c>
      <c r="J39" t="str">
        <v>Y</v>
      </c>
    </row>
    <row r="40" ht="14.25" customHeight="1">
      <c r="B40" t="str">
        <v>075423 - Thermoplastic-Polyolefin (TPO) Roofing</v>
      </c>
      <c r="C40" t="str">
        <v>Y</v>
      </c>
      <c r="J40" t="str">
        <v>Y</v>
      </c>
    </row>
    <row r="41" ht="14.25" customHeight="1">
      <c r="B41" t="str">
        <v>076200 - Sheet Metal Flashing and Trim</v>
      </c>
      <c r="C41" t="str">
        <v>Y</v>
      </c>
      <c r="J41" t="str">
        <v>Y</v>
      </c>
    </row>
    <row r="42" ht="14.25" customHeight="1">
      <c r="B42" t="str">
        <v>076419 - Flat Lock Metal Panel System</v>
      </c>
      <c r="C42" t="str">
        <v>Y</v>
      </c>
      <c r="J42" t="str">
        <v>Y</v>
      </c>
    </row>
    <row r="43" ht="14.25" customHeight="1">
      <c r="B43" t="str">
        <v>077200 - Roof Accessories</v>
      </c>
      <c r="C43" t="str">
        <v>Y</v>
      </c>
      <c r="J43" t="str">
        <v>Y</v>
      </c>
    </row>
    <row r="44" ht="14.25" customHeight="1">
      <c r="B44" t="str">
        <v>078413 - Penetration Firestopping</v>
      </c>
      <c r="C44" t="str">
        <v>Y</v>
      </c>
      <c r="J44" t="str">
        <v>Y</v>
      </c>
    </row>
    <row r="45" ht="14.25" customHeight="1">
      <c r="B45" t="str">
        <v>078443 - Joint Firestopping</v>
      </c>
      <c r="C45" t="str">
        <v>Y</v>
      </c>
      <c r="J45" t="str">
        <v>Y</v>
      </c>
    </row>
    <row r="46" ht="14.25" customHeight="1">
      <c r="B46" t="str">
        <v>079200 - Joint Sealants</v>
      </c>
      <c r="C46" t="str">
        <v>Y</v>
      </c>
      <c r="J46" t="str">
        <v>Y</v>
      </c>
    </row>
    <row r="47" ht="14.25" customHeight="1">
      <c r="B47" t="str">
        <v>Geotech Report ID # by Engineer dated YYYY-MM-DD</v>
      </c>
      <c r="C47" t="str">
        <v>Y</v>
      </c>
      <c r="J47" t="str">
        <v>Y</v>
      </c>
    </row>
    <row r="48" ht="14.25" customHeight="1">
      <c r="A48" t="str">
        <v>B</v>
      </c>
      <c r="B48" t="str">
        <v>Inclusions</v>
      </c>
    </row>
    <row r="49" ht="14.25" customHeight="1">
      <c r="A49">
        <v>1</v>
      </c>
      <c r="B49" t="str">
        <v>SPECIFIC SCOPE ITEMS</v>
      </c>
      <c r="C49" t="str">
        <v>Y</v>
      </c>
      <c r="I49" s="8">
        <f>H49*F49</f>
        <v>0</v>
      </c>
      <c r="J49" t="str">
        <v>Y</v>
      </c>
      <c r="M49" t="str">
        <v>Y</v>
      </c>
    </row>
    <row r="50" ht="14.25" customHeight="1">
      <c r="A50">
        <f>A49+1</f>
        <v>2</v>
      </c>
      <c r="B50" t="str">
        <v>Polyvinyl Chloride (PVC) Roofing</v>
      </c>
      <c r="C50" t="str">
        <v>Y</v>
      </c>
      <c r="I50" s="8">
        <f>H50*F50</f>
        <v>0</v>
      </c>
      <c r="J50" t="str">
        <v>Y</v>
      </c>
      <c r="M50" t="str">
        <v>Y</v>
      </c>
    </row>
    <row r="51" ht="14.25" customHeight="1">
      <c r="A51">
        <f>A50+1</f>
        <v>3</v>
      </c>
      <c r="B51" t="str">
        <v>Fabric reinforced, heavy fleece-back PVC sheet type III - B.O.D.: Soprema Sentinel P200HFB</v>
      </c>
      <c r="C51" t="str">
        <v>Y</v>
      </c>
      <c r="I51" s="8">
        <f>H51*F51</f>
        <v>0</v>
      </c>
      <c r="J51" t="str">
        <v>Y</v>
      </c>
      <c r="M51" t="str">
        <v>Y</v>
      </c>
    </row>
    <row r="52" ht="14.25" customHeight="1">
      <c r="A52">
        <f>A51+1</f>
        <v>4</v>
      </c>
      <c r="B52" t="str">
        <v>80 mils nominal thickness</v>
      </c>
      <c r="C52" t="str">
        <v>Y</v>
      </c>
      <c r="I52" s="8">
        <f>H52*F52</f>
        <v>0</v>
      </c>
      <c r="J52" t="str">
        <v>Y</v>
      </c>
      <c r="M52" t="str">
        <v>Y</v>
      </c>
    </row>
    <row r="53" ht="14.25" customHeight="1">
      <c r="A53">
        <f>A52+1</f>
        <v>5</v>
      </c>
      <c r="B53" t="str">
        <v>White exposed face color</v>
      </c>
      <c r="C53" t="str">
        <v>Y</v>
      </c>
      <c r="I53" s="8">
        <f>H53*F53</f>
        <v>0</v>
      </c>
      <c r="J53" t="str">
        <v>Y</v>
      </c>
      <c r="M53" t="str">
        <v>Y</v>
      </c>
    </row>
    <row r="54" ht="14.25" customHeight="1">
      <c r="A54">
        <f>A53+1</f>
        <v>6</v>
      </c>
      <c r="B54" t="str">
        <v>Include all materials and accessories per manufacturer's recommendations per specifications to include, but not limited to;</v>
      </c>
      <c r="C54" t="str">
        <v>Y</v>
      </c>
      <c r="I54" s="8">
        <f>H54*F54</f>
        <v>0</v>
      </c>
      <c r="J54" t="str">
        <v>Y</v>
      </c>
      <c r="M54" t="str">
        <v>Y</v>
      </c>
    </row>
    <row r="55" ht="14.25" customHeight="1">
      <c r="A55">
        <f>A54+1</f>
        <v>7</v>
      </c>
      <c r="B55" t="str">
        <v>Adhesive and sealants</v>
      </c>
      <c r="C55" t="str">
        <v>Y</v>
      </c>
      <c r="I55" s="8">
        <f>H55*F55</f>
        <v>0</v>
      </c>
      <c r="J55" t="str">
        <v>Y</v>
      </c>
      <c r="M55" t="str">
        <v>Y</v>
      </c>
    </row>
    <row r="56" ht="14.25" customHeight="1">
      <c r="A56">
        <f>A55+1</f>
        <v>8</v>
      </c>
      <c r="B56" t="str">
        <v>Sheet flashing, standard manufacturer's standard unreinforced TPO sheet flashing, 55 mils thick min of same color as PVC sheet</v>
      </c>
      <c r="C56" t="str">
        <v>Y</v>
      </c>
      <c r="I56" s="8">
        <f>H56*F56</f>
        <v>0</v>
      </c>
      <c r="J56" t="str">
        <v>Y</v>
      </c>
      <c r="M56" t="str">
        <v>Y</v>
      </c>
    </row>
    <row r="57" ht="14.25" customHeight="1">
      <c r="A57">
        <f>A56+1</f>
        <v>9</v>
      </c>
      <c r="B57" t="str">
        <v>Prefabricated pipe flashings</v>
      </c>
      <c r="C57" t="str">
        <v>Y</v>
      </c>
      <c r="I57" s="8">
        <f>H57*F57</f>
        <v>0</v>
      </c>
      <c r="J57" t="str">
        <v>Y</v>
      </c>
      <c r="M57" t="str">
        <v>Y</v>
      </c>
    </row>
    <row r="58" ht="14.25" customHeight="1">
      <c r="A58">
        <f>A57+1</f>
        <v>10</v>
      </c>
      <c r="B58" t="str">
        <v>Bonding adhesive - Soprema Duotack SPF HFO Adhesive</v>
      </c>
      <c r="C58" t="str">
        <v>Y</v>
      </c>
      <c r="I58" s="8">
        <f>H58*F58</f>
        <v>0</v>
      </c>
      <c r="J58" t="str">
        <v>Y</v>
      </c>
      <c r="M58" t="str">
        <v>Y</v>
      </c>
    </row>
    <row r="59" ht="14.25" customHeight="1">
      <c r="A59">
        <f>A58+1</f>
        <v>11</v>
      </c>
      <c r="B59" t="str">
        <v>PCV-Clad sheet metal</v>
      </c>
      <c r="C59" t="str">
        <v>Y</v>
      </c>
      <c r="I59" s="8">
        <f>H59*F59</f>
        <v>0</v>
      </c>
      <c r="J59" t="str">
        <v>Y</v>
      </c>
      <c r="M59" t="str">
        <v>Y</v>
      </c>
    </row>
    <row r="60" ht="14.25" customHeight="1">
      <c r="A60">
        <f>A59+1</f>
        <v>12</v>
      </c>
      <c r="B60" t="str">
        <v>Metal termination bars, predrilled stainless steel or aluminum bars approximately 1 by 1/8 inch thick with anchors</v>
      </c>
      <c r="C60" t="str">
        <v>Y</v>
      </c>
      <c r="I60" s="8">
        <f>H60*F60</f>
        <v>0</v>
      </c>
      <c r="J60" t="str">
        <v>Y</v>
      </c>
      <c r="M60" t="str">
        <v>Y</v>
      </c>
    </row>
    <row r="61" ht="14.25" customHeight="1">
      <c r="A61">
        <f>A60+1</f>
        <v>13</v>
      </c>
      <c r="B61" t="str">
        <v>Metal battans, aluminum-zinc-allow-coated or zinc-coated steel steeh approximately 1 inch by 0.05 inch thick, prepunched</v>
      </c>
      <c r="C61" t="str">
        <v>Y</v>
      </c>
      <c r="I61" s="8">
        <f>H61*F61</f>
        <v>0</v>
      </c>
      <c r="J61" t="str">
        <v>Y</v>
      </c>
      <c r="M61" t="str">
        <v>Y</v>
      </c>
    </row>
    <row r="62" ht="14.25" customHeight="1">
      <c r="A62">
        <f>A61+1</f>
        <v>14</v>
      </c>
      <c r="B62" t="str">
        <v>Fasteners</v>
      </c>
      <c r="C62" t="str">
        <v>Y</v>
      </c>
      <c r="I62" s="8">
        <f>H62*F62</f>
        <v>0</v>
      </c>
      <c r="J62" t="str">
        <v>Y</v>
      </c>
      <c r="M62" t="str">
        <v>Y</v>
      </c>
    </row>
    <row r="63" ht="14.25" customHeight="1">
      <c r="A63">
        <f>A62+1</f>
        <v>15</v>
      </c>
      <c r="B63" t="str">
        <v>Pourable sealers</v>
      </c>
      <c r="C63" t="str">
        <v>Y</v>
      </c>
      <c r="I63" s="8">
        <f>H63*F63</f>
        <v>0</v>
      </c>
      <c r="J63" t="str">
        <v>Y</v>
      </c>
      <c r="M63" t="str">
        <v>Y</v>
      </c>
    </row>
    <row r="64" ht="14.25" customHeight="1">
      <c r="A64">
        <f>A63+1</f>
        <v>16</v>
      </c>
      <c r="B64" t="str">
        <v>Preformed cone and vent sheet flashings</v>
      </c>
      <c r="C64" t="str">
        <v>Y</v>
      </c>
      <c r="I64" s="8">
        <f>H64*F64</f>
        <v>0</v>
      </c>
      <c r="J64" t="str">
        <v>Y</v>
      </c>
      <c r="M64" t="str">
        <v>Y</v>
      </c>
    </row>
    <row r="65" ht="14.25" customHeight="1">
      <c r="A65">
        <f>A64+1</f>
        <v>17</v>
      </c>
      <c r="B65" t="str">
        <v>Preformed inside and outside corner sheet flashings</v>
      </c>
      <c r="C65" t="str">
        <v>Y</v>
      </c>
      <c r="I65" s="8">
        <f>H65*F65</f>
        <v>0</v>
      </c>
      <c r="J65" t="str">
        <v>Y</v>
      </c>
      <c r="M65" t="str">
        <v>Y</v>
      </c>
    </row>
    <row r="66" ht="14.25" customHeight="1">
      <c r="A66">
        <f>A65+1</f>
        <v>18</v>
      </c>
      <c r="B66" t="str">
        <v>T-joint covers</v>
      </c>
      <c r="C66" t="str">
        <v>Y</v>
      </c>
      <c r="I66" s="8">
        <f>H66*F66</f>
        <v>0</v>
      </c>
      <c r="J66" t="str">
        <v>Y</v>
      </c>
      <c r="M66" t="str">
        <v>Y</v>
      </c>
    </row>
    <row r="67" ht="14.25" customHeight="1">
      <c r="A67">
        <f>A66+1</f>
        <v>19</v>
      </c>
      <c r="B67" t="str">
        <v>Lap sealants</v>
      </c>
      <c r="C67" t="str">
        <v>Y</v>
      </c>
      <c r="I67" s="8">
        <f>H67*F67</f>
        <v>0</v>
      </c>
      <c r="J67" t="str">
        <v>Y</v>
      </c>
      <c r="M67" t="str">
        <v>Y</v>
      </c>
    </row>
    <row r="68" ht="14.25" customHeight="1">
      <c r="A68">
        <f>A67+1</f>
        <v>20</v>
      </c>
      <c r="B68" t="str">
        <v>Termination reglets</v>
      </c>
      <c r="C68" t="str">
        <v>Y</v>
      </c>
      <c r="I68" s="8">
        <f>H68*F68</f>
        <v>0</v>
      </c>
      <c r="J68" t="str">
        <v>Y</v>
      </c>
      <c r="M68" t="str">
        <v>Y</v>
      </c>
    </row>
    <row r="69" ht="14.25" customHeight="1">
      <c r="A69">
        <f>A68+1</f>
        <v>21</v>
      </c>
      <c r="B69" t="str">
        <v>Additional accessories as required for a complete assembly per manufacturer's recommendations</v>
      </c>
      <c r="C69" t="str">
        <v>Y</v>
      </c>
      <c r="I69" s="8">
        <f>H69*F69</f>
        <v>0</v>
      </c>
      <c r="J69" t="str">
        <v>Y</v>
      </c>
      <c r="M69" t="str">
        <v>Y</v>
      </c>
    </row>
    <row r="70" ht="14.25" customHeight="1">
      <c r="A70">
        <f>A69+1</f>
        <v>22</v>
      </c>
      <c r="B70" t="str">
        <v>Preformed roof insulation boards manufactured by of approved by roof membrane manufacturer and detailed in Project Documents</v>
      </c>
      <c r="C70" t="str">
        <v>Y</v>
      </c>
      <c r="I70" s="8">
        <f>H70*F70</f>
        <v>0</v>
      </c>
      <c r="J70" t="str">
        <v>Y</v>
      </c>
      <c r="K70" t="str">
        <v>R-33 per 1/A6.1</v>
      </c>
      <c r="M70" t="str">
        <v>Y</v>
      </c>
    </row>
    <row r="71" ht="14.25" customHeight="1">
      <c r="A71">
        <f>A70+1</f>
        <v>23</v>
      </c>
      <c r="B71" t="str">
        <v>Thermal insulation systems as detailed in Project Documents</v>
      </c>
      <c r="C71" t="str">
        <v>Y</v>
      </c>
      <c r="I71" s="8">
        <f>H71*F71</f>
        <v>0</v>
      </c>
      <c r="J71" t="str">
        <v>Y</v>
      </c>
      <c r="M71" t="str">
        <v>Y</v>
      </c>
    </row>
    <row r="72" ht="14.25" customHeight="1">
      <c r="A72">
        <f>A71+1</f>
        <v>24</v>
      </c>
      <c r="B72" t="str">
        <v>SBS-Modified bitumen vapor retarder/air barrier membranes as detailed in Project Documents - SOPRAVAP'R</v>
      </c>
      <c r="C72" t="str">
        <v>Y</v>
      </c>
      <c r="I72" s="8">
        <f>H72*F72</f>
        <v>0</v>
      </c>
      <c r="J72" t="str">
        <v>Y</v>
      </c>
      <c r="M72" t="str">
        <v>Y</v>
      </c>
    </row>
    <row r="73" ht="14.25" customHeight="1">
      <c r="A73">
        <f>A72+1</f>
        <v>25</v>
      </c>
      <c r="B73" t="str">
        <v>Roof insulation as detailed in the Project Documents</v>
      </c>
      <c r="C73" t="str">
        <v>Y</v>
      </c>
      <c r="I73" s="8">
        <f>H73*F73</f>
        <v>0</v>
      </c>
      <c r="J73" t="str">
        <v>Y</v>
      </c>
      <c r="M73" t="str">
        <v>Y</v>
      </c>
    </row>
    <row r="74" ht="14.25" customHeight="1">
      <c r="A74">
        <f>A73+1</f>
        <v>26</v>
      </c>
      <c r="B74" t="str">
        <v>Cover board</v>
      </c>
      <c r="C74" t="str">
        <v>Y</v>
      </c>
      <c r="I74" s="8">
        <f>H74*F74</f>
        <v>0</v>
      </c>
      <c r="J74" t="str">
        <v>Y</v>
      </c>
      <c r="M74" t="str">
        <v>Y</v>
      </c>
    </row>
    <row r="75" ht="14.25" customHeight="1">
      <c r="A75">
        <f>A74+1</f>
        <v>27</v>
      </c>
      <c r="B75" t="str">
        <v>All additional materials for a complete assembly</v>
      </c>
      <c r="C75" t="str">
        <v>Y</v>
      </c>
      <c r="I75" s="8">
        <f>H75*F75</f>
        <v>0</v>
      </c>
      <c r="J75" t="str">
        <v>Y</v>
      </c>
      <c r="M75" t="str">
        <v>Y</v>
      </c>
    </row>
    <row r="76" ht="14.25" customHeight="1">
      <c r="A76">
        <f>A75+1</f>
        <v>28</v>
      </c>
      <c r="B76" t="str">
        <v>Flexible walkways per specifications</v>
      </c>
      <c r="C76" t="str">
        <v>Y</v>
      </c>
      <c r="I76" s="8">
        <f>H76*F76</f>
        <v>0</v>
      </c>
      <c r="J76" t="str">
        <v>N</v>
      </c>
      <c r="K76" t="str">
        <v>None shown</v>
      </c>
      <c r="M76" t="str">
        <v>Y</v>
      </c>
      <c r="N76" t="str">
        <v>50LF INCL</v>
      </c>
    </row>
    <row r="77" ht="14.25" customHeight="1">
      <c r="A77">
        <f>A76+1</f>
        <v>29</v>
      </c>
      <c r="B77" t="str">
        <v>Approximately 36" x 60" with 3/16" thichness</v>
      </c>
      <c r="C77" t="str">
        <v>Y</v>
      </c>
      <c r="I77" s="8">
        <f>H77*F77</f>
        <v>0</v>
      </c>
      <c r="J77" t="str">
        <v>Y</v>
      </c>
      <c r="M77" t="str">
        <v>Y</v>
      </c>
    </row>
    <row r="78" ht="14.25" customHeight="1">
      <c r="A78">
        <f>A77+1</f>
        <v>30</v>
      </c>
      <c r="B78" t="str">
        <v>Contrasting color with roof membrane</v>
      </c>
      <c r="C78" t="str">
        <v>Y</v>
      </c>
      <c r="I78" s="8">
        <f>H78*F78</f>
        <v>0</v>
      </c>
      <c r="J78" t="str">
        <v>Y</v>
      </c>
      <c r="M78" t="str">
        <v>Y</v>
      </c>
    </row>
    <row r="79" ht="14.25" customHeight="1">
      <c r="A79">
        <f>A78+1</f>
        <v>31</v>
      </c>
      <c r="B79" t="str">
        <v>Roof-hatch units per specifications</v>
      </c>
      <c r="C79" t="str">
        <v>Y</v>
      </c>
      <c r="I79" s="8">
        <f>H79*F79</f>
        <v>0</v>
      </c>
      <c r="J79" t="str">
        <v>Y</v>
      </c>
      <c r="M79" t="str">
        <v>Y</v>
      </c>
    </row>
    <row r="80" ht="14.25" customHeight="1">
      <c r="A80">
        <f>A79+1</f>
        <v>32</v>
      </c>
      <c r="B80" t="str">
        <v>Manufacturer's warranty per specifications for a term of 20 years from date of Substantial Completion</v>
      </c>
      <c r="C80" t="str">
        <v>Y</v>
      </c>
      <c r="I80" s="8">
        <f>H80*F80</f>
        <v>0</v>
      </c>
      <c r="J80" t="str">
        <v>Y</v>
      </c>
      <c r="M80" t="str">
        <v>Y</v>
      </c>
    </row>
    <row r="81" ht="14.25" customHeight="1">
      <c r="A81">
        <f>A80+1</f>
        <v>33</v>
      </c>
      <c r="B81" t="str">
        <v>Roof Installer's warranty per specifications for a term of 2 years from date of Substantial Competion</v>
      </c>
      <c r="C81" t="str">
        <v>Y</v>
      </c>
      <c r="I81" s="8">
        <f>H81*F81</f>
        <v>0</v>
      </c>
      <c r="J81" t="str">
        <v>Y</v>
      </c>
      <c r="M81" t="str">
        <v>Y</v>
      </c>
    </row>
    <row r="82" ht="14.25" customHeight="1">
      <c r="A82">
        <f>A81+1</f>
        <v>34</v>
      </c>
      <c r="B82" t="str">
        <v>Obtain components for roofing system from roof membrane manufacturer or manufacturers approved by roofing membrane manufacturer</v>
      </c>
      <c r="C82" t="str">
        <v>Y</v>
      </c>
      <c r="I82" s="8">
        <f>H82*F82</f>
        <v>0</v>
      </c>
      <c r="J82" t="str">
        <v>Y</v>
      </c>
      <c r="M82" t="str">
        <v>Y</v>
      </c>
    </row>
    <row r="83" ht="14.25" customHeight="1">
      <c r="A83">
        <f>A82+1</f>
        <v>35</v>
      </c>
    </row>
    <row r="84" ht="14.25" customHeight="1">
      <c r="A84">
        <f>A83+1</f>
        <v>36</v>
      </c>
      <c r="B84" t="str">
        <v>Green Roof and Hot Fluid-Applied Rubberized Asphalt Waterproofing</v>
      </c>
      <c r="C84" t="str">
        <v>Y</v>
      </c>
      <c r="I84" s="8">
        <f>H84*F84</f>
        <v>0</v>
      </c>
      <c r="K84" t="str">
        <v>TBD</v>
      </c>
    </row>
    <row r="85" ht="14.25" customHeight="1">
      <c r="A85">
        <f>A84+1</f>
        <v>37</v>
      </c>
      <c r="B85" t="str">
        <v>Reinforced 100% solids rubberized asphalt membrane B.O.D.:</v>
      </c>
      <c r="C85" t="str">
        <v>Y</v>
      </c>
      <c r="I85" s="8">
        <f>H85*F85</f>
        <v>0</v>
      </c>
      <c r="K85" t="str">
        <v>Ecoline 4+1 per 1/A6.1</v>
      </c>
    </row>
    <row r="86" ht="14.25" customHeight="1">
      <c r="A86">
        <f>A85+1</f>
        <v>38</v>
      </c>
      <c r="B86" t="str">
        <v>American Hydrotech, Inc. Monolithic Membrane 6125 or caomparable product per specifications</v>
      </c>
      <c r="C86" t="str">
        <v>Y</v>
      </c>
      <c r="I86" s="8">
        <f>H86*F86</f>
        <v>0</v>
      </c>
    </row>
    <row r="87" ht="14.25" customHeight="1">
      <c r="A87">
        <f>A86+1</f>
        <v>39</v>
      </c>
      <c r="B87" t="str">
        <v>Include all accessories and materials per manufacturer's recommendation to include, but not limited to;</v>
      </c>
      <c r="C87" t="str">
        <v>Y</v>
      </c>
      <c r="I87" s="8">
        <f>H87*F87</f>
        <v>0</v>
      </c>
    </row>
    <row r="88" ht="14.25" customHeight="1">
      <c r="A88">
        <f>A87+1</f>
        <v>40</v>
      </c>
      <c r="B88" t="str">
        <v>Asphalt primer B.O.D. American Hydrotect, Inc. Surface Conditioner</v>
      </c>
      <c r="C88" t="str">
        <v>Y</v>
      </c>
      <c r="I88" s="8">
        <f>H88*F88</f>
        <v>0</v>
      </c>
    </row>
    <row r="89" ht="14.25" customHeight="1">
      <c r="A89">
        <f>A88+1</f>
        <v>41</v>
      </c>
      <c r="B89" t="str">
        <v>Elastomeric sheet flashing</v>
      </c>
      <c r="C89" t="str">
        <v>Y</v>
      </c>
      <c r="I89" s="8">
        <f>H89*F89</f>
        <v>0</v>
      </c>
    </row>
    <row r="90" ht="14.25" customHeight="1">
      <c r="A90">
        <f>A89+1</f>
        <v>42</v>
      </c>
      <c r="B90" t="str">
        <v>Adhesives</v>
      </c>
      <c r="C90" t="str">
        <v>Y</v>
      </c>
      <c r="I90" s="8">
        <f>H90*F90</f>
        <v>0</v>
      </c>
    </row>
    <row r="91" ht="14.25" customHeight="1">
      <c r="A91">
        <f>A90+1</f>
        <v>43</v>
      </c>
      <c r="B91" t="str">
        <v>Liquid applied flashing</v>
      </c>
      <c r="C91" t="str">
        <v>Y</v>
      </c>
      <c r="I91" s="8">
        <f>H91*F91</f>
        <v>0</v>
      </c>
    </row>
    <row r="92" ht="14.25" customHeight="1">
      <c r="A92">
        <f>A91+1</f>
        <v>44</v>
      </c>
      <c r="B92" t="str">
        <v>Metal termination bars</v>
      </c>
      <c r="C92" t="str">
        <v>Y</v>
      </c>
      <c r="I92" s="8">
        <f>H92*F92</f>
        <v>0</v>
      </c>
    </row>
    <row r="93" ht="14.25" customHeight="1">
      <c r="A93">
        <f>A92+1</f>
        <v>45</v>
      </c>
      <c r="B93" t="str">
        <v>Reinforcing fabric</v>
      </c>
      <c r="C93" t="str">
        <v>Y</v>
      </c>
      <c r="I93" s="8">
        <f>H93*F93</f>
        <v>0</v>
      </c>
    </row>
    <row r="94" ht="14.25" customHeight="1">
      <c r="A94">
        <f>A93+1</f>
        <v>46</v>
      </c>
      <c r="B94" t="str">
        <v>Drainage/Water retention component per specs B.O.D.: American Hydrotech, Inc. Gardendrain GR10</v>
      </c>
      <c r="C94" t="str">
        <v>Y</v>
      </c>
      <c r="I94" s="8">
        <f>H94*F94</f>
        <v>0</v>
      </c>
    </row>
    <row r="95" ht="14.25" customHeight="1">
      <c r="A95">
        <f>A94+1</f>
        <v>47</v>
      </c>
      <c r="B95" t="str">
        <v>Non-woven polymeric geotextile fabric per specs B.O.D.: American Hydrotech, Inc. Systemfilter</v>
      </c>
      <c r="C95" t="str">
        <v>Y</v>
      </c>
      <c r="I95" s="8">
        <f>H95*F95</f>
        <v>0</v>
      </c>
    </row>
    <row r="96" ht="14.25" customHeight="1">
      <c r="A96">
        <f>A95+1</f>
        <v>48</v>
      </c>
      <c r="B96" t="str">
        <v>Metal edging per specs B.O.D.: American Hydrotech, Inc. GardenEdge</v>
      </c>
      <c r="C96" t="str">
        <v>Y</v>
      </c>
      <c r="I96" s="8">
        <f>H96*F96</f>
        <v>0</v>
      </c>
    </row>
    <row r="97" ht="14.25" customHeight="1">
      <c r="A97">
        <f>A96+1</f>
        <v>49</v>
      </c>
      <c r="B97" t="str">
        <v>Inspection chambers per specs B.O.D.: American Hydrotech, Inc. GardenEdge</v>
      </c>
      <c r="C97" t="str">
        <v>Y</v>
      </c>
      <c r="I97" s="8">
        <f>H97*F97</f>
        <v>0</v>
      </c>
    </row>
    <row r="98" ht="14.25" customHeight="1">
      <c r="A98">
        <f>A97+1</f>
        <v>50</v>
      </c>
      <c r="B98" t="str">
        <v>Seperation/root barrier protection course B.O.D.:</v>
      </c>
      <c r="C98" t="str">
        <v>Y</v>
      </c>
      <c r="I98" s="8">
        <f>H98*F98</f>
        <v>0</v>
      </c>
    </row>
    <row r="99" ht="14.25" customHeight="1">
      <c r="A99">
        <f>A98+1</f>
        <v>51</v>
      </c>
      <c r="B99" t="str">
        <v>American Hydrotech, Inc. Hydroflex 30 and Root Stop or approved equal per specs</v>
      </c>
      <c r="C99" t="str">
        <v>Y</v>
      </c>
      <c r="I99" s="8">
        <f>H99*F99</f>
        <v>0</v>
      </c>
    </row>
    <row r="100" ht="14.25" customHeight="1">
      <c r="A100">
        <f>A99+1</f>
        <v>52</v>
      </c>
      <c r="B100" t="str">
        <v>Pressure-sensitive polyethylene root barrier tape with rubber adhesive B.O.D.:</v>
      </c>
      <c r="C100" t="str">
        <v>Y</v>
      </c>
      <c r="I100" s="8">
        <f>H100*F100</f>
        <v>0</v>
      </c>
    </row>
    <row r="101" ht="14.25" customHeight="1">
      <c r="A101">
        <f>A100+1</f>
        <v>53</v>
      </c>
      <c r="B101" t="str">
        <v>American Hydrotech, Inc. Root Stop Tape or approved equal per specs</v>
      </c>
      <c r="C101" t="str">
        <v>Y</v>
      </c>
      <c r="I101" s="8">
        <f>H101*F101</f>
        <v>0</v>
      </c>
    </row>
    <row r="102" ht="14.25" customHeight="1">
      <c r="A102">
        <f>A101+1</f>
        <v>54</v>
      </c>
      <c r="B102" t="str">
        <v>Nonwoven-Geotextile-Faced molded-sheet drainage panels B.O.D.:</v>
      </c>
      <c r="C102" t="str">
        <v>Y</v>
      </c>
      <c r="I102" s="8">
        <f>H102*F102</f>
        <v>0</v>
      </c>
    </row>
    <row r="103" ht="14.25" customHeight="1">
      <c r="A103">
        <f>A102+1</f>
        <v>55</v>
      </c>
      <c r="B103" t="str">
        <v>American Hydrotech, Inc. Hydrodrain 300 or approved equal per specs</v>
      </c>
      <c r="C103" t="str">
        <v>Y</v>
      </c>
      <c r="I103" s="8">
        <f>H103*F103</f>
        <v>0</v>
      </c>
    </row>
    <row r="104" ht="14.25" customHeight="1">
      <c r="A104">
        <f>A103+1</f>
        <v>56</v>
      </c>
      <c r="B104" t="str">
        <v>Type VI unfaced plaza-deck insulation drainage panels typical, B.O.D.:</v>
      </c>
      <c r="C104" t="str">
        <v>Y</v>
      </c>
      <c r="I104" s="8">
        <f>H104*F104</f>
        <v>0</v>
      </c>
    </row>
    <row r="105" ht="14.25" customHeight="1">
      <c r="A105">
        <f>A104+1</f>
        <v>57</v>
      </c>
      <c r="B105" t="str">
        <v>DuPont de Nemours, Inc. Styrofoam Roofmate</v>
      </c>
      <c r="C105" t="str">
        <v>Y</v>
      </c>
      <c r="I105" s="8">
        <f>H105*F105</f>
        <v>0</v>
      </c>
    </row>
    <row r="106" ht="14.25" customHeight="1">
      <c r="A106">
        <f>A105+1</f>
        <v>58</v>
      </c>
      <c r="B106" t="str">
        <v>Type VII unfaced plaza deck insulation drainage panels at top two inches of insulation at paver locations, B.O.D.:</v>
      </c>
      <c r="C106" t="str">
        <v>Y</v>
      </c>
      <c r="I106" s="8">
        <f>H106*F106</f>
        <v>0</v>
      </c>
    </row>
    <row r="107" ht="14.25" customHeight="1">
      <c r="A107">
        <f>A106+1</f>
        <v>59</v>
      </c>
      <c r="B107" t="str">
        <v>DupPont de Nemours, Inc. Styrofoam Plazamate</v>
      </c>
      <c r="C107" t="str">
        <v>Y</v>
      </c>
      <c r="I107" s="8">
        <f>H107*F107</f>
        <v>0</v>
      </c>
    </row>
    <row r="108" ht="14.25" customHeight="1">
      <c r="A108">
        <f>A107+1</f>
        <v>60</v>
      </c>
      <c r="B108" t="str">
        <v>Provide factory-tapered insulation boards with minimum thickness of 1/4 inch with slope of 1/2 inch per foor unless otherwise shown</v>
      </c>
      <c r="C108" t="str">
        <v>Y</v>
      </c>
      <c r="I108" s="8">
        <f>H108*F108</f>
        <v>0</v>
      </c>
    </row>
    <row r="109" ht="14.25" customHeight="1">
      <c r="A109">
        <f>A108+1</f>
        <v>61</v>
      </c>
      <c r="B109" t="str">
        <v>Concrete plaza-deck pavers per sepcs B.O.D.:</v>
      </c>
      <c r="C109" t="str">
        <v>Y</v>
      </c>
      <c r="I109" s="8">
        <f>H109*F109</f>
        <v>0</v>
      </c>
    </row>
    <row r="110" ht="14.25" customHeight="1">
      <c r="A110">
        <f>A109+1</f>
        <v>62</v>
      </c>
      <c r="B110" t="str">
        <v>Hanover Architectural Products Roof and Plaze Pavers, 2 inch thickness, 24 inch square face</v>
      </c>
      <c r="C110" t="str">
        <v>Y</v>
      </c>
      <c r="I110" s="8">
        <f>H110*F110</f>
        <v>0</v>
      </c>
    </row>
    <row r="111" ht="14.25" customHeight="1">
      <c r="A111">
        <f>A110+1</f>
        <v>63</v>
      </c>
      <c r="B111" t="str">
        <v>Paver-support assembly standard per manufacturer including adjustable or stackable pedestals, shims, and spacer tabs for joint spacing of 1/8 inch</v>
      </c>
      <c r="C111" t="str">
        <v>Y</v>
      </c>
      <c r="I111" s="8">
        <f>H111*F111</f>
        <v>0</v>
      </c>
    </row>
    <row r="112" ht="14.25" customHeight="1">
      <c r="A112">
        <f>A111+1</f>
        <v>64</v>
      </c>
      <c r="B112" t="str">
        <v>Include complete green roof assembly as shown on drawings and detailed in specifications</v>
      </c>
      <c r="C112" t="str">
        <v>Y</v>
      </c>
      <c r="I112" s="8">
        <f>H112*F112</f>
        <v>0</v>
      </c>
      <c r="K112" t="str">
        <v>Ecoline 4+1 per 1/A6.1</v>
      </c>
      <c r="M112" t="str">
        <v>Y</v>
      </c>
      <c r="N112" t="str">
        <v>4+1 Green Roof System</v>
      </c>
    </row>
    <row r="113" ht="14.25" customHeight="1">
      <c r="A113">
        <f>A112+1</f>
        <v>65</v>
      </c>
      <c r="B113" t="str">
        <v>Include all roofing accessories as shown on drawings and detailed in specifications</v>
      </c>
      <c r="C113" t="str">
        <v>Y</v>
      </c>
      <c r="I113" s="8">
        <f>H113*F113</f>
        <v>0</v>
      </c>
      <c r="M113" t="str">
        <v>Y</v>
      </c>
    </row>
    <row r="114" ht="14.25" customHeight="1">
      <c r="A114">
        <f>A113+1</f>
        <v>66</v>
      </c>
      <c r="B114" t="str">
        <v>Extend roof membrane up parapet walls for a complete and enclodues system, refer to A6.1 &amp; A6.2 for the wall sections</v>
      </c>
      <c r="C114" t="str">
        <v>Y</v>
      </c>
      <c r="I114" s="8">
        <f>H114*F114</f>
        <v>0</v>
      </c>
      <c r="M114" t="str">
        <v>Y</v>
      </c>
    </row>
    <row r="115" ht="14.25" customHeight="1">
      <c r="A115">
        <f>A114+1</f>
        <v>67</v>
      </c>
      <c r="B115" t="str">
        <v>Storm overflow scuppers and downspouts</v>
      </c>
      <c r="C115" t="str">
        <v>N/A</v>
      </c>
      <c r="I115" s="8">
        <f>H115*F115</f>
        <v>0</v>
      </c>
      <c r="M115" t="str">
        <v>N/OK</v>
      </c>
      <c r="N115" t="str">
        <v>None shown</v>
      </c>
    </row>
    <row r="116" ht="14.25" customHeight="1">
      <c r="A116">
        <f>A115+1</f>
        <v>68</v>
      </c>
      <c r="B116" t="str">
        <v>Ensure coverboard at entire roof for PV panels and supports to attach to</v>
      </c>
      <c r="C116" t="str">
        <v>Y</v>
      </c>
      <c r="I116" s="8">
        <f>H116*F116</f>
        <v>0</v>
      </c>
      <c r="M116" t="str">
        <v>Y/N</v>
      </c>
      <c r="N116" t="str">
        <v>No attachments</v>
      </c>
    </row>
    <row r="117" ht="14.25" customHeight="1">
      <c r="A117">
        <f>A116+1</f>
        <v>69</v>
      </c>
    </row>
    <row r="118" ht="14.25" customHeight="1">
      <c r="A118">
        <f>A117+1</f>
        <v>70</v>
      </c>
      <c r="B118" t="str">
        <v>Exterior Metal Soffit Panels [PROVIDE BREAKOUT]</v>
      </c>
      <c r="I118" s="8">
        <f>H118*F118</f>
        <v>0</v>
      </c>
      <c r="J118" t="str">
        <v>N</v>
      </c>
      <c r="K118" t="str">
        <v>IN PANELS</v>
      </c>
    </row>
    <row r="119" ht="14.25" customHeight="1">
      <c r="A119">
        <f>A118+1</f>
        <v>71</v>
      </c>
      <c r="B119" t="str">
        <v>Tongue-and-groove aluminum soffit B.O.D.:</v>
      </c>
      <c r="I119" s="8">
        <f>H119*F119</f>
        <v>0</v>
      </c>
      <c r="J119" t="str">
        <v>N</v>
      </c>
      <c r="K119">
        <v>37300</v>
      </c>
    </row>
    <row r="120" ht="14.25" customHeight="1">
      <c r="A120">
        <f>A119+1</f>
        <v>72</v>
      </c>
      <c r="B120" t="str">
        <v>Longboard Tongue-and-Groove Planks or approved equal per specifications</v>
      </c>
      <c r="I120" s="8">
        <f>H120*F120</f>
        <v>0</v>
      </c>
      <c r="J120" t="str">
        <v>N</v>
      </c>
    </row>
    <row r="121" ht="14.25" customHeight="1">
      <c r="A121">
        <f>A120+1</f>
        <v>73</v>
      </c>
      <c r="B121" t="str">
        <v>V-groove profile</v>
      </c>
      <c r="I121" s="8">
        <f>H121*F121</f>
        <v>0</v>
      </c>
      <c r="J121" t="str">
        <v>N</v>
      </c>
    </row>
    <row r="122" ht="14.25" customHeight="1">
      <c r="A122">
        <f>A121+1</f>
        <v>74</v>
      </c>
      <c r="B122" t="str">
        <v>Powder coated wood grain color finish as selected by Architect</v>
      </c>
      <c r="I122" s="8">
        <f>H122*F122</f>
        <v>0</v>
      </c>
      <c r="J122" t="str">
        <v>N</v>
      </c>
    </row>
    <row r="123" ht="14.25" customHeight="1">
      <c r="A123">
        <f>A122+1</f>
        <v>75</v>
      </c>
      <c r="B123" t="str">
        <v>Include all materials and accessories for a complete systems to include, but not limited to, to match materail and finish of metal panels u.n.o.;</v>
      </c>
      <c r="I123" s="8">
        <f>H123*F123</f>
        <v>0</v>
      </c>
      <c r="J123" t="str">
        <v>N</v>
      </c>
    </row>
    <row r="124" ht="14.25" customHeight="1">
      <c r="A124">
        <f>A123+1</f>
        <v>76</v>
      </c>
      <c r="B124" t="str">
        <v>Trim</v>
      </c>
      <c r="I124" s="8">
        <f>H124*F124</f>
        <v>0</v>
      </c>
      <c r="J124" t="str">
        <v>N</v>
      </c>
    </row>
    <row r="125" ht="14.25" customHeight="1">
      <c r="A125">
        <f>A124+1</f>
        <v>77</v>
      </c>
      <c r="B125" t="str">
        <v>Flashings</v>
      </c>
      <c r="I125" s="8">
        <f>H125*F125</f>
        <v>0</v>
      </c>
      <c r="J125" t="str">
        <v>N</v>
      </c>
    </row>
    <row r="126" ht="14.25" customHeight="1">
      <c r="A126">
        <f>A125+1</f>
        <v>78</v>
      </c>
      <c r="B126" t="str">
        <v>Fillings</v>
      </c>
      <c r="I126" s="8">
        <f>H126*F126</f>
        <v>0</v>
      </c>
      <c r="J126" t="str">
        <v>N</v>
      </c>
    </row>
    <row r="127" ht="14.25" customHeight="1">
      <c r="A127">
        <f>A126+1</f>
        <v>79</v>
      </c>
      <c r="B127" t="str">
        <v>Fillers</v>
      </c>
      <c r="I127" s="8">
        <f>H127*F127</f>
        <v>0</v>
      </c>
      <c r="J127" t="str">
        <v>N</v>
      </c>
    </row>
    <row r="128" ht="14.25" customHeight="1">
      <c r="A128">
        <f>A127+1</f>
        <v>80</v>
      </c>
      <c r="B128" t="str">
        <v>Closure strips</v>
      </c>
      <c r="I128" s="8">
        <f>H128*F128</f>
        <v>0</v>
      </c>
      <c r="J128" t="str">
        <v>N</v>
      </c>
    </row>
    <row r="129" ht="14.25" customHeight="1">
      <c r="A129">
        <f>A128+1</f>
        <v>81</v>
      </c>
      <c r="B129" t="str">
        <v>Flashing and trim</v>
      </c>
      <c r="I129" s="8">
        <f>H129*F129</f>
        <v>0</v>
      </c>
      <c r="J129" t="str">
        <v>N</v>
      </c>
    </row>
    <row r="130" ht="14.25" customHeight="1">
      <c r="A130">
        <f>A129+1</f>
        <v>82</v>
      </c>
      <c r="B130" t="str">
        <v>Panel fasteners</v>
      </c>
      <c r="I130" s="8">
        <f>H130*F130</f>
        <v>0</v>
      </c>
      <c r="J130" t="str">
        <v>N</v>
      </c>
    </row>
    <row r="131" ht="14.25" customHeight="1">
      <c r="A131">
        <f>A130+1</f>
        <v>83</v>
      </c>
    </row>
    <row r="132" ht="14.25" customHeight="1">
      <c r="A132">
        <f>A131+1</f>
        <v>84</v>
      </c>
      <c r="B132" t="str">
        <v>Ensure roof at pool equipment building is included</v>
      </c>
      <c r="C132" t="str">
        <v>N</v>
      </c>
      <c r="I132" s="8">
        <f>H132*F132</f>
        <v>0</v>
      </c>
      <c r="J132" t="str">
        <v>N/NA</v>
      </c>
      <c r="M132" t="str">
        <v>N/NA</v>
      </c>
    </row>
    <row r="133" ht="14.25" customHeight="1">
      <c r="A133">
        <f>A132+1</f>
        <v>85</v>
      </c>
      <c r="B133" t="str">
        <v>Furnish and install metal coping to match copper metal wall panels where shown on drawings [PROVIDE BREAKOUT]</v>
      </c>
      <c r="C133" t="str">
        <v>Y</v>
      </c>
      <c r="I133" s="8">
        <f>H133*F133</f>
        <v>0</v>
      </c>
      <c r="J133" t="str">
        <v>N/NA</v>
      </c>
      <c r="K133" t="str">
        <v>IN Panels</v>
      </c>
    </row>
    <row r="134" ht="14.25" customHeight="1">
      <c r="A134">
        <f>A133+1</f>
        <v>86</v>
      </c>
      <c r="B134" t="str">
        <v>Provide warranty as specificed in the specifications</v>
      </c>
      <c r="C134" t="str">
        <v>Y</v>
      </c>
      <c r="I134" s="8">
        <f>H134*F134</f>
        <v>0</v>
      </c>
      <c r="J134" t="str">
        <v>Y</v>
      </c>
      <c r="M134" t="str">
        <v>Y</v>
      </c>
    </row>
    <row r="135" ht="14.25" customHeight="1">
      <c r="A135">
        <f>A134+1</f>
        <v>87</v>
      </c>
      <c r="B135" t="str">
        <v>Include all insulation as specified</v>
      </c>
      <c r="C135" t="str">
        <v>Y</v>
      </c>
      <c r="I135" s="8">
        <f>H135*F135</f>
        <v>0</v>
      </c>
      <c r="J135" t="str">
        <v>Y</v>
      </c>
      <c r="M135" t="str">
        <v>Y</v>
      </c>
    </row>
    <row r="136" ht="14.25" customHeight="1">
      <c r="A136">
        <f>A135+1</f>
        <v>88</v>
      </c>
      <c r="B136" t="str">
        <v>Include aggregate ballast per specifications and product requirements</v>
      </c>
      <c r="C136" t="str">
        <v>Y</v>
      </c>
      <c r="I136" s="8">
        <f>H136*F136</f>
        <v>0</v>
      </c>
      <c r="J136" t="str">
        <v>Y</v>
      </c>
      <c r="M136" t="str">
        <v>Y</v>
      </c>
    </row>
    <row r="137" ht="14.25" customHeight="1">
      <c r="A137">
        <f>A136+1</f>
        <v>89</v>
      </c>
      <c r="B137" t="str">
        <v>Flash and seall all roof transitions and penetrations to include parapets, walls, curbs, columns, rail posts, roof drains, window washing anchors, pipe penetrations, etc.</v>
      </c>
      <c r="C137" t="str">
        <v>Y</v>
      </c>
      <c r="I137" s="8">
        <f>H137*F137</f>
        <v>0</v>
      </c>
      <c r="J137" t="str">
        <v>Y</v>
      </c>
      <c r="M137" t="str">
        <v>Y</v>
      </c>
      <c r="N137" t="str">
        <v>Crossed out columns, rail posts, window washing anchors - OK!</v>
      </c>
    </row>
    <row r="138" ht="14.25" customHeight="1">
      <c r="A138">
        <f>A137+1</f>
        <v>90</v>
      </c>
      <c r="B138" t="str">
        <v>Include expansion joint bellows/assembly systems through roof system is shown on drawings</v>
      </c>
      <c r="C138" t="str">
        <v>N/A</v>
      </c>
      <c r="I138" s="8">
        <f>H138*F138</f>
        <v>0</v>
      </c>
      <c r="J138" t="str">
        <v>Y</v>
      </c>
      <c r="M138" t="str">
        <v>N/A</v>
      </c>
    </row>
    <row r="139" ht="14.25" customHeight="1">
      <c r="A139">
        <f>A138+1</f>
        <v>91</v>
      </c>
      <c r="B139" t="str">
        <v>Include vapor barrier running up parapet wall</v>
      </c>
      <c r="C139" t="str">
        <v>Y</v>
      </c>
      <c r="I139" s="8">
        <f>H139*F139</f>
        <v>0</v>
      </c>
      <c r="J139" t="str">
        <v>Y</v>
      </c>
      <c r="M139" t="str">
        <v>Y</v>
      </c>
    </row>
    <row r="140" ht="14.25" customHeight="1">
      <c r="A140">
        <f>A139+1</f>
        <v>92</v>
      </c>
      <c r="B140" t="str">
        <v>Specification requirements for manufacturer's site visits and inspections</v>
      </c>
      <c r="C140" t="str">
        <v>Y</v>
      </c>
      <c r="I140" s="8">
        <f>H140*F140</f>
        <v>0</v>
      </c>
      <c r="J140" t="str">
        <v>Y</v>
      </c>
      <c r="M140" t="str">
        <v>Y</v>
      </c>
    </row>
    <row r="141" ht="14.25" customHeight="1">
      <c r="A141">
        <f>A140+1</f>
        <v>93</v>
      </c>
      <c r="B141" t="str">
        <v>Include all testing as required</v>
      </c>
      <c r="C141" t="str">
        <v>Y</v>
      </c>
      <c r="I141" s="8">
        <f>H141*F141</f>
        <v>0</v>
      </c>
      <c r="J141" t="str">
        <v>Y</v>
      </c>
      <c r="M141" t="str">
        <v>Y</v>
      </c>
    </row>
    <row r="142" ht="14.25" customHeight="1">
      <c r="A142">
        <f>A141+1</f>
        <v>94</v>
      </c>
      <c r="B142" t="str">
        <v>Provide any temporary curbs and flashing of curbs for testing operations as required if testing is required</v>
      </c>
      <c r="C142" t="str">
        <v>Y</v>
      </c>
      <c r="I142" s="8">
        <f>H142*F142</f>
        <v>0</v>
      </c>
      <c r="J142" t="str">
        <v>Y</v>
      </c>
      <c r="M142" t="str">
        <v>N</v>
      </c>
      <c r="N142" t="str">
        <v>Need more details</v>
      </c>
    </row>
    <row r="143" ht="14.25" customHeight="1">
      <c r="A143">
        <f>A142+1</f>
        <v>95</v>
      </c>
      <c r="B143" t="str">
        <v>Parapet copings, flashings and coutnerflashings</v>
      </c>
      <c r="C143" t="str">
        <v>Y</v>
      </c>
      <c r="I143" s="8">
        <f>H143*F143</f>
        <v>0</v>
      </c>
      <c r="J143" t="str">
        <v>Y</v>
      </c>
      <c r="M143" t="str">
        <v>N</v>
      </c>
      <c r="N143" t="str">
        <v>Copper and stone coping excl</v>
      </c>
    </row>
    <row r="144" ht="14.25" customHeight="1">
      <c r="A144">
        <f>A143+1</f>
        <v>96</v>
      </c>
      <c r="B144" t="str">
        <v>Gravel stops</v>
      </c>
      <c r="C144" t="str">
        <v>Y</v>
      </c>
      <c r="I144" s="8">
        <f>H144*F144</f>
        <v>0</v>
      </c>
      <c r="J144" t="str">
        <v>Y</v>
      </c>
      <c r="M144" t="str">
        <v>N</v>
      </c>
      <c r="N144" t="str">
        <v>None shown</v>
      </c>
    </row>
    <row r="145" ht="14.25" customHeight="1">
      <c r="A145">
        <f>A144+1</f>
        <v>97</v>
      </c>
      <c r="B145" t="str">
        <v>Curb flashings, counterflashings and termination bars</v>
      </c>
      <c r="C145" t="str">
        <v>Y</v>
      </c>
      <c r="I145" s="8">
        <f>H145*F145</f>
        <v>0</v>
      </c>
      <c r="J145" t="str">
        <v>Y</v>
      </c>
      <c r="M145" t="str">
        <v>Y</v>
      </c>
    </row>
    <row r="146" ht="14.25" customHeight="1">
      <c r="A146">
        <f>A145+1</f>
        <v>98</v>
      </c>
      <c r="B146" t="str">
        <v>Collar flashings and roof penetrations</v>
      </c>
      <c r="C146" t="str">
        <v>Y</v>
      </c>
      <c r="I146" s="8">
        <f>H146*F146</f>
        <v>0</v>
      </c>
      <c r="J146" t="str">
        <v>Y</v>
      </c>
      <c r="M146" t="str">
        <v>Y</v>
      </c>
    </row>
    <row r="147" ht="14.25" customHeight="1">
      <c r="A147">
        <f>A146+1</f>
        <v>99</v>
      </c>
      <c r="B147" t="str">
        <v>Gutters and downspouts</v>
      </c>
      <c r="C147" t="str">
        <v>Y</v>
      </c>
      <c r="I147" s="8">
        <f>H147*F147</f>
        <v>0</v>
      </c>
      <c r="J147" t="str">
        <v>Y</v>
      </c>
    </row>
    <row r="148" ht="14.25" customHeight="1">
      <c r="A148">
        <f>A147+1</f>
        <v>100</v>
      </c>
      <c r="B148" t="str">
        <v>Through-wall scuppers</v>
      </c>
      <c r="C148" t="str">
        <v>Y</v>
      </c>
      <c r="I148" s="8">
        <f>H148*F148</f>
        <v>0</v>
      </c>
      <c r="J148" t="str">
        <v>Y</v>
      </c>
    </row>
    <row r="149" ht="14.25" customHeight="1">
      <c r="A149">
        <f>A148+1</f>
        <v>101</v>
      </c>
      <c r="B149" t="str">
        <v>Ensure roofing membrane is extended up and over parapet</v>
      </c>
      <c r="C149" t="str">
        <v>Y</v>
      </c>
      <c r="I149" s="8">
        <f>H149*F149</f>
        <v>0</v>
      </c>
      <c r="J149" t="str">
        <v>Y</v>
      </c>
      <c r="M149" t="str">
        <v>Y</v>
      </c>
    </row>
    <row r="150" ht="14.25" customHeight="1">
      <c r="A150">
        <f>A149+1</f>
        <v>102</v>
      </c>
      <c r="B150" t="str">
        <v>Include all roof blocking and blocking at parapet</v>
      </c>
      <c r="C150" t="str">
        <v>Y</v>
      </c>
      <c r="I150" s="8">
        <f>H150*F150</f>
        <v>0</v>
      </c>
      <c r="J150" t="str">
        <v>Y</v>
      </c>
      <c r="M150" t="str">
        <v>P</v>
      </c>
      <c r="O150" s="8">
        <v>15000</v>
      </c>
    </row>
    <row r="151" ht="14.25" customHeight="1">
      <c r="A151">
        <f>A150+1</f>
        <v>103</v>
      </c>
      <c r="B151" t="str">
        <v>Include all metal coping to match wall panels</v>
      </c>
      <c r="C151" t="str">
        <v>Y</v>
      </c>
      <c r="I151" s="8">
        <f>H151*F151</f>
        <v>0</v>
      </c>
      <c r="J151" t="str">
        <v>Y</v>
      </c>
      <c r="M151" t="str">
        <v>N</v>
      </c>
    </row>
    <row r="152" ht="14.25" customHeight="1">
      <c r="A152">
        <f>A151+1</f>
        <v>104</v>
      </c>
      <c r="B152" t="str">
        <v>Refer to L2.3 for Green Roof Plan and Details</v>
      </c>
      <c r="C152" t="str">
        <v>Y</v>
      </c>
      <c r="I152" s="8">
        <f>H152*F152</f>
        <v>0</v>
      </c>
      <c r="J152" t="str">
        <v>Y</v>
      </c>
    </row>
    <row r="153" ht="14.25" customHeight="1">
      <c r="A153">
        <f>A152+1</f>
        <v>105</v>
      </c>
      <c r="B153" t="str">
        <v>Refer to A1.4 for Roof Plan</v>
      </c>
      <c r="C153" t="str">
        <v>Y</v>
      </c>
      <c r="I153" s="8">
        <f>H153*F153</f>
        <v>0</v>
      </c>
      <c r="J153" t="str">
        <v>Y</v>
      </c>
    </row>
    <row r="154" ht="14.25" customHeight="1">
      <c r="A154">
        <f>A153+1</f>
        <v>106</v>
      </c>
    </row>
    <row r="155" ht="14.25" customHeight="1">
      <c r="A155">
        <f>A154+1</f>
        <v>107</v>
      </c>
      <c r="B155" t="str">
        <v>STANDARD / GENERAL SCOPE</v>
      </c>
      <c r="C155" t="str">
        <v>Y</v>
      </c>
      <c r="I155" s="8">
        <f>H155*F155</f>
        <v>0</v>
      </c>
      <c r="J155" t="str">
        <v>Y</v>
      </c>
      <c r="M155" t="str">
        <v>Y</v>
      </c>
    </row>
    <row r="156" ht="14.25" customHeight="1">
      <c r="A156">
        <f>A155+1</f>
        <v>108</v>
      </c>
      <c r="B156" t="str">
        <v>Coordinate with roofing and metal panel subs, ref. 2&amp;3/A9.1</v>
      </c>
      <c r="C156" t="str">
        <v>Y</v>
      </c>
      <c r="I156" s="8">
        <f>H156*F156</f>
        <v>0</v>
      </c>
      <c r="J156" t="str">
        <v>Y</v>
      </c>
      <c r="M156" t="str">
        <v>Y</v>
      </c>
    </row>
    <row r="157" ht="14.25" customHeight="1">
      <c r="A157">
        <f>A156+1</f>
        <v>109</v>
      </c>
      <c r="B157" t="str">
        <v>Furnish and install PVC membrane roofing system including tapered insulation and cover board as shown on drawings. Ref. A1.3, A6.3, A9.1, A9.2</v>
      </c>
      <c r="C157" t="str">
        <v>Y</v>
      </c>
      <c r="I157" s="8">
        <f>H157*F157</f>
        <v>0</v>
      </c>
      <c r="J157" t="str">
        <v>Y</v>
      </c>
      <c r="M157" t="str">
        <v>Y</v>
      </c>
    </row>
    <row r="158" ht="14.25" customHeight="1">
      <c r="A158">
        <f>A157+1</f>
        <v>110</v>
      </c>
      <c r="B158" t="str">
        <v>Furnish and install extensive green roof system. Ref. A1.3, A6.1-A6.4, L1.1</v>
      </c>
      <c r="C158" t="str">
        <v>Y</v>
      </c>
      <c r="I158" s="8">
        <f>H158*F158</f>
        <v>0</v>
      </c>
      <c r="J158" t="str">
        <v>Y</v>
      </c>
      <c r="M158" t="str">
        <v>Y</v>
      </c>
    </row>
    <row r="159" ht="14.25" customHeight="1">
      <c r="A159">
        <f>A158+1</f>
        <v>111</v>
      </c>
      <c r="B159" t="str">
        <v>Furnish and install roof access hatch with ladder and safety rail, ref. A1.3, A7.1</v>
      </c>
      <c r="C159" t="str">
        <v>Y</v>
      </c>
      <c r="I159" s="8">
        <f>H159*F159</f>
        <v>0</v>
      </c>
      <c r="J159" t="str">
        <v>Y</v>
      </c>
      <c r="M159" t="str">
        <v>Y</v>
      </c>
    </row>
    <row r="160" ht="14.25" customHeight="1">
      <c r="A160">
        <f>A159+1</f>
        <v>112</v>
      </c>
      <c r="B160" t="str">
        <v>Provide all materials, tools, equipment, hoisting, supervision, etc. for this work</v>
      </c>
      <c r="C160" t="str">
        <v>Y</v>
      </c>
      <c r="I160" s="8">
        <f>H160*F160</f>
        <v>0</v>
      </c>
      <c r="J160" t="str">
        <v>Y</v>
      </c>
      <c r="M160" t="str">
        <v>Y</v>
      </c>
    </row>
    <row r="161" ht="14.25" customHeight="1">
      <c r="A161">
        <f>A160+1</f>
        <v>113</v>
      </c>
      <c r="B161" t="str">
        <v>Include all accessories and materials for a complete system</v>
      </c>
      <c r="C161" t="str">
        <v>Y</v>
      </c>
      <c r="I161" s="8">
        <f>H161*F161</f>
        <v>0</v>
      </c>
      <c r="J161" t="str">
        <v>Y</v>
      </c>
      <c r="M161" t="str">
        <v>Y</v>
      </c>
    </row>
    <row r="162" ht="14.25" customHeight="1">
      <c r="A162">
        <f>A161+1</f>
        <v>114</v>
      </c>
      <c r="B162" t="str">
        <v>Minor surface preperation</v>
      </c>
      <c r="C162" t="str">
        <v>Y</v>
      </c>
      <c r="I162" s="8">
        <f>H162*F162</f>
        <v>0</v>
      </c>
      <c r="J162" t="str">
        <v>Y</v>
      </c>
      <c r="M162" t="str">
        <v>Y</v>
      </c>
    </row>
    <row r="163" ht="14.25" customHeight="1">
      <c r="A163">
        <f>A162+1</f>
        <v>115</v>
      </c>
      <c r="B163" t="str">
        <v>Layout from GC control lines and benchmarks</v>
      </c>
      <c r="C163" t="str">
        <v>Y</v>
      </c>
      <c r="I163" s="8">
        <f>H163*F163</f>
        <v>0</v>
      </c>
      <c r="J163" t="str">
        <v>Y</v>
      </c>
      <c r="M163" t="str">
        <v>Y</v>
      </c>
    </row>
    <row r="164" ht="14.25" customHeight="1">
      <c r="A164">
        <f>A163+1</f>
        <v>116</v>
      </c>
      <c r="B164" t="str">
        <v>Clean up to MCN dumpster</v>
      </c>
      <c r="C164" t="str">
        <v>Y</v>
      </c>
      <c r="I164" s="8">
        <f>H164*F164</f>
        <v>0</v>
      </c>
      <c r="J164" t="str">
        <v>Y</v>
      </c>
      <c r="M164" t="str">
        <v>Y</v>
      </c>
    </row>
    <row r="165" ht="14.25" customHeight="1">
      <c r="A165">
        <f>A164+1</f>
        <v>117</v>
      </c>
      <c r="B165" t="str">
        <v>Shop drawings, samples, product data, certs, etc.</v>
      </c>
      <c r="C165" t="str">
        <v>Y</v>
      </c>
      <c r="I165" s="8">
        <f>H165*F165</f>
        <v>0</v>
      </c>
      <c r="J165" t="str">
        <v>Y</v>
      </c>
      <c r="M165" t="str">
        <v>Y</v>
      </c>
    </row>
    <row r="166" ht="14.25" customHeight="1">
      <c r="A166">
        <f>A165+1</f>
        <v>118</v>
      </c>
      <c r="B166" t="str">
        <v>Ensure roofing membrane is extended up and over parapet</v>
      </c>
      <c r="C166" t="str">
        <v>Y</v>
      </c>
      <c r="I166" s="8">
        <f>H166*F166</f>
        <v>0</v>
      </c>
      <c r="J166" t="str">
        <v>Y</v>
      </c>
      <c r="M166" t="str">
        <v>Y</v>
      </c>
    </row>
    <row r="167" ht="14.25" customHeight="1">
      <c r="A167">
        <f>A166+1</f>
        <v>119</v>
      </c>
      <c r="B167" t="str">
        <v>Include all roof blocking and blocking at parapet</v>
      </c>
      <c r="C167" t="str">
        <v>Y</v>
      </c>
      <c r="I167" s="8">
        <f>H167*F167</f>
        <v>0</v>
      </c>
      <c r="J167" t="str">
        <v>Y</v>
      </c>
      <c r="M167" t="str">
        <v>N</v>
      </c>
    </row>
    <row r="168" ht="14.25" customHeight="1">
      <c r="A168">
        <f>A167+1</f>
        <v>120</v>
      </c>
      <c r="B168" t="str">
        <v>Include all metal coping to match wall panels</v>
      </c>
      <c r="C168" t="str">
        <v>Y</v>
      </c>
      <c r="I168" s="8">
        <f>H168*F168</f>
        <v>0</v>
      </c>
      <c r="J168" t="str">
        <v>Y</v>
      </c>
      <c r="M168" t="str">
        <v>N</v>
      </c>
    </row>
    <row r="169" ht="14.25" customHeight="1">
      <c r="A169">
        <f>A168+1</f>
        <v>121</v>
      </c>
      <c r="B169" t="str">
        <v>Included coverboard at roof to for PV panels and supports</v>
      </c>
      <c r="C169" t="str">
        <v>Y</v>
      </c>
      <c r="I169" s="8">
        <f>H169*F169</f>
        <v>0</v>
      </c>
      <c r="J169" t="str">
        <v>Y</v>
      </c>
      <c r="M169" t="str">
        <v>Y</v>
      </c>
      <c r="N169" t="str">
        <v>Coverboard no attachments</v>
      </c>
    </row>
    <row r="170" ht="14.25" customHeight="1">
      <c r="A170">
        <f>A169+1</f>
        <v>122</v>
      </c>
      <c r="B170" t="str">
        <v xml:space="preserve"> </v>
      </c>
    </row>
    <row r="171" ht="14.25" customHeight="1">
      <c r="A171">
        <f>A170+1</f>
        <v>123</v>
      </c>
      <c r="B171" t="str">
        <v>LEED Issues:</v>
      </c>
      <c r="C171" t="str">
        <v>N</v>
      </c>
      <c r="I171" s="8">
        <f>H171*F171</f>
        <v>0</v>
      </c>
    </row>
    <row r="172" ht="14.25" customHeight="1">
      <c r="A172">
        <f>A171+1</f>
        <v>124</v>
      </c>
      <c r="B172" t="str">
        <v>EnergyStar roofing/Green roof system employed</v>
      </c>
      <c r="C172" t="str">
        <v>N</v>
      </c>
      <c r="I172" s="8">
        <f>H172*F172</f>
        <v>0</v>
      </c>
    </row>
    <row r="173" ht="14.25" customHeight="1">
      <c r="A173">
        <f>A172+1</f>
        <v>125</v>
      </c>
      <c r="B173" t="str">
        <v>Roof pavers to be 100% recycled tire rubber</v>
      </c>
      <c r="C173" t="str">
        <v>N</v>
      </c>
      <c r="I173" s="8">
        <f>H173*F173</f>
        <v>0</v>
      </c>
    </row>
    <row r="174" ht="14.25" customHeight="1">
      <c r="A174">
        <f>A173+1</f>
        <v>126</v>
      </c>
      <c r="B174" t="str">
        <v>Roof insulation to have a minimum 9% recycled/recovered content</v>
      </c>
      <c r="C174" t="str">
        <v>N</v>
      </c>
      <c r="I174" s="8">
        <f>H174*F174</f>
        <v>0</v>
      </c>
    </row>
    <row r="175" ht="14.25" customHeight="1">
      <c r="A175">
        <f>A174+1</f>
        <v>127</v>
      </c>
      <c r="B175" t="str">
        <v>Low VOC Materials</v>
      </c>
      <c r="C175" t="str">
        <v>N</v>
      </c>
      <c r="I175" s="8">
        <f>H175*F175</f>
        <v>0</v>
      </c>
    </row>
    <row r="176" ht="14.25" customHeight="1">
      <c r="A176">
        <f>A175+1</f>
        <v>128</v>
      </c>
      <c r="B176" t="str">
        <v>Sorting of debris for recycling</v>
      </c>
      <c r="C176" t="str">
        <v>N</v>
      </c>
      <c r="I176" s="8">
        <f>H176*F176</f>
        <v>0</v>
      </c>
    </row>
    <row r="177" ht="14.25" customHeight="1">
      <c r="A177">
        <f>A176+1</f>
        <v>129</v>
      </c>
      <c r="B177" t="str">
        <v>LEED documentation</v>
      </c>
      <c r="C177" t="str">
        <v>N</v>
      </c>
      <c r="I177" s="8">
        <f>H177*F177</f>
        <v>0</v>
      </c>
    </row>
    <row r="178" ht="14.25" customHeight="1">
      <c r="I178" s="8">
        <f>H178*F178</f>
        <v>0</v>
      </c>
    </row>
    <row r="179" ht="14.25" customHeight="1">
      <c r="A179" t="str">
        <v>C</v>
      </c>
      <c r="B179" t="str">
        <v>Exclusions</v>
      </c>
    </row>
    <row r="180" ht="14.25" customHeight="1">
      <c r="A180">
        <v>1</v>
      </c>
      <c r="B180" t="str">
        <v>Payment and Performance Bond</v>
      </c>
      <c r="C180" t="str">
        <v>N</v>
      </c>
      <c r="J180" t="str">
        <v>N</v>
      </c>
      <c r="M180" t="str">
        <v>N</v>
      </c>
    </row>
    <row r="181" ht="14.25" customHeight="1">
      <c r="A181">
        <v>2</v>
      </c>
      <c r="B181" t="str">
        <v>Through-wall membrane flashings at wall sections</v>
      </c>
      <c r="C181" t="str">
        <v>N</v>
      </c>
      <c r="J181" t="str">
        <v>N</v>
      </c>
      <c r="M181" t="str">
        <v>N</v>
      </c>
    </row>
    <row r="182" ht="14.25" customHeight="1">
      <c r="A182">
        <v>3</v>
      </c>
      <c r="B182" t="str">
        <v>Roof blocking, plywood and cant strips</v>
      </c>
      <c r="C182" t="str">
        <v>N</v>
      </c>
      <c r="J182" t="str">
        <v>N</v>
      </c>
      <c r="M182" t="str">
        <v>N</v>
      </c>
    </row>
    <row r="183" ht="14.25" customHeight="1">
      <c r="A183">
        <v>4</v>
      </c>
      <c r="B183" t="str">
        <v>Aluminum copings at curtainwall</v>
      </c>
      <c r="C183" t="str">
        <v>N</v>
      </c>
      <c r="J183" t="str">
        <v>N</v>
      </c>
      <c r="M183" t="str">
        <v>N</v>
      </c>
    </row>
    <row r="184" ht="14.25" customHeight="1">
      <c r="A184">
        <v>5</v>
      </c>
      <c r="B184" t="str">
        <v>Head, jamb and sill flashings integral with window systems</v>
      </c>
      <c r="C184" t="str">
        <v>N</v>
      </c>
      <c r="J184" t="str">
        <v>N</v>
      </c>
      <c r="M184" t="str">
        <v>N</v>
      </c>
    </row>
    <row r="185" ht="14.25" customHeight="1">
      <c r="A185">
        <v>5</v>
      </c>
      <c r="B185" t="str">
        <v>Temporary dry-in considerations</v>
      </c>
      <c r="C185" t="str">
        <v>N</v>
      </c>
      <c r="J185" t="str">
        <v>N</v>
      </c>
      <c r="M185" t="str">
        <v>N</v>
      </c>
    </row>
    <row r="186" ht="14.25" customHeight="1">
      <c r="A186" t="str">
        <v>D</v>
      </c>
      <c r="B186" t="str">
        <v>Schedule</v>
      </c>
    </row>
    <row r="187" ht="14.25" customHeight="1">
      <c r="A187">
        <v>1</v>
      </c>
      <c r="B187" t="str">
        <v>Meet MCN Schedule</v>
      </c>
      <c r="C187" t="str">
        <v>Y</v>
      </c>
    </row>
    <row r="188" ht="14.25" customHeight="1">
      <c r="A188">
        <f>A187+1</f>
        <v>2</v>
      </c>
      <c r="B188" t="str">
        <v>Advise of Durations</v>
      </c>
    </row>
    <row r="189" ht="14.25" customHeight="1">
      <c r="A189">
        <f>A188+1</f>
        <v>3</v>
      </c>
      <c r="B189" t="str">
        <v>Activity 1</v>
      </c>
      <c r="C189" t="str">
        <v>---&gt;</v>
      </c>
    </row>
    <row r="190" ht="14.25" customHeight="1">
      <c r="A190">
        <f>A189+1</f>
        <v>4</v>
      </c>
      <c r="B190" t="str">
        <v>Activity 2</v>
      </c>
      <c r="C190" t="str">
        <v>---&gt;</v>
      </c>
    </row>
    <row r="191" ht="14.25" customHeight="1">
      <c r="A191">
        <f>A190+1</f>
        <v>5</v>
      </c>
      <c r="B191" t="str">
        <v>Activity 3</v>
      </c>
      <c r="C191" t="str">
        <v>---&gt;</v>
      </c>
    </row>
    <row r="192" ht="14.25" customHeight="1">
      <c r="A192">
        <f>A191+1</f>
        <v>6</v>
      </c>
      <c r="B192" t="str">
        <v>Duration for Submittals and Shop Drawings</v>
      </c>
      <c r="C192" t="str">
        <v>---&gt;</v>
      </c>
    </row>
    <row r="193" ht="14.25" customHeight="1">
      <c r="A193">
        <f>A192+1</f>
        <v>7</v>
      </c>
      <c r="B193" t="str">
        <v>Advise of Lead Times:</v>
      </c>
    </row>
    <row r="194" ht="14.25" customHeight="1">
      <c r="A194">
        <f>A193+1</f>
        <v>8</v>
      </c>
      <c r="B194" t="str">
        <v>Material 1</v>
      </c>
      <c r="C194" t="str">
        <v>---&gt;</v>
      </c>
    </row>
    <row r="195" ht="14.25" customHeight="1">
      <c r="A195">
        <f>A194+1</f>
        <v>9</v>
      </c>
      <c r="B195" t="str">
        <v>Material 2</v>
      </c>
      <c r="C195" t="str">
        <v>---&gt;</v>
      </c>
    </row>
    <row r="196" ht="14.25" customHeight="1">
      <c r="A196">
        <f>A195+1</f>
        <v>10</v>
      </c>
      <c r="B196" t="str">
        <v>Material 3</v>
      </c>
      <c r="C196" t="str">
        <v>---&gt;</v>
      </c>
    </row>
    <row r="197" ht="14.25" customHeight="1"/>
    <row r="198" ht="14.25" customHeight="1"/>
    <row r="199" ht="14.25" customHeight="1">
      <c r="B199" t="str">
        <v>Allowances</v>
      </c>
    </row>
    <row r="200" ht="14.25" customHeight="1">
      <c r="A200">
        <v>1</v>
      </c>
    </row>
    <row r="201" ht="14.25" customHeight="1">
      <c r="A201">
        <f>A200+1</f>
        <v>2</v>
      </c>
    </row>
    <row r="202" ht="14.25" customHeight="1">
      <c r="A202">
        <f>A201+1</f>
        <v>3</v>
      </c>
    </row>
    <row r="203" ht="14.25" customHeight="1">
      <c r="A203">
        <f>A202+1</f>
        <v>4</v>
      </c>
    </row>
    <row r="204" ht="14.25" customHeight="1"/>
    <row r="205" ht="14.25" customHeight="1"/>
    <row r="206" ht="14.25" customHeight="1">
      <c r="B206" t="str">
        <v>Alternates</v>
      </c>
    </row>
    <row r="207" ht="14.25" customHeight="1">
      <c r="A207">
        <v>1</v>
      </c>
      <c r="B207" s="16" t="str">
        <v>ALT 01: Provide Payment &amp; Performance Bond</v>
      </c>
      <c r="C207" t="str">
        <v>#</v>
      </c>
    </row>
    <row r="208" ht="14.25" customHeight="1">
      <c r="A208">
        <f>A207+1</f>
        <v>2</v>
      </c>
      <c r="B208" s="16" t="str">
        <v>ALT 02: Sales Tax</v>
      </c>
      <c r="C208" t="str">
        <v>#</v>
      </c>
    </row>
    <row r="209" ht="14.25" customHeight="1">
      <c r="A209">
        <f>A208+1</f>
        <v>3</v>
      </c>
      <c r="B209" t="str">
        <v>ALT 03:  2-Year Green Roof Maintenance</v>
      </c>
      <c r="C209" t="str">
        <v>#</v>
      </c>
      <c r="O209" s="8">
        <v>39381</v>
      </c>
    </row>
    <row r="210" ht="14.25" customHeight="1">
      <c r="A210">
        <f>A209+1</f>
        <v>4</v>
      </c>
      <c r="B210" t="str">
        <v>ALT04 : Solar Racks</v>
      </c>
      <c r="C210" t="str">
        <v>#</v>
      </c>
      <c r="L210" s="8">
        <v>174600</v>
      </c>
    </row>
    <row r="211" ht="14.25" customHeight="1">
      <c r="C211" t="str">
        <v>#</v>
      </c>
    </row>
    <row r="212" ht="14.25" customHeight="1">
      <c r="B212" t="str">
        <v>Unit Prices</v>
      </c>
    </row>
    <row r="213" ht="14.25" customHeight="1">
      <c r="A213">
        <v>1</v>
      </c>
      <c r="C213" t="str">
        <v>#</v>
      </c>
    </row>
    <row r="214" ht="14.25" customHeight="1">
      <c r="A214">
        <f>A213+1</f>
        <v>2</v>
      </c>
      <c r="C214" t="str">
        <v>#</v>
      </c>
    </row>
    <row r="215" ht="14.25" customHeight="1">
      <c r="A215">
        <f>A214+1</f>
        <v>3</v>
      </c>
      <c r="C215" t="str">
        <v>#</v>
      </c>
    </row>
    <row r="216" ht="14.25" customHeight="1">
      <c r="A216">
        <f>A215+1</f>
        <v>4</v>
      </c>
      <c r="C216" t="str">
        <v>#</v>
      </c>
    </row>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T3" r:id="rId1"/>
    <hyperlink ref="K4" r:id="rId2"/>
    <hyperlink ref="N4" r:id="rId3"/>
    <hyperlink ref="Q4" r:id="rId4"/>
    <hyperlink ref="B8" r:id="rId5"/>
  </hyperlinks>
  <pageMargins left="0.7" right="0.7" top="0.25" bottom="0.75" header="0" footer="0"/>
  <ignoredErrors>
    <ignoredError numberStoredAsText="1" sqref="A1:AO1000"/>
  </ignoredErrors>
</worksheet>
</file>

<file path=xl/worksheets/sheet17.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07 - JOINT SEALANTS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SUM(I20:I118,I13:I18)</f>
        <v>0</v>
      </c>
      <c r="K7" t="str">
        <v>Adjustments:</v>
      </c>
      <c r="L7" s="4">
        <f>SUM(L13:L18,L20:L118)</f>
        <v>0</v>
      </c>
      <c r="N7" t="str">
        <v>Adjustments:</v>
      </c>
      <c r="O7" s="4">
        <f>SUM(O13:O18,O20:O118)</f>
        <v>0</v>
      </c>
      <c r="Q7" t="str">
        <v>Adjustments:</v>
      </c>
      <c r="R7" s="4">
        <f>SUM(R13:R18,R20:R118)</f>
        <v>0</v>
      </c>
      <c r="T7" t="str">
        <v>Adjustments:</v>
      </c>
      <c r="U7" s="4">
        <f>SUM(U13:U18,U20:U118)</f>
        <v>0</v>
      </c>
      <c r="W7" t="str">
        <v>Adjustments:</v>
      </c>
      <c r="X7" s="4">
        <f>SUM(X13:X18,X20:X118)</f>
        <v>0</v>
      </c>
      <c r="Z7" t="str">
        <v>Adjustments:</v>
      </c>
      <c r="AA7" s="4">
        <f>SUM(AA13:AA18,AA20:AA118)</f>
        <v>0</v>
      </c>
      <c r="AC7" t="str">
        <v>Adjustments:</v>
      </c>
      <c r="AD7" s="4">
        <f>SUM(AD13:AD18,AD20:AD118)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Joint Sealants</v>
      </c>
      <c r="C43" t="str">
        <v>Y</v>
      </c>
      <c r="I43" s="8">
        <f>H43*F43</f>
        <v>0</v>
      </c>
    </row>
    <row r="44" ht="14.25" customHeight="1">
      <c r="A44">
        <v>3</v>
      </c>
      <c r="B44" t="str">
        <v>Landscape drawings:</v>
      </c>
      <c r="C44" t="str">
        <v>Y</v>
      </c>
      <c r="I44" s="8">
        <f>H44*F44</f>
        <v>0</v>
      </c>
    </row>
    <row r="45" ht="14.25" customHeight="1">
      <c r="A45">
        <v>4</v>
      </c>
      <c r="B45" t="str">
        <v>Expansion joints in paving</v>
      </c>
      <c r="C45" t="str">
        <v>Y</v>
      </c>
      <c r="I45" s="8">
        <f>H45*F45</f>
        <v>0</v>
      </c>
    </row>
    <row r="46" ht="14.25" customHeight="1">
      <c r="A46">
        <v>5</v>
      </c>
      <c r="B46" t="str">
        <v>Concrete paving/pavers to adjacent paving</v>
      </c>
      <c r="C46" t="str">
        <v>Y</v>
      </c>
      <c r="I46" s="8">
        <f>H46*F46</f>
        <v>0</v>
      </c>
    </row>
    <row r="47" ht="14.25" customHeight="1">
      <c r="A47">
        <v>6</v>
      </c>
      <c r="B47" t="str">
        <v>Paving to vertical site walls</v>
      </c>
      <c r="C47" t="str">
        <v>Y</v>
      </c>
      <c r="I47" s="8">
        <f>H47*F47</f>
        <v>0</v>
      </c>
    </row>
    <row r="48" ht="14.25" customHeight="1">
      <c r="A48">
        <v>7</v>
      </c>
      <c r="B48" t="str">
        <v>Paving to building</v>
      </c>
      <c r="C48" t="str">
        <v>Y</v>
      </c>
      <c r="I48" s="8">
        <f>H48*F48</f>
        <v>0</v>
      </c>
    </row>
    <row r="49" ht="14.25" customHeight="1">
      <c r="A49">
        <v>8</v>
      </c>
      <c r="B49" t="str">
        <v>Curb to paving</v>
      </c>
      <c r="C49" t="str">
        <v>Y</v>
      </c>
      <c r="I49" s="8">
        <f>H49*F49</f>
        <v>0</v>
      </c>
    </row>
    <row r="50" ht="14.25" customHeight="1">
      <c r="A50">
        <v>9</v>
      </c>
      <c r="B50" t="str">
        <v>Vertical joint at curb and gutter</v>
      </c>
      <c r="C50" t="str">
        <v>Y</v>
      </c>
      <c r="I50" s="8">
        <f>H50*F50</f>
        <v>0</v>
      </c>
    </row>
    <row r="51" ht="14.25" customHeight="1">
      <c r="A51">
        <v>10</v>
      </c>
      <c r="B51" t="str">
        <v>Precast inlets to paving</v>
      </c>
      <c r="C51" t="str">
        <v>Y</v>
      </c>
      <c r="I51" s="8">
        <f>H51*F51</f>
        <v>0</v>
      </c>
    </row>
    <row r="52" ht="14.25" customHeight="1">
      <c r="A52">
        <v>11</v>
      </c>
      <c r="B52" t="str">
        <v>Expansion joints at top tread and bottom riser of site stairs</v>
      </c>
      <c r="C52" t="str">
        <v>Y</v>
      </c>
      <c r="I52" s="8">
        <f>H52*F52</f>
        <v>0</v>
      </c>
    </row>
    <row r="53" ht="14.25" customHeight="1">
      <c r="A53">
        <v>12</v>
      </c>
      <c r="B53" t="str">
        <v>Control joints in masonry veneer at site walls</v>
      </c>
      <c r="C53" t="str">
        <v>Y</v>
      </c>
      <c r="I53" s="8">
        <f>H53*F53</f>
        <v>0</v>
      </c>
    </row>
    <row r="54" ht="14.25" customHeight="1">
      <c r="A54">
        <v>13</v>
      </c>
      <c r="B54" t="str">
        <v>***Other locations***</v>
      </c>
      <c r="C54" t="str">
        <v>Y</v>
      </c>
      <c r="I54" s="8">
        <f>H54*F54</f>
        <v>0</v>
      </c>
    </row>
    <row r="55" ht="14.25" customHeight="1">
      <c r="A55">
        <v>14</v>
      </c>
      <c r="B55" t="str">
        <v>Architectural drawings:</v>
      </c>
      <c r="C55" t="str">
        <v>Y</v>
      </c>
      <c r="I55" s="8">
        <f>H55*F55</f>
        <v>0</v>
      </c>
    </row>
    <row r="56" ht="14.25" customHeight="1">
      <c r="A56">
        <v>15</v>
      </c>
      <c r="B56" t="str">
        <v>Site paving to building</v>
      </c>
      <c r="C56" t="str">
        <v>Y</v>
      </c>
      <c r="I56" s="8">
        <f>H56*F56</f>
        <v>0</v>
      </c>
    </row>
    <row r="57" ht="14.25" customHeight="1">
      <c r="A57">
        <v>16</v>
      </c>
      <c r="B57" t="str">
        <v>Perimeters of hollow metal door frames in CMU/concrete, both sides</v>
      </c>
      <c r="C57" t="str">
        <v>Y</v>
      </c>
      <c r="I57" s="8">
        <f>H57*F57</f>
        <v>0</v>
      </c>
    </row>
    <row r="58" ht="14.25" customHeight="1">
      <c r="A58">
        <v>17</v>
      </c>
      <c r="B58" t="str">
        <v>Tops of CMU partitions, both sides (maintain fire rating with rated sealant)</v>
      </c>
      <c r="C58" t="str">
        <v>Y</v>
      </c>
      <c r="I58" s="8">
        <f>H58*F58</f>
        <v>0</v>
      </c>
    </row>
    <row r="59" ht="14.25" customHeight="1">
      <c r="A59">
        <v>18</v>
      </c>
      <c r="B59" t="str">
        <v>Control joints at CMU partitions, both sides</v>
      </c>
      <c r="C59" t="str">
        <v>Y</v>
      </c>
      <c r="I59" s="8">
        <f>H59*F59</f>
        <v>0</v>
      </c>
    </row>
    <row r="60" ht="14.25" customHeight="1">
      <c r="A60">
        <v>19</v>
      </c>
      <c r="B60" t="str">
        <v>Masonry control joints at façade</v>
      </c>
      <c r="C60" t="str">
        <v>Y</v>
      </c>
      <c r="I60" s="8">
        <f>H60*F60</f>
        <v>0</v>
      </c>
    </row>
    <row r="61" ht="14.25" customHeight="1">
      <c r="A61">
        <v>20</v>
      </c>
      <c r="B61" t="str">
        <v>Horizontal joints in masonry at relieving angles at façade</v>
      </c>
      <c r="C61" t="str">
        <v>Y</v>
      </c>
      <c r="I61" s="8">
        <f>H61*F61</f>
        <v>0</v>
      </c>
    </row>
    <row r="62" ht="14.25" customHeight="1">
      <c r="A62">
        <v>21</v>
      </c>
      <c r="B62" t="str">
        <v>Precast to precast joints at façade</v>
      </c>
      <c r="C62" t="str">
        <v>Y</v>
      </c>
      <c r="I62" s="8">
        <f>H62*F62</f>
        <v>0</v>
      </c>
    </row>
    <row r="63" ht="14.25" customHeight="1">
      <c r="A63">
        <v>22</v>
      </c>
      <c r="B63" t="str">
        <v>Stone to stone joints at façade</v>
      </c>
      <c r="C63" t="str">
        <v>Y</v>
      </c>
      <c r="I63" s="8">
        <f>H63*F63</f>
        <v>0</v>
      </c>
    </row>
    <row r="64" ht="14.25" customHeight="1">
      <c r="A64">
        <v>23</v>
      </c>
      <c r="B64" t="str">
        <v>Joints in non-composite metal panels [coordinate with metal panels]</v>
      </c>
      <c r="C64" t="str">
        <v>Y</v>
      </c>
      <c r="I64" s="8">
        <f>H64*F64</f>
        <v>0</v>
      </c>
    </row>
    <row r="65" ht="14.25" customHeight="1">
      <c r="A65">
        <v>24</v>
      </c>
      <c r="B65" t="str">
        <v>Joints in EIFS system [coordinate with EIFS]</v>
      </c>
      <c r="C65" t="str">
        <v>Y</v>
      </c>
      <c r="I65" s="8">
        <f>H65*F65</f>
        <v>0</v>
      </c>
    </row>
    <row r="66" ht="14.25" customHeight="1">
      <c r="A66">
        <v>25</v>
      </c>
      <c r="B66" t="str">
        <v>Interior side perimeter of exterior windows [if shown, otherwise it is a Tenant cost]</v>
      </c>
      <c r="C66" t="str">
        <v>Y</v>
      </c>
      <c r="I66" s="8">
        <f>H66*F66</f>
        <v>0</v>
      </c>
    </row>
    <row r="67" ht="14.25" customHeight="1">
      <c r="A67">
        <v>26</v>
      </c>
      <c r="B67" t="str">
        <v>Perimeter of louvers</v>
      </c>
      <c r="C67" t="str">
        <v>Y</v>
      </c>
      <c r="I67" s="8">
        <f>H67*F67</f>
        <v>0</v>
      </c>
    </row>
    <row r="68" ht="14.25" customHeight="1">
      <c r="A68">
        <v>27</v>
      </c>
      <c r="B68" t="str">
        <v>Assume at edge of egress stairs &amp; landings to wall joints, typ</v>
      </c>
      <c r="C68" t="str">
        <v>Y</v>
      </c>
      <c r="I68" s="8">
        <f>H68*F68</f>
        <v>0</v>
      </c>
    </row>
    <row r="69" ht="14.25" customHeight="1">
      <c r="A69">
        <v>28</v>
      </c>
      <c r="B69" t="str">
        <v>Assume at edges of bathroom vanities to wall</v>
      </c>
      <c r="C69" t="str">
        <v>Y</v>
      </c>
      <c r="I69" s="8">
        <f>H69*F69</f>
        <v>0</v>
      </c>
    </row>
    <row r="70" ht="14.25" customHeight="1">
      <c r="A70">
        <v>29</v>
      </c>
      <c r="B70" t="str">
        <v>Assume perimeters of plumbing fixtures and toilet accessories in tile</v>
      </c>
      <c r="C70" t="str">
        <v>Y</v>
      </c>
      <c r="I70" s="8">
        <f>H70*F70</f>
        <v>0</v>
      </c>
    </row>
    <row r="71" ht="14.25" customHeight="1">
      <c r="A71">
        <v>30</v>
      </c>
      <c r="B71" t="str">
        <v>***Other locations***</v>
      </c>
      <c r="C71" t="str">
        <v>Y</v>
      </c>
      <c r="I71" s="8">
        <f>H71*F71</f>
        <v>0</v>
      </c>
    </row>
    <row r="72" ht="14.25" customHeight="1">
      <c r="A72">
        <v>31</v>
      </c>
      <c r="B72" t="str">
        <v>Structural drawings:</v>
      </c>
      <c r="C72" t="str">
        <v>Y</v>
      </c>
      <c r="I72" s="8">
        <f>H72*F72</f>
        <v>0</v>
      </c>
    </row>
    <row r="73" ht="14.25" customHeight="1">
      <c r="A73">
        <v>32</v>
      </c>
      <c r="B73" t="str">
        <v>Pourable urethane at slab-on-grade isolation, construction &amp; control joints, typ</v>
      </c>
      <c r="C73" t="str">
        <v>Y</v>
      </c>
      <c r="I73" s="8">
        <f>H73*F73</f>
        <v>0</v>
      </c>
    </row>
    <row r="74" ht="14.25" customHeight="1">
      <c r="A74">
        <v>33</v>
      </c>
      <c r="B74" t="str">
        <v>Slab-on-grade to foundation walls</v>
      </c>
      <c r="C74" t="str">
        <v>Y</v>
      </c>
      <c r="I74" s="8">
        <f>H74*F74</f>
        <v>0</v>
      </c>
    </row>
    <row r="75" ht="14.25" customHeight="1">
      <c r="A75">
        <v>34</v>
      </c>
      <c r="C75" t="str">
        <v>Y</v>
      </c>
      <c r="I75" s="8">
        <f>H75*F75</f>
        <v>0</v>
      </c>
    </row>
    <row r="76" ht="14.25" customHeight="1">
      <c r="A76">
        <v>35</v>
      </c>
      <c r="B76" t="str">
        <v>STANDARD / GENERAL SCOPE</v>
      </c>
      <c r="C76" t="str">
        <v>Y</v>
      </c>
      <c r="I76" s="8">
        <f>H76*F76</f>
        <v>0</v>
      </c>
    </row>
    <row r="77" ht="14.25" customHeight="1">
      <c r="A77">
        <v>36</v>
      </c>
      <c r="B77" t="str">
        <v>Provide all material, labor, tools, equipment, hoisting, supervision, etc for this work</v>
      </c>
      <c r="C77" t="str">
        <v>Y</v>
      </c>
      <c r="I77" s="8">
        <f>H77*F77</f>
        <v>0</v>
      </c>
    </row>
    <row r="78" ht="14.25" customHeight="1">
      <c r="A78">
        <v>37</v>
      </c>
      <c r="B78" t="str">
        <v>Accessories to include primer, backer rod, bond breaker tape, masking tape, etc</v>
      </c>
      <c r="C78" t="str">
        <v>Y</v>
      </c>
      <c r="I78" s="8">
        <f>H78*F78</f>
        <v>0</v>
      </c>
    </row>
    <row r="79" ht="14.25" customHeight="1">
      <c r="A79">
        <v>38</v>
      </c>
      <c r="B79" t="str">
        <v>Include minor surface prep</v>
      </c>
      <c r="C79" t="str">
        <v>Y</v>
      </c>
      <c r="I79" s="8">
        <f>H79*F79</f>
        <v>0</v>
      </c>
    </row>
    <row r="80" ht="14.25" customHeight="1">
      <c r="A80">
        <v>39</v>
      </c>
      <c r="B80" t="str">
        <v>Tooling of joints</v>
      </c>
      <c r="C80" t="str">
        <v>Y</v>
      </c>
      <c r="I80" s="8">
        <f>H80*F80</f>
        <v>0</v>
      </c>
    </row>
    <row r="81" ht="14.25" customHeight="1">
      <c r="A81">
        <v>40</v>
      </c>
      <c r="B81" t="str">
        <v>Clean-up to MCN dumpster</v>
      </c>
      <c r="C81" t="str">
        <v>Y</v>
      </c>
      <c r="I81" s="8">
        <f>H81*F81</f>
        <v>0</v>
      </c>
    </row>
    <row r="82" ht="14.25" customHeight="1">
      <c r="A82">
        <v>41</v>
      </c>
      <c r="B82" t="str">
        <v>Shop dwgs, samples, submittals, product data, certs, test reports, etc</v>
      </c>
      <c r="C82" t="str">
        <v>Y</v>
      </c>
      <c r="I82" s="8">
        <f>H82*F82</f>
        <v>0</v>
      </c>
    </row>
    <row r="83" ht="14.25" customHeight="1">
      <c r="A83">
        <v>42</v>
      </c>
      <c r="B83" t="str">
        <v>Field adhesion/compatibility testing of sealant to substrates</v>
      </c>
      <c r="C83" t="str">
        <v>Y</v>
      </c>
      <c r="I83" s="8">
        <f>H83*F83</f>
        <v>0</v>
      </c>
    </row>
    <row r="84" ht="14.25" customHeight="1">
      <c r="A84">
        <v>43</v>
      </c>
      <c r="B84" t="str">
        <v>Warranties per spec [Material and Workmanship]</v>
      </c>
      <c r="C84" t="str">
        <v>Y</v>
      </c>
      <c r="I84" s="8">
        <f>H84*F84</f>
        <v>0</v>
      </c>
    </row>
    <row r="85" ht="14.25" customHeight="1">
      <c r="A85">
        <v>44</v>
      </c>
      <c r="B85" t="str">
        <v xml:space="preserve"> </v>
      </c>
      <c r="C85" t="str">
        <v>Y</v>
      </c>
      <c r="I85" s="8">
        <f>H85*F85</f>
        <v>0</v>
      </c>
    </row>
    <row r="86" ht="14.25" customHeight="1">
      <c r="A86">
        <v>45</v>
      </c>
      <c r="B86" t="str">
        <v>LEED Issues:</v>
      </c>
      <c r="C86" t="str">
        <v>Y</v>
      </c>
      <c r="I86" s="8">
        <f>H86*F86</f>
        <v>0</v>
      </c>
    </row>
    <row r="87" ht="14.25" customHeight="1">
      <c r="A87">
        <v>46</v>
      </c>
      <c r="B87" t="str">
        <v>Formaldehyde and heavy metal free VOC compliant sealants</v>
      </c>
      <c r="C87" t="str">
        <v>Y</v>
      </c>
      <c r="I87" s="8">
        <f>H87*F87</f>
        <v>0</v>
      </c>
    </row>
    <row r="88" ht="14.25" customHeight="1">
      <c r="I88" s="8">
        <f>H88*F88</f>
        <v>0</v>
      </c>
    </row>
    <row r="89" ht="14.25" customHeight="1">
      <c r="A89" t="str">
        <v>C</v>
      </c>
      <c r="B89" t="str">
        <v>Exclusions</v>
      </c>
    </row>
    <row r="90" ht="14.25" customHeight="1">
      <c r="A90">
        <v>1</v>
      </c>
      <c r="B90" t="str">
        <v>Exterior side, perimeter of exterior windows and curtainwall</v>
      </c>
      <c r="C90" t="str">
        <v>N</v>
      </c>
      <c r="D90" t="str">
        <v>by glass</v>
      </c>
    </row>
    <row r="91" ht="14.25" customHeight="1">
      <c r="A91">
        <v>2</v>
      </c>
      <c r="B91" t="str">
        <v>Tops and bottoms of drywall partitons (acoustical sealant)</v>
      </c>
      <c r="C91" t="str">
        <v>N</v>
      </c>
      <c r="D91" t="str">
        <v>by drywall</v>
      </c>
    </row>
    <row r="92" ht="14.25" customHeight="1">
      <c r="A92">
        <v>3</v>
      </c>
      <c r="B92" t="str">
        <v>Painter's caulk" - interior door frames, other openings in drywall</v>
      </c>
      <c r="C92" t="str">
        <v>N</v>
      </c>
      <c r="D92" t="str">
        <v>by paint</v>
      </c>
    </row>
    <row r="93" ht="14.25" customHeight="1">
      <c r="A93">
        <v>4</v>
      </c>
      <c r="B93" t="str">
        <v>Compressible filler/fire safing at tops of CMU partitions</v>
      </c>
      <c r="C93" t="str">
        <v>N</v>
      </c>
      <c r="D93" t="str">
        <v>by masonry</v>
      </c>
    </row>
    <row r="94" ht="14.25" customHeight="1">
      <c r="A94">
        <v>5</v>
      </c>
      <c r="B94" t="str">
        <v>Firesafing assembly at slab edges</v>
      </c>
      <c r="C94" t="str">
        <v>N</v>
      </c>
      <c r="D94" t="str">
        <v>by drywall</v>
      </c>
    </row>
    <row r="95" ht="14.25" customHeight="1">
      <c r="A95">
        <v>6</v>
      </c>
      <c r="B95" t="str">
        <v>Firestopping for MEP penetrations</v>
      </c>
      <c r="C95" t="str">
        <v>N</v>
      </c>
      <c r="D95" t="str">
        <v>by MEP</v>
      </c>
    </row>
    <row r="96" ht="14.25" customHeight="1">
      <c r="A96">
        <v>7</v>
      </c>
      <c r="B96" t="str">
        <v>Roofer's caulk</v>
      </c>
      <c r="C96" t="str">
        <v>N</v>
      </c>
      <c r="D96" t="str">
        <v>by roofing</v>
      </c>
    </row>
    <row r="97" ht="14.25" customHeight="1">
      <c r="A97">
        <v>8</v>
      </c>
      <c r="B97" t="str">
        <v>Expansion joint covers; compressible seals</v>
      </c>
      <c r="C97" t="str">
        <v>N</v>
      </c>
      <c r="D97" t="str">
        <v>by EJ contractor</v>
      </c>
    </row>
    <row r="98" ht="14.25" customHeight="1">
      <c r="A98">
        <v>9</v>
      </c>
      <c r="B98" t="str">
        <v>Joints at millwork assemblies</v>
      </c>
      <c r="C98" t="str">
        <v>N</v>
      </c>
      <c r="D98" t="str">
        <v>by millworker</v>
      </c>
    </row>
    <row r="99" ht="14.25" customHeight="1"/>
    <row r="100" ht="14.25" customHeight="1">
      <c r="A100" t="str">
        <v>D</v>
      </c>
      <c r="B100" t="str">
        <v>Schedule</v>
      </c>
    </row>
    <row r="101" ht="14.25" customHeight="1">
      <c r="A101">
        <v>1</v>
      </c>
      <c r="B101" t="str">
        <v>Meet MCN Schedule</v>
      </c>
      <c r="C101" t="str">
        <v>Y</v>
      </c>
    </row>
    <row r="102" ht="14.25" customHeight="1">
      <c r="A102">
        <f>A101+1</f>
        <v>2</v>
      </c>
      <c r="B102" t="str">
        <v>Advise of Durations</v>
      </c>
    </row>
    <row r="103" ht="14.25" customHeight="1">
      <c r="A103">
        <f>A102+1</f>
        <v>3</v>
      </c>
      <c r="B103" t="str">
        <v>Activity 1</v>
      </c>
      <c r="C103" t="str">
        <v>---&gt;</v>
      </c>
    </row>
    <row r="104" ht="14.25" customHeight="1">
      <c r="A104">
        <f>A103+1</f>
        <v>4</v>
      </c>
      <c r="B104" t="str">
        <v>Activity 2</v>
      </c>
      <c r="C104" t="str">
        <v>---&gt;</v>
      </c>
    </row>
    <row r="105" ht="14.25" customHeight="1">
      <c r="A105">
        <f>A104+1</f>
        <v>5</v>
      </c>
      <c r="B105" t="str">
        <v>Activity 3</v>
      </c>
      <c r="C105" t="str">
        <v>---&gt;</v>
      </c>
    </row>
    <row r="106" ht="14.25" customHeight="1">
      <c r="A106">
        <f>A105+1</f>
        <v>6</v>
      </c>
      <c r="B106" t="str">
        <v>Duration for Submittals and Shop Drawings</v>
      </c>
      <c r="C106" t="str">
        <v>---&gt;</v>
      </c>
    </row>
    <row r="107" ht="14.25" customHeight="1">
      <c r="A107">
        <f>A106+1</f>
        <v>7</v>
      </c>
      <c r="B107" t="str">
        <v>Advise of Lead Times:</v>
      </c>
    </row>
    <row r="108" ht="14.25" customHeight="1">
      <c r="A108">
        <f>A107+1</f>
        <v>8</v>
      </c>
      <c r="B108" t="str">
        <v>Material 1</v>
      </c>
      <c r="C108" t="str">
        <v>---&gt;</v>
      </c>
    </row>
    <row r="109" ht="14.25" customHeight="1">
      <c r="A109">
        <f>A108+1</f>
        <v>9</v>
      </c>
      <c r="B109" t="str">
        <v>Material 2</v>
      </c>
      <c r="C109" t="str">
        <v>---&gt;</v>
      </c>
    </row>
    <row r="110" ht="14.25" customHeight="1">
      <c r="A110">
        <f>A109+1</f>
        <v>10</v>
      </c>
      <c r="B110" t="str">
        <v>Material 3</v>
      </c>
      <c r="C110" t="str">
        <v>---&gt;</v>
      </c>
    </row>
    <row r="111" ht="14.25" customHeight="1"/>
    <row r="112" ht="14.25" customHeight="1"/>
    <row r="113" ht="14.25" customHeight="1">
      <c r="B113" t="str">
        <v>Allowances</v>
      </c>
    </row>
    <row r="114" ht="14.25" customHeight="1">
      <c r="A114">
        <v>1</v>
      </c>
    </row>
    <row r="115" ht="14.25" customHeight="1">
      <c r="A115">
        <f>A114+1</f>
        <v>2</v>
      </c>
    </row>
    <row r="116" ht="14.25" customHeight="1">
      <c r="A116">
        <f>A115+1</f>
        <v>3</v>
      </c>
    </row>
    <row r="117" ht="14.25" customHeight="1">
      <c r="A117">
        <f>A116+1</f>
        <v>4</v>
      </c>
    </row>
    <row r="118" ht="14.25" customHeight="1"/>
    <row r="119" ht="14.25" customHeight="1"/>
    <row r="120" ht="14.25" customHeight="1">
      <c r="B120" t="str">
        <v>Alternates</v>
      </c>
    </row>
    <row r="121" ht="14.25" customHeight="1">
      <c r="A121">
        <v>1</v>
      </c>
      <c r="C121" t="str">
        <v>#</v>
      </c>
    </row>
    <row r="122" ht="14.25" customHeight="1">
      <c r="A122">
        <f>A121+1</f>
        <v>2</v>
      </c>
      <c r="C122" t="str">
        <v>#</v>
      </c>
    </row>
    <row r="123" ht="14.25" customHeight="1">
      <c r="A123">
        <f>A122+1</f>
        <v>3</v>
      </c>
      <c r="C123" t="str">
        <v>#</v>
      </c>
    </row>
    <row r="124" ht="14.25" customHeight="1">
      <c r="A124">
        <f>A123+1</f>
        <v>4</v>
      </c>
      <c r="C124" t="str">
        <v>#</v>
      </c>
    </row>
    <row r="125" ht="14.25" customHeight="1">
      <c r="C125" t="str">
        <v>#</v>
      </c>
    </row>
    <row r="126" ht="14.25" customHeight="1">
      <c r="B126" t="str">
        <v>Unit Prices</v>
      </c>
    </row>
    <row r="127" ht="14.25" customHeight="1">
      <c r="A127">
        <v>1</v>
      </c>
      <c r="C127" t="str">
        <v>#</v>
      </c>
    </row>
    <row r="128" ht="14.25" customHeight="1">
      <c r="A128">
        <f>A127+1</f>
        <v>2</v>
      </c>
      <c r="C128" t="str">
        <v>#</v>
      </c>
    </row>
    <row r="129" ht="14.25" customHeight="1">
      <c r="A129">
        <f>A128+1</f>
        <v>3</v>
      </c>
      <c r="C129" t="str">
        <v>#</v>
      </c>
    </row>
    <row r="130" ht="14.25" customHeight="1">
      <c r="A130">
        <f>A129+1</f>
        <v>4</v>
      </c>
      <c r="C130" t="str">
        <v>#</v>
      </c>
    </row>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18.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 xml:space="preserve">Aorbis </v>
      </c>
      <c r="N1" t="str">
        <v>Washington Door</v>
      </c>
      <c r="Q1" t="str">
        <v>Allegany Door</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Sahil Mathur</v>
      </c>
      <c r="N2" t="str">
        <v>Ron Caldwell</v>
      </c>
      <c r="Q2" t="str">
        <v>Bobie Yost</v>
      </c>
      <c r="T2" t="str">
        <v>Name</v>
      </c>
      <c r="W2" t="str">
        <v>Name</v>
      </c>
      <c r="Z2" t="str">
        <v>Name</v>
      </c>
      <c r="AC2" t="str">
        <v>Name</v>
      </c>
      <c r="AH2" t="str">
        <v>MCN</v>
      </c>
      <c r="AM2" s="8">
        <f>I9</f>
        <v>0</v>
      </c>
    </row>
    <row r="3" ht="14.25" customHeight="1" outlineLevel="1">
      <c r="I3" t="str">
        <v>Email:</v>
      </c>
      <c r="K3" t="str">
        <v>bids@aorbis.com</v>
      </c>
      <c r="N3" t="str">
        <v>ron.caldwell@integratedopenings.com</v>
      </c>
      <c r="Q3" t="str">
        <v>bobieyost@alleganydoor.com</v>
      </c>
      <c r="T3" t="str">
        <v>Email</v>
      </c>
      <c r="W3" t="str">
        <v>Email</v>
      </c>
      <c r="Z3" t="str">
        <v>Email</v>
      </c>
      <c r="AC3" t="str">
        <v>Email</v>
      </c>
      <c r="AH3">
        <v>1</v>
      </c>
      <c r="AI3" t="str">
        <f>IFNA(INDEX($K$1:$AE$1,1,MATCH($AH3,$K$10:$AE$10,0)),"")</f>
        <v>Allegany Door</v>
      </c>
      <c r="AJ3" s="3">
        <f t="array" ref="AJ3">IFNA(INDEX($K$6:$AE$6,1,MATCH($AH3,$K$10:$AE$10,0)+1),"")</f>
        <v>150000</v>
      </c>
      <c r="AK3" s="3">
        <f t="array" ref="AK3">IFNA(INDEX($K$7:$AE$7,1,MATCH($AH3,$K$10:$AE$10,0)+1),"")</f>
        <v>0</v>
      </c>
      <c r="AL3" s="3">
        <f t="array" ref="AL3">IFNA(INDEX($K$8:$AE$8,1,MATCH($AH3,$K$10:$AE$10,0)+1),"")</f>
        <v>3000</v>
      </c>
      <c r="AM3" s="3">
        <f t="array" ref="AM3">IFNA(INDEX($K$9:$AE$9,1,MATCH($AH3,$K$10:$AE$10,0)+1),"")</f>
        <v>153000</v>
      </c>
      <c r="AO3" s="9">
        <f>IFERROR(AN3*AM3,0)</f>
        <v>0</v>
      </c>
    </row>
    <row r="4" ht="14.25" customHeight="1" outlineLevel="1">
      <c r="A4" t="str">
        <v>Trade:</v>
      </c>
      <c r="B4" t="str">
        <v>08 - DOORS, FRAMES, HARDWARE</v>
      </c>
      <c r="I4" t="str">
        <v>Phone:</v>
      </c>
      <c r="K4" t="str">
        <v>860-317-7100 ext 506</v>
      </c>
      <c r="N4" t="str">
        <v>202-297-5922</v>
      </c>
      <c r="Q4" t="str">
        <v>301-739-8900</v>
      </c>
      <c r="T4" t="str">
        <v>Number</v>
      </c>
      <c r="W4" t="str">
        <v>Number</v>
      </c>
      <c r="Z4" t="str">
        <v>Number</v>
      </c>
      <c r="AC4" t="str">
        <v>Number</v>
      </c>
      <c r="AH4">
        <v>2</v>
      </c>
      <c r="AI4" t="str">
        <f>IFNA(INDEX($K$1:$AE$1,1,MATCH($AH4,$K$10:$AE$10,0)),"")</f>
        <v>Washington Door</v>
      </c>
      <c r="AJ4" s="3">
        <f t="array" ref="AJ4">IFNA(INDEX($K$6:$AE$6,1,MATCH($AH4,$K$10:$AE$10,0)+1),"")</f>
        <v>147000</v>
      </c>
      <c r="AK4" s="3">
        <f t="array" ref="AK4">IFNA(INDEX($K$7:$AE$7,1,MATCH($AH4,$K$10:$AE$10,0)+1),"")</f>
        <v>5429.6</v>
      </c>
      <c r="AL4" s="3">
        <f t="array" ref="AL4">IFNA(INDEX($K$8:$AE$8,1,MATCH($AH4,$K$10:$AE$10,0)+1),"")</f>
        <v>3048.592</v>
      </c>
      <c r="AM4" s="3">
        <f t="array" ref="AM4">IFNA(INDEX($K$9:$AE$9,1,MATCH($AH4,$K$10:$AE$10,0)+1),"")</f>
        <v>155478.192</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NO</v>
      </c>
      <c r="W5" t="str">
        <v>Level Scope?</v>
      </c>
      <c r="X5" s="4" t="str">
        <v>NO</v>
      </c>
      <c r="Z5" t="str">
        <v>Level Scope?</v>
      </c>
      <c r="AA5" s="4" t="str">
        <v>NO</v>
      </c>
      <c r="AC5" t="str">
        <v>Level Scope?</v>
      </c>
      <c r="AD5" s="4" t="str">
        <v>NO</v>
      </c>
      <c r="AH5">
        <v>3</v>
      </c>
      <c r="AI5" t="str">
        <f>IFNA(INDEX($K$1:$AE$1,1,MATCH($AH5,$K$10:$AE$10,0)),"")</f>
        <v xml:space="preserve">Aorbis </v>
      </c>
      <c r="AJ5" s="3">
        <f t="array" ref="AJ5">IFNA(INDEX($K$6:$AE$6,1,MATCH($AH5,$K$10:$AE$10,0)+1),"")</f>
        <v>195360</v>
      </c>
      <c r="AK5" s="3">
        <f t="array" ref="AK5">IFNA(INDEX($K$7:$AE$7,1,MATCH($AH5,$K$10:$AE$10,0)+1),"")</f>
        <v>4936</v>
      </c>
      <c r="AL5" s="3">
        <f t="array" ref="AL5">IFNA(INDEX($K$8:$AE$8,1,MATCH($AH5,$K$10:$AE$10,0)+1),"")</f>
        <v>4005.92</v>
      </c>
      <c r="AM5" s="3">
        <f t="array" ref="AM5">IFNA(INDEX($K$9:$AE$9,1,MATCH($AH5,$K$10:$AE$10,0)+1),"")</f>
        <v>204301.92</v>
      </c>
      <c r="AO5" s="9">
        <f>IFERROR(AN5*AM5,0)</f>
        <v>0</v>
      </c>
    </row>
    <row r="6" ht="14.25" customHeight="1" outlineLevel="1">
      <c r="K6" t="str">
        <v>Base Bid:</v>
      </c>
      <c r="L6" s="4">
        <v>195360</v>
      </c>
      <c r="N6" t="str">
        <v>Base Bid:</v>
      </c>
      <c r="O6" s="4">
        <v>147000</v>
      </c>
      <c r="Q6" t="str">
        <v>Base Bid:</v>
      </c>
      <c r="R6" s="4">
        <v>150000</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Nija Thomas</v>
      </c>
      <c r="C7" t="str">
        <v>Contact:</v>
      </c>
      <c r="G7" s="8" t="str">
        <v>| MCN Budget</v>
      </c>
      <c r="I7" s="8">
        <f>SUM(I20:I122,I13:I18)</f>
        <v>0</v>
      </c>
      <c r="K7" t="str">
        <v>Adjustments:</v>
      </c>
      <c r="L7" s="4">
        <f>SUM(L13:L18,L20:L122)</f>
        <v>4936</v>
      </c>
      <c r="N7" t="str">
        <v>Adjustments:</v>
      </c>
      <c r="O7" s="4">
        <f>SUM(O13:O18,O20:O122)</f>
        <v>5429.6</v>
      </c>
      <c r="Q7" t="str">
        <v>Adjustments:</v>
      </c>
      <c r="R7" s="4">
        <f>SUM(R13:R18,R20:R122)</f>
        <v>0</v>
      </c>
      <c r="T7" t="str">
        <v>Adjustments:</v>
      </c>
      <c r="U7" s="4">
        <f>SUM(U13:U18,U20:U122)</f>
        <v>0</v>
      </c>
      <c r="W7" t="str">
        <v>Adjustments:</v>
      </c>
      <c r="X7" s="4">
        <f>SUM(X13:X18,X20:X122)</f>
        <v>0</v>
      </c>
      <c r="Z7" t="str">
        <v>Adjustments:</v>
      </c>
      <c r="AA7" s="4">
        <f>SUM(AA13:AA18,AA20:AA122)</f>
        <v>0</v>
      </c>
      <c r="AC7" t="str">
        <v>Adjustments:</v>
      </c>
      <c r="AD7" s="4">
        <f>SUM(AD13:AD18,AD20:AD122)</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4005.92</v>
      </c>
      <c r="M8" s="10">
        <v>0.02</v>
      </c>
      <c r="N8" t="str">
        <v>Bond:</v>
      </c>
      <c r="O8" s="4">
        <f>M8*SUM(O6:O7)</f>
        <v>3048.592</v>
      </c>
      <c r="P8" s="10">
        <v>0.02</v>
      </c>
      <c r="Q8" t="str">
        <v>Bond:</v>
      </c>
      <c r="R8" s="4">
        <f>P8*SUM(R6:R7)</f>
        <v>3000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204301.92</v>
      </c>
      <c r="N9" t="str">
        <v>Total Bid:</v>
      </c>
      <c r="O9" s="4">
        <f>IF(O5="FULL SCOPE",SUM(O6:O8),"not level")</f>
        <v>155478.192</v>
      </c>
      <c r="Q9" t="str">
        <v>Total Bid:</v>
      </c>
      <c r="R9" s="4">
        <f>IF(R5="FULL SCOPE",SUM(R6:R8),"not level")</f>
        <v>153000</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3</v>
      </c>
      <c r="N10">
        <f>IF(O5="NO","INCOMPLETE",RANK.EQ(O9,$L$9:$AE$9,1))</f>
        <v>2</v>
      </c>
      <c r="Q10">
        <f>IF(R5="NO","INCOMPLETE",RANK.EQ(R9,$L$9:$AE$9,1))</f>
        <v>1</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J16" t="str">
        <v>Y</v>
      </c>
      <c r="M16" t="str">
        <v>Y</v>
      </c>
      <c r="P16" t="str">
        <v>Y</v>
      </c>
      <c r="Q16" t="str">
        <v xml:space="preserve">Acknowledge except schedule </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J19" t="str">
        <v>Y</v>
      </c>
      <c r="K19" t="str">
        <v>includes tax</v>
      </c>
      <c r="L19" s="8">
        <v>195360.46</v>
      </c>
      <c r="M19" t="str">
        <v>Y</v>
      </c>
      <c r="N19" t="str">
        <v xml:space="preserve">Excludes Tax </v>
      </c>
      <c r="O19" s="8">
        <v>147000</v>
      </c>
      <c r="P19" t="str">
        <v>Y</v>
      </c>
      <c r="Q19" t="str">
        <v>Excludes Tax</v>
      </c>
      <c r="R19" s="8">
        <v>150000</v>
      </c>
      <c r="U19" s="8" t="str">
        <f>U6</f>
        <v/>
      </c>
      <c r="X19" s="8" t="str">
        <f>X6</f>
        <v/>
      </c>
      <c r="AA19" s="8" t="str">
        <f>AA6</f>
        <v/>
      </c>
      <c r="AD19" s="8" t="str">
        <f>AD6</f>
        <v/>
      </c>
    </row>
    <row r="20" ht="14.25" customHeight="1">
      <c r="A20">
        <f>A19+1</f>
        <v>2</v>
      </c>
      <c r="I20" s="8">
        <f>H20*F20</f>
        <v>0</v>
      </c>
    </row>
    <row r="21" ht="14.25" customHeight="1">
      <c r="A21">
        <f>A20+1</f>
        <v>3</v>
      </c>
      <c r="B21" t="str">
        <v>Key Cost Breakdown</v>
      </c>
      <c r="P21" t="str">
        <v>Y</v>
      </c>
      <c r="Q21" s="9">
        <v>26664.97</v>
      </c>
    </row>
    <row r="22" ht="14.25" customHeight="1">
      <c r="A22">
        <f>A21+1</f>
        <v>4</v>
      </c>
      <c r="B22" t="str">
        <v xml:space="preserve">Hollow Metal Doors </v>
      </c>
      <c r="C22" t="str">
        <v>#</v>
      </c>
      <c r="D22" t="str">
        <v>$</v>
      </c>
      <c r="I22" s="8">
        <f>H22*F22</f>
        <v>0</v>
      </c>
      <c r="J22" t="str">
        <v>Y</v>
      </c>
      <c r="K22" s="9">
        <v>18444.11</v>
      </c>
      <c r="M22" t="str">
        <v>Y</v>
      </c>
      <c r="P22" t="str">
        <v>Y</v>
      </c>
      <c r="Q22" s="9">
        <v>23314.34</v>
      </c>
    </row>
    <row r="23" ht="14.25" customHeight="1">
      <c r="A23">
        <v>5</v>
      </c>
      <c r="B23" t="str">
        <v xml:space="preserve">Flush Wood Doors </v>
      </c>
      <c r="C23" t="str">
        <v>#</v>
      </c>
      <c r="D23" t="str">
        <v>$</v>
      </c>
      <c r="I23" s="8">
        <f>H23*F23</f>
        <v>0</v>
      </c>
      <c r="J23" t="str">
        <v>Y</v>
      </c>
      <c r="K23" s="9">
        <v>37966.38</v>
      </c>
      <c r="M23" t="str">
        <v>Y</v>
      </c>
      <c r="P23" t="str">
        <v>Y</v>
      </c>
      <c r="Q23" s="9">
        <v>18634.31</v>
      </c>
    </row>
    <row r="24" ht="14.25" customHeight="1">
      <c r="A24">
        <v>6</v>
      </c>
      <c r="B24" t="str">
        <v>Hollow Metal Frames</v>
      </c>
      <c r="C24" t="str">
        <v>#</v>
      </c>
      <c r="D24" t="str">
        <v>$</v>
      </c>
      <c r="I24" s="8">
        <f>H24*F24</f>
        <v>0</v>
      </c>
      <c r="J24" t="str">
        <v>Y</v>
      </c>
      <c r="K24" s="9">
        <v>15131.29</v>
      </c>
      <c r="M24" t="str">
        <v>Y</v>
      </c>
      <c r="P24" t="str">
        <v>Y</v>
      </c>
      <c r="Q24" s="9">
        <v>81386.38</v>
      </c>
    </row>
    <row r="25" ht="14.25" customHeight="1">
      <c r="A25">
        <v>7</v>
      </c>
      <c r="B25" t="str">
        <v>Door Hardware</v>
      </c>
      <c r="C25" t="str">
        <v>#</v>
      </c>
      <c r="D25" t="str">
        <v>$</v>
      </c>
      <c r="I25" s="8">
        <f>H25*F25</f>
        <v>0</v>
      </c>
      <c r="J25" t="str">
        <v>Y</v>
      </c>
      <c r="K25" s="9">
        <v>108657.72</v>
      </c>
      <c r="M25" t="str">
        <v>Y</v>
      </c>
    </row>
    <row r="26" ht="14.25" customHeight="1">
      <c r="A26">
        <v>8</v>
      </c>
    </row>
    <row r="27" ht="14.25" customHeight="1">
      <c r="A27">
        <v>9</v>
      </c>
      <c r="B27" t="str">
        <v>Key Quantity Breakdown</v>
      </c>
    </row>
    <row r="28" ht="15.75" customHeight="1">
      <c r="A28">
        <v>10</v>
      </c>
      <c r="B28" t="str">
        <v xml:space="preserve">Hollow Metal Doors </v>
      </c>
      <c r="C28" t="str">
        <v>#</v>
      </c>
      <c r="D28" t="str">
        <v>leaf(s)</v>
      </c>
      <c r="I28" s="8">
        <f>H28*F28</f>
        <v>0</v>
      </c>
      <c r="J28" t="str">
        <v>Y</v>
      </c>
      <c r="K28">
        <v>22</v>
      </c>
      <c r="M28" t="str">
        <v>Y</v>
      </c>
      <c r="N28">
        <v>23</v>
      </c>
      <c r="P28" t="str">
        <v>Y</v>
      </c>
      <c r="Q28">
        <v>23</v>
      </c>
    </row>
    <row r="29" ht="14.25" customHeight="1">
      <c r="A29">
        <v>11</v>
      </c>
      <c r="B29" t="str">
        <v xml:space="preserve">Flush Wood Doors </v>
      </c>
      <c r="C29" t="str">
        <v>#</v>
      </c>
      <c r="D29" t="str">
        <v>leaf(s)</v>
      </c>
      <c r="I29" s="8">
        <f>H29*F29</f>
        <v>0</v>
      </c>
      <c r="J29" t="str">
        <v>Y</v>
      </c>
      <c r="K29">
        <v>28</v>
      </c>
      <c r="M29" t="str">
        <v>Y</v>
      </c>
      <c r="N29">
        <v>29</v>
      </c>
      <c r="P29" t="str">
        <v>Y</v>
      </c>
      <c r="Q29">
        <v>28</v>
      </c>
    </row>
    <row r="30" ht="14.25" customHeight="1">
      <c r="A30">
        <v>12</v>
      </c>
      <c r="B30" t="str">
        <v xml:space="preserve">Hollow Metal Frames </v>
      </c>
      <c r="C30" t="str">
        <v>#</v>
      </c>
      <c r="D30" t="str">
        <v>ea</v>
      </c>
      <c r="I30" s="8">
        <f>H30*F30</f>
        <v>0</v>
      </c>
      <c r="J30" t="str">
        <v>Y</v>
      </c>
      <c r="K30">
        <v>34</v>
      </c>
      <c r="M30" t="str">
        <v>Y</v>
      </c>
      <c r="N30">
        <v>35</v>
      </c>
      <c r="P30" t="str">
        <v>Y</v>
      </c>
      <c r="Q30">
        <v>40</v>
      </c>
    </row>
    <row r="31" ht="14.25" customHeight="1">
      <c r="A31">
        <v>13</v>
      </c>
      <c r="B31" t="str">
        <v>Door Hardware</v>
      </c>
      <c r="C31" t="str">
        <v>#</v>
      </c>
      <c r="D31" t="str">
        <v>set(s)</v>
      </c>
      <c r="I31" s="8">
        <v>0</v>
      </c>
      <c r="J31" t="str">
        <v>Y</v>
      </c>
      <c r="K31">
        <v>42</v>
      </c>
      <c r="M31" t="str">
        <v>Y</v>
      </c>
      <c r="N31">
        <v>52</v>
      </c>
      <c r="P31" t="str">
        <v>Y</v>
      </c>
    </row>
    <row r="32" ht="14.25" customHeight="1"/>
    <row r="33" ht="14.25" customHeight="1">
      <c r="B33" t="str">
        <v>Section 3 - Scope of Work</v>
      </c>
    </row>
    <row r="34" ht="14.25" customHeight="1">
      <c r="B34" t="str">
        <v xml:space="preserve">Furnish All Items UON (Unless Otherwise Noted) </v>
      </c>
      <c r="C34" t="str">
        <v>Y</v>
      </c>
      <c r="J34" t="str">
        <v>Y</v>
      </c>
      <c r="M34" t="str">
        <v>Y</v>
      </c>
      <c r="P34" t="str">
        <v>Y</v>
      </c>
    </row>
    <row r="35" ht="14.25" customHeight="1">
      <c r="A35" t="str">
        <v>A</v>
      </c>
      <c r="B35" t="str">
        <v>Specifications</v>
      </c>
    </row>
    <row r="36" ht="14.25" customHeight="1">
      <c r="B36" t="str">
        <v xml:space="preserve">Division 01 - General Requirements (as applicable to this Bid Package) </v>
      </c>
      <c r="C36" t="str">
        <v>Y</v>
      </c>
      <c r="J36" t="str">
        <v>Y</v>
      </c>
      <c r="M36" t="str">
        <v>Y</v>
      </c>
      <c r="P36" t="str">
        <v>Y</v>
      </c>
    </row>
    <row r="37" ht="14.25" customHeight="1">
      <c r="B37" t="str">
        <v xml:space="preserve">08 11 13 - Hollow Metal Doors and Frames </v>
      </c>
      <c r="C37" t="str">
        <v>Y</v>
      </c>
      <c r="J37" t="str">
        <v>Y</v>
      </c>
      <c r="M37" t="str">
        <v>Y</v>
      </c>
      <c r="P37" t="str">
        <v>Y</v>
      </c>
    </row>
    <row r="38" ht="14.25" customHeight="1">
      <c r="B38" t="str">
        <v xml:space="preserve">08 14 16 - Flush Wood Doors </v>
      </c>
      <c r="C38" t="str">
        <v>Y</v>
      </c>
      <c r="J38" t="str">
        <v>Y</v>
      </c>
      <c r="M38" t="str">
        <v>Y</v>
      </c>
      <c r="P38" t="str">
        <v>Y</v>
      </c>
    </row>
    <row r="39" ht="14.25" customHeight="1">
      <c r="B39" t="str">
        <v>08 71 00 - Door Hardware Sets</v>
      </c>
      <c r="C39" t="str">
        <v>Y</v>
      </c>
      <c r="J39" t="str">
        <v>Y</v>
      </c>
      <c r="M39" t="str">
        <v>Y</v>
      </c>
      <c r="P39" t="str">
        <v>Y</v>
      </c>
    </row>
    <row r="40" ht="14.25" customHeight="1">
      <c r="B40" t="str">
        <v xml:space="preserve">08 80 00 - Glazing (as applicable to this Bid Package) </v>
      </c>
      <c r="C40" t="str">
        <v>Y</v>
      </c>
      <c r="J40" t="str">
        <v>N</v>
      </c>
      <c r="K40" t="str">
        <v>By Others</v>
      </c>
      <c r="M40" t="str">
        <v>N</v>
      </c>
      <c r="P40" t="str">
        <v>N</v>
      </c>
      <c r="Q40" t="str">
        <v>By Others</v>
      </c>
    </row>
    <row r="41" ht="14.25" customHeight="1">
      <c r="B41" t="str">
        <v xml:space="preserve">09 91 13 - Exterior Painting (as applicable to this Bid Package) </v>
      </c>
      <c r="C41" t="str">
        <v>Y</v>
      </c>
      <c r="J41" t="str">
        <v>Y</v>
      </c>
      <c r="M41" t="str">
        <v>N</v>
      </c>
      <c r="P41" t="str">
        <v>Y</v>
      </c>
    </row>
    <row r="42" ht="14.25" customHeight="1">
      <c r="B42" t="str">
        <v xml:space="preserve">09 91 23 - Interior Painting (as applicable to this Bid Package) </v>
      </c>
      <c r="C42" t="str">
        <v>Y</v>
      </c>
      <c r="J42" t="str">
        <v>Y</v>
      </c>
      <c r="M42" t="str">
        <v>N</v>
      </c>
      <c r="P42" t="str">
        <v>Y</v>
      </c>
    </row>
    <row r="43" ht="14.25" customHeight="1">
      <c r="A43" t="str">
        <v>B</v>
      </c>
      <c r="B43" t="str">
        <v>Inclusions</v>
      </c>
    </row>
    <row r="44" ht="14.25" customHeight="1">
      <c r="A44">
        <v>1</v>
      </c>
      <c r="B44" t="str">
        <v>SPECIFIC SCOPE ITEMS</v>
      </c>
      <c r="C44" t="str">
        <v>Y</v>
      </c>
      <c r="I44" s="8">
        <f>H44*F44</f>
        <v>0</v>
      </c>
      <c r="J44" t="str">
        <v>Y</v>
      </c>
      <c r="M44" t="str">
        <v>Y</v>
      </c>
      <c r="P44" t="str">
        <v>Y</v>
      </c>
    </row>
    <row r="45" ht="14.25" customHeight="1">
      <c r="A45">
        <v>2</v>
      </c>
      <c r="B45" t="str">
        <v>Hollow Metal Doors</v>
      </c>
      <c r="C45" t="str">
        <v>Y</v>
      </c>
      <c r="I45" s="8">
        <f>H45*F45</f>
        <v>0</v>
      </c>
      <c r="J45" t="str">
        <v>Y</v>
      </c>
      <c r="M45" t="str">
        <v>Y</v>
      </c>
      <c r="P45" t="str">
        <v>Y</v>
      </c>
    </row>
    <row r="46" ht="14.25" customHeight="1">
      <c r="A46">
        <v>3</v>
      </c>
      <c r="B46" t="str">
        <v>Furnish all hollow metal doors and frames, and accessories per plans, specs &amp; schedule to include, but not limited to:</v>
      </c>
      <c r="C46" t="str">
        <v>Y</v>
      </c>
      <c r="I46" s="8">
        <f>H46*F46</f>
        <v>0</v>
      </c>
      <c r="J46" t="str">
        <v>Y</v>
      </c>
      <c r="M46" t="str">
        <v>Y</v>
      </c>
    </row>
    <row r="47" ht="14.25" customHeight="1">
      <c r="A47">
        <v>4</v>
      </c>
      <c r="B47" t="str">
        <v xml:space="preserve">Hollow metal door leafs (single and double) as scheduled. Refer to drawing A8.2 </v>
      </c>
      <c r="C47" t="str">
        <v>Y</v>
      </c>
      <c r="I47" s="8">
        <f>H47*F47</f>
        <v>0</v>
      </c>
      <c r="J47" t="str">
        <v>Y</v>
      </c>
      <c r="M47" t="str">
        <v>Y</v>
      </c>
      <c r="P47" t="str">
        <v>Y</v>
      </c>
    </row>
    <row r="48" ht="14.25" customHeight="1">
      <c r="A48">
        <v>5</v>
      </c>
      <c r="B48" t="str">
        <v xml:space="preserve">Hollow metal door frames (single and double) as scheduled. Refer to drawing A8.2 </v>
      </c>
      <c r="C48" t="str">
        <v>Y</v>
      </c>
      <c r="I48" s="8">
        <f>H48*F48</f>
        <v>0</v>
      </c>
      <c r="J48" t="str">
        <v>Y</v>
      </c>
      <c r="M48" t="str">
        <v>Y</v>
      </c>
      <c r="P48" t="str">
        <v>Y</v>
      </c>
    </row>
    <row r="49" ht="14.25" customHeight="1">
      <c r="A49">
        <v>6</v>
      </c>
      <c r="B49" t="str">
        <v>Hollow metal interior sidelite/transom frames attached to door frames</v>
      </c>
      <c r="C49" t="str">
        <v>Y</v>
      </c>
      <c r="I49" s="8">
        <f>H49*F49</f>
        <v>0</v>
      </c>
      <c r="J49" t="str">
        <v>N</v>
      </c>
      <c r="P49" t="str">
        <v>N/A</v>
      </c>
    </row>
    <row r="50" ht="14.25" customHeight="1">
      <c r="A50">
        <v>7</v>
      </c>
      <c r="B50" t="str">
        <v>Hollow metal interior borrowed lite frames</v>
      </c>
      <c r="C50" t="str">
        <v>Y</v>
      </c>
      <c r="I50" s="8">
        <f>H50*F50</f>
        <v>0</v>
      </c>
      <c r="J50" t="str">
        <v>N</v>
      </c>
      <c r="P50" t="str">
        <v>N/A</v>
      </c>
    </row>
    <row r="51" ht="14.25" customHeight="1">
      <c r="A51">
        <v>8</v>
      </c>
      <c r="B51" t="str">
        <v xml:space="preserve">Hollow metal doors to come with glazing stops. Glass to be furnished and installed by others. </v>
      </c>
      <c r="C51" t="str">
        <v>Y</v>
      </c>
      <c r="I51" s="8">
        <v>0</v>
      </c>
      <c r="J51" t="str">
        <v>Y</v>
      </c>
      <c r="M51" t="str">
        <v>Y</v>
      </c>
    </row>
    <row r="52" ht="14.25" customHeight="1">
      <c r="A52">
        <v>9</v>
      </c>
      <c r="B52" t="str">
        <v>Factory primed finish at interior openings, galvanized at exterior locations</v>
      </c>
      <c r="C52" t="str">
        <v>Y</v>
      </c>
      <c r="I52" s="8">
        <f>H52*F52</f>
        <v>0</v>
      </c>
      <c r="J52" t="str">
        <v>Y</v>
      </c>
      <c r="P52" t="str">
        <v>Y</v>
      </c>
    </row>
    <row r="53" ht="14.25" customHeight="1">
      <c r="A53">
        <v>10</v>
      </c>
      <c r="B53" t="str">
        <v>Thermal rated (insulating) door and frame assemblies at exterior locations</v>
      </c>
      <c r="C53" t="str">
        <v>Y</v>
      </c>
      <c r="I53" s="8">
        <f>H53*F53</f>
        <v>0</v>
      </c>
      <c r="J53" t="str">
        <v>Y</v>
      </c>
      <c r="P53" t="str">
        <v>Y</v>
      </c>
    </row>
    <row r="54" ht="14.25" customHeight="1">
      <c r="A54">
        <v>11</v>
      </c>
      <c r="B54" t="str">
        <v>Comply with ANSI/SDI standards</v>
      </c>
      <c r="C54" t="str">
        <v>Y</v>
      </c>
      <c r="I54" s="8">
        <v>0</v>
      </c>
      <c r="J54" t="str">
        <v>Y</v>
      </c>
      <c r="P54" t="str">
        <v>Y</v>
      </c>
    </row>
    <row r="55" ht="14.25" customHeight="1">
      <c r="A55">
        <v>12</v>
      </c>
      <c r="B55" t="str">
        <v xml:space="preserve">Comply with UL ratings </v>
      </c>
      <c r="C55" t="str">
        <v>Y</v>
      </c>
      <c r="I55" s="8">
        <v>0</v>
      </c>
      <c r="J55" t="str">
        <v>Y</v>
      </c>
      <c r="P55" t="str">
        <v>Y</v>
      </c>
    </row>
    <row r="56" ht="14.25" customHeight="1">
      <c r="A56">
        <v>13</v>
      </c>
      <c r="B56" t="str">
        <v xml:space="preserve">Comply with NFPA standards </v>
      </c>
      <c r="C56" t="str">
        <v>Y</v>
      </c>
      <c r="I56" s="8">
        <v>0</v>
      </c>
      <c r="J56" t="str">
        <v>Y</v>
      </c>
      <c r="P56" t="str">
        <v>Y</v>
      </c>
    </row>
    <row r="57" ht="29.25" customHeight="1">
      <c r="A57">
        <v>14</v>
      </c>
      <c r="B57" t="str">
        <v>Accessories to include integral louvers, jamb/floor anchors, glazing stops, attachement hardware, etc</v>
      </c>
      <c r="C57" t="str">
        <v>Y</v>
      </c>
      <c r="I57" s="8">
        <f>H57*F57</f>
        <v>0</v>
      </c>
      <c r="J57" t="str">
        <v>Y</v>
      </c>
      <c r="P57" t="str">
        <v>Y</v>
      </c>
    </row>
    <row r="58" ht="14.25" customHeight="1">
      <c r="A58">
        <v>15</v>
      </c>
      <c r="B58" t="str">
        <v xml:space="preserve">Provide Basis of Design (BOD) manufacturer(s): </v>
      </c>
      <c r="C58" t="str">
        <v>Y</v>
      </c>
      <c r="I58" s="8">
        <f>H58*F58</f>
        <v>0</v>
      </c>
      <c r="J58" t="str">
        <v>N</v>
      </c>
      <c r="K58" t="str">
        <v>Meskar Inc.</v>
      </c>
      <c r="P58" t="str">
        <v>Y</v>
      </c>
    </row>
    <row r="59" ht="14.25" customHeight="1">
      <c r="A59">
        <v>16</v>
      </c>
      <c r="B59" t="str">
        <v xml:space="preserve">1. Ceco Door; ASSA ABLOY </v>
      </c>
      <c r="C59" t="str">
        <v>---&gt;</v>
      </c>
      <c r="I59" s="8">
        <v>0</v>
      </c>
      <c r="M59" t="str">
        <v>Y</v>
      </c>
      <c r="N59" t="str">
        <v>Ceco</v>
      </c>
    </row>
    <row r="60" ht="14.25" customHeight="1">
      <c r="A60">
        <v>17</v>
      </c>
      <c r="B60" t="str">
        <v>2. Curries Company; ASSA ABLOY</v>
      </c>
      <c r="C60" t="str">
        <v>---&gt;</v>
      </c>
      <c r="I60" s="8">
        <v>0</v>
      </c>
      <c r="P60" t="str">
        <v>Y</v>
      </c>
      <c r="Q60" t="str">
        <v xml:space="preserve">Curries </v>
      </c>
    </row>
    <row r="61" ht="14.25" customHeight="1">
      <c r="A61">
        <v>18</v>
      </c>
      <c r="B61" t="str">
        <v xml:space="preserve">3. Republic Doors and Frames </v>
      </c>
      <c r="C61" t="str">
        <v>---&gt;</v>
      </c>
      <c r="I61" s="8">
        <v>0</v>
      </c>
    </row>
    <row r="62" ht="14.25" customHeight="1">
      <c r="A62">
        <v>19</v>
      </c>
      <c r="B62" t="str">
        <v xml:space="preserve">4. Steelcraft; an Allegion brand </v>
      </c>
      <c r="C62" t="str">
        <v>---&gt;</v>
      </c>
      <c r="I62" s="8">
        <v>0</v>
      </c>
    </row>
    <row r="63" ht="14.25" customHeight="1">
      <c r="A63">
        <v>20</v>
      </c>
      <c r="B63" t="str">
        <v xml:space="preserve"> </v>
      </c>
      <c r="I63" s="8">
        <f>H63*F63</f>
        <v>0</v>
      </c>
    </row>
    <row r="64" ht="14.25" customHeight="1">
      <c r="A64">
        <v>21</v>
      </c>
      <c r="B64" t="str">
        <v>Flush Wood Doors</v>
      </c>
      <c r="C64" t="str">
        <v>Y</v>
      </c>
      <c r="I64" s="8">
        <f>H64*F64</f>
        <v>0</v>
      </c>
      <c r="J64" t="str">
        <v>Y</v>
      </c>
      <c r="M64" t="str">
        <v>Y</v>
      </c>
      <c r="P64" t="str">
        <v>Y</v>
      </c>
    </row>
    <row r="65" ht="14.25" customHeight="1">
      <c r="A65">
        <v>22</v>
      </c>
      <c r="B65" t="str">
        <v xml:space="preserve">Furnish all solid core veneer wood doors and accessories per plans, specs &amp; schedule to include but not limited to: </v>
      </c>
      <c r="C65" t="str">
        <v>Y</v>
      </c>
      <c r="I65" s="8">
        <f>H65*F65</f>
        <v>0</v>
      </c>
      <c r="J65" t="str">
        <v>Y</v>
      </c>
      <c r="M65" t="str">
        <v>Y</v>
      </c>
      <c r="P65" t="str">
        <v>Y</v>
      </c>
    </row>
    <row r="66" ht="14.25" customHeight="1">
      <c r="A66">
        <v>23</v>
      </c>
      <c r="B66" t="str">
        <v xml:space="preserve">Wood door leafs as scheduled. Refer to Drawing A8.2 </v>
      </c>
      <c r="C66" t="str">
        <v>Y</v>
      </c>
      <c r="I66" s="8">
        <v>0</v>
      </c>
      <c r="J66" t="str">
        <v>Y</v>
      </c>
      <c r="M66" t="str">
        <v>Y</v>
      </c>
      <c r="P66" t="str">
        <v>Y</v>
      </c>
    </row>
    <row r="67" ht="14.25" customHeight="1">
      <c r="A67">
        <v>24</v>
      </c>
      <c r="B67" t="str">
        <v xml:space="preserve">Shop priming flush wood doors </v>
      </c>
      <c r="C67" t="str">
        <v>Y</v>
      </c>
      <c r="I67" s="8">
        <v>0</v>
      </c>
      <c r="J67" t="str">
        <v>Y</v>
      </c>
      <c r="M67" t="str">
        <v>Y</v>
      </c>
      <c r="P67" t="str">
        <v>N/A</v>
      </c>
    </row>
    <row r="68" ht="14.25" customHeight="1">
      <c r="A68">
        <v>25</v>
      </c>
      <c r="B68" t="str">
        <v xml:space="preserve">Factory-applied transparent finish </v>
      </c>
      <c r="C68" t="str">
        <v>Y</v>
      </c>
      <c r="I68" s="8">
        <f>H68*F68</f>
        <v>0</v>
      </c>
      <c r="J68" t="str">
        <v>Y</v>
      </c>
      <c r="M68" t="str">
        <v>Y</v>
      </c>
      <c r="P68" t="str">
        <v>Y</v>
      </c>
    </row>
    <row r="69" ht="14.25" customHeight="1">
      <c r="A69">
        <v>26</v>
      </c>
      <c r="B69" t="str">
        <v xml:space="preserve">Comply with NFPA standards </v>
      </c>
      <c r="C69" t="str">
        <v>Y</v>
      </c>
      <c r="I69" s="8">
        <v>0</v>
      </c>
      <c r="J69" t="str">
        <v>Y</v>
      </c>
      <c r="M69" t="str">
        <v>Y</v>
      </c>
      <c r="P69" t="str">
        <v>Y</v>
      </c>
    </row>
    <row r="70" ht="14.25" customHeight="1">
      <c r="A70">
        <v>27</v>
      </c>
      <c r="B70" t="str">
        <v>Comply with AWI standards</v>
      </c>
      <c r="C70" t="str">
        <v>Y</v>
      </c>
      <c r="I70" s="8">
        <v>0</v>
      </c>
      <c r="J70" t="str">
        <v>Y</v>
      </c>
      <c r="M70" t="str">
        <v>Y</v>
      </c>
      <c r="P70" t="str">
        <v>Y</v>
      </c>
    </row>
    <row r="71" ht="14.25" customHeight="1">
      <c r="A71">
        <v>28</v>
      </c>
      <c r="B71" t="str">
        <v>Accessories to include wood beads at light openings, etc.</v>
      </c>
      <c r="C71" t="str">
        <v>Y</v>
      </c>
      <c r="I71" s="8">
        <v>0</v>
      </c>
      <c r="M71" t="str">
        <v>Y</v>
      </c>
    </row>
    <row r="72" ht="14.25" customHeight="1">
      <c r="A72">
        <v>29</v>
      </c>
      <c r="B72" t="str">
        <v xml:space="preserve">Provide Basis of Design (BOD) manufacturer(s): </v>
      </c>
      <c r="C72" t="str">
        <v>Y</v>
      </c>
      <c r="I72" s="8">
        <f>H72*F72</f>
        <v>0</v>
      </c>
      <c r="J72" t="str">
        <v>N</v>
      </c>
      <c r="K72" t="str">
        <v>VT Industries</v>
      </c>
      <c r="M72" t="str">
        <v>N</v>
      </c>
      <c r="N72" t="str">
        <v>Forte Group</v>
      </c>
      <c r="P72" t="str">
        <v>N</v>
      </c>
      <c r="Q72" t="str">
        <v>VT Industries</v>
      </c>
    </row>
    <row r="73" ht="14.25" customHeight="1">
      <c r="A73">
        <v>30</v>
      </c>
      <c r="B73" t="str">
        <v xml:space="preserve">1. Activar Construction Products Group, Inc - JL Industries </v>
      </c>
      <c r="C73" t="str">
        <v>---&gt;</v>
      </c>
      <c r="I73" s="8">
        <v>0</v>
      </c>
    </row>
    <row r="74" ht="14.25" customHeight="1">
      <c r="A74">
        <v>31</v>
      </c>
      <c r="B74" t="str">
        <v xml:space="preserve">2. Babcock-Davis </v>
      </c>
      <c r="C74" t="str">
        <v>---&gt;</v>
      </c>
      <c r="I74" s="8">
        <v>0</v>
      </c>
    </row>
    <row r="75" ht="14.25" customHeight="1">
      <c r="A75">
        <v>32</v>
      </c>
      <c r="B75" t="str">
        <v>3. Nystrom</v>
      </c>
      <c r="C75" t="str">
        <v>---&gt;</v>
      </c>
      <c r="I75" s="8">
        <v>0</v>
      </c>
    </row>
    <row r="76" ht="14.25" customHeight="1">
      <c r="A76">
        <v>33</v>
      </c>
      <c r="B76" t="str">
        <v xml:space="preserve"> </v>
      </c>
    </row>
    <row r="77" ht="14.25" customHeight="1">
      <c r="A77">
        <v>34</v>
      </c>
      <c r="B77" t="str">
        <v>Finish Hardware</v>
      </c>
      <c r="C77" t="str">
        <v>Y</v>
      </c>
      <c r="I77" s="8">
        <f>H77*F77</f>
        <v>0</v>
      </c>
      <c r="J77" t="str">
        <v>Y</v>
      </c>
    </row>
    <row r="78" ht="14.25" customHeight="1">
      <c r="A78">
        <v>35</v>
      </c>
      <c r="B78" t="str">
        <v>Furnish hardware sets for all hollow metal and wood doors per schedule/spec:</v>
      </c>
      <c r="C78" t="str">
        <v>Y</v>
      </c>
      <c r="I78" s="8">
        <f>H78*F78</f>
        <v>0</v>
      </c>
      <c r="J78" t="str">
        <v>Y</v>
      </c>
      <c r="P78" t="str">
        <v>Y</v>
      </c>
    </row>
    <row r="79" ht="14.25" customHeight="1">
      <c r="A79">
        <v>36</v>
      </c>
      <c r="B79" t="str">
        <v xml:space="preserve">Furnish lock cylinders only for aluminum and glass doors/overhead doors </v>
      </c>
      <c r="C79" t="str">
        <v>Y</v>
      </c>
      <c r="I79" s="8">
        <f>H79*F79</f>
        <v>0</v>
      </c>
      <c r="J79" t="str">
        <v>Y</v>
      </c>
      <c r="P79" t="str">
        <v>Y</v>
      </c>
      <c r="Q79" t="str">
        <v xml:space="preserve">Construction cores &amp; perm . Cores only </v>
      </c>
    </row>
    <row r="80" ht="14.25" customHeight="1">
      <c r="A80">
        <v>37</v>
      </c>
      <c r="B80" t="str">
        <v>Provide keying for all locks</v>
      </c>
      <c r="C80" t="str">
        <v>Y</v>
      </c>
      <c r="I80" s="8">
        <f>H80*F80</f>
        <v>0</v>
      </c>
      <c r="J80" t="str">
        <v>Y</v>
      </c>
      <c r="P80" t="str">
        <v>Y</v>
      </c>
    </row>
    <row r="81" ht="14.25" customHeight="1">
      <c r="A81">
        <v>38</v>
      </c>
      <c r="B81" t="str">
        <v>Provide electronic hardware</v>
      </c>
      <c r="C81" t="str">
        <v>Y</v>
      </c>
      <c r="I81" s="8">
        <f>H81*F81</f>
        <v>0</v>
      </c>
      <c r="J81" t="str">
        <v>N</v>
      </c>
      <c r="K81" t="str">
        <v xml:space="preserve">Excluded </v>
      </c>
      <c r="P81" t="str">
        <v>Y</v>
      </c>
    </row>
    <row r="82" ht="14.25" customHeight="1">
      <c r="A82">
        <v>39</v>
      </c>
      <c r="B82" t="str">
        <v xml:space="preserve">Coordinate with Electrical subcontractor for all requirements related to electrified door hardware and card readers </v>
      </c>
      <c r="C82" t="str">
        <v>Y</v>
      </c>
      <c r="I82" s="8">
        <v>0</v>
      </c>
      <c r="J82" t="str">
        <v>Y</v>
      </c>
      <c r="P82" t="str">
        <v>Y</v>
      </c>
    </row>
    <row r="83" ht="14.25" customHeight="1">
      <c r="A83">
        <v>40</v>
      </c>
      <c r="B83" t="str">
        <v>Subcontractor is responsible for prepping doors and frames electronic hardware</v>
      </c>
      <c r="C83" t="str">
        <v>Y</v>
      </c>
      <c r="I83" s="8">
        <v>0</v>
      </c>
      <c r="J83" t="str">
        <v>Y</v>
      </c>
      <c r="P83" t="str">
        <v>Y</v>
      </c>
    </row>
    <row r="84" ht="14.25" customHeight="1">
      <c r="A84">
        <v>41</v>
      </c>
      <c r="P84" t="str">
        <v>Y</v>
      </c>
    </row>
    <row r="85" ht="14.25" customHeight="1">
      <c r="A85">
        <v>42</v>
      </c>
      <c r="B85" t="str">
        <v xml:space="preserve">Standard/General Scope </v>
      </c>
      <c r="C85" t="str">
        <v>Y</v>
      </c>
      <c r="I85" s="8">
        <f>H85*F85</f>
        <v>0</v>
      </c>
      <c r="J85" t="str">
        <v>Y</v>
      </c>
    </row>
    <row r="86" ht="14.25" customHeight="1">
      <c r="A86">
        <v>43</v>
      </c>
      <c r="B86" t="str">
        <v xml:space="preserve">All doors, frames, and hardware included are compliant with listed manufacturers </v>
      </c>
      <c r="C86" t="str">
        <v>Y</v>
      </c>
      <c r="I86" s="8">
        <f>H86*F86</f>
        <v>0</v>
      </c>
      <c r="J86" t="str">
        <v>Y</v>
      </c>
      <c r="P86" t="str">
        <v>Y</v>
      </c>
    </row>
    <row r="87" ht="14.25" customHeight="1">
      <c r="A87">
        <v>44</v>
      </c>
      <c r="B87" t="str">
        <v xml:space="preserve">Finishes and priming as required - paint and stain by Others </v>
      </c>
      <c r="C87" t="str">
        <v>Y</v>
      </c>
      <c r="I87" s="8">
        <v>0</v>
      </c>
      <c r="J87" t="str">
        <v>N</v>
      </c>
      <c r="K87" t="str">
        <v>Quoted as factory stain</v>
      </c>
      <c r="P87" t="str">
        <v>Y</v>
      </c>
    </row>
    <row r="88" ht="14.25" customHeight="1">
      <c r="A88">
        <v>45</v>
      </c>
      <c r="B88" t="str">
        <v xml:space="preserve">Provide all keying for all locks </v>
      </c>
      <c r="C88" t="str">
        <v>Y</v>
      </c>
      <c r="I88" s="8">
        <v>0</v>
      </c>
      <c r="J88" t="str">
        <v>Y</v>
      </c>
      <c r="P88" t="str">
        <v>Y</v>
      </c>
    </row>
    <row r="89" ht="14.25" customHeight="1">
      <c r="A89">
        <v>46</v>
      </c>
      <c r="B89" t="str">
        <v xml:space="preserve">Doors and frames in opening with electrified hardware to come predrilled for wiring </v>
      </c>
      <c r="C89" t="str">
        <v>Y</v>
      </c>
      <c r="I89" s="8">
        <v>0</v>
      </c>
      <c r="J89" t="str">
        <v>Y</v>
      </c>
      <c r="P89" t="str">
        <v>Y</v>
      </c>
    </row>
    <row r="90" ht="14.25" customHeight="1">
      <c r="A90">
        <v>47</v>
      </c>
      <c r="B90" t="str">
        <v>Provide 6 temporary HM single leaf doors and frames with basic lever, hinges, and lock for temporary use for construction.</v>
      </c>
      <c r="C90" t="str">
        <v>Y</v>
      </c>
      <c r="I90" s="8">
        <v>0</v>
      </c>
      <c r="J90" t="str">
        <v>N</v>
      </c>
      <c r="K90" t="str">
        <v>Add  $4,936</v>
      </c>
      <c r="L90" s="8">
        <v>4936</v>
      </c>
      <c r="M90" t="str">
        <v>N</v>
      </c>
      <c r="N90" t="str">
        <v>ADD - Aorbis</v>
      </c>
      <c r="O90" s="8">
        <f>SUM(4936*0.1)+(4936)</f>
        <v>5429.6</v>
      </c>
      <c r="P90" t="str">
        <v>Y</v>
      </c>
    </row>
    <row r="91" ht="14.25" customHeight="1">
      <c r="A91">
        <v>48</v>
      </c>
      <c r="B91" t="str">
        <v xml:space="preserve">Provide fire rated assemblies where indicated in schedule or in rated partitions </v>
      </c>
      <c r="C91" t="str">
        <v>Y</v>
      </c>
      <c r="I91" s="8">
        <f>H91*F91</f>
        <v>0</v>
      </c>
      <c r="J91" t="str">
        <v>Y</v>
      </c>
      <c r="P91" t="str">
        <v>Y</v>
      </c>
    </row>
    <row r="92" ht="14.25" customHeight="1">
      <c r="A92">
        <v>49</v>
      </c>
      <c r="B92" t="str">
        <v>All doors and frames factory-machined/prepped/reinforced for schedule hardware</v>
      </c>
      <c r="C92" t="str">
        <v>Y</v>
      </c>
      <c r="I92" s="8">
        <f>H92*F92</f>
        <v>0</v>
      </c>
      <c r="J92" t="str">
        <v>Y</v>
      </c>
      <c r="P92" t="str">
        <v>Y</v>
      </c>
    </row>
    <row r="93" ht="14.25" customHeight="1">
      <c r="A93">
        <v>50</v>
      </c>
      <c r="B93" t="str">
        <v xml:space="preserve">Include all construction cores with new doors </v>
      </c>
      <c r="C93" t="str">
        <v>Y</v>
      </c>
      <c r="I93" s="8">
        <f>H93*F93</f>
        <v>0</v>
      </c>
      <c r="J93" t="str">
        <v>Y</v>
      </c>
      <c r="P93" t="str">
        <v>Y</v>
      </c>
    </row>
    <row r="94" ht="14.25" customHeight="1">
      <c r="A94">
        <v>51</v>
      </c>
      <c r="B94" t="str">
        <v>Include relevant sales tax and shipping charges, FOB (Freight on Board) to the jobsite, for all materials</v>
      </c>
      <c r="C94" t="str">
        <v>Y</v>
      </c>
      <c r="I94" s="8">
        <v>0</v>
      </c>
      <c r="J94" t="str">
        <v>Y</v>
      </c>
      <c r="P94" t="str">
        <v>Y</v>
      </c>
    </row>
    <row r="95" ht="15.75" customHeight="1">
      <c r="A95">
        <v>52</v>
      </c>
      <c r="B95" t="str">
        <v xml:space="preserve">Submittals, product data, shop drawings, and schedules </v>
      </c>
      <c r="C95" t="str">
        <v>Y</v>
      </c>
      <c r="I95" s="8">
        <v>0</v>
      </c>
      <c r="J95" t="str">
        <v>Y</v>
      </c>
      <c r="P95" t="str">
        <v>Y</v>
      </c>
    </row>
    <row r="96" ht="15.75" customHeight="1">
      <c r="A96">
        <v>53</v>
      </c>
      <c r="B96" t="str">
        <v xml:space="preserve">Provide all warranties required </v>
      </c>
      <c r="C96" t="str">
        <v>Y</v>
      </c>
      <c r="I96" s="8">
        <v>0</v>
      </c>
      <c r="J96" t="str">
        <v>Y</v>
      </c>
      <c r="K96" t="str">
        <v>Per manufacturer standard</v>
      </c>
      <c r="P96" t="str">
        <v>Y</v>
      </c>
    </row>
    <row r="97" ht="14.25" customHeight="1">
      <c r="A97" t="str">
        <v>C</v>
      </c>
      <c r="B97" t="str">
        <v>Exclusions</v>
      </c>
    </row>
    <row r="98" ht="14.25" customHeight="1">
      <c r="A98">
        <v>1</v>
      </c>
      <c r="B98" t="str">
        <v>Installation of doors, frames and hardware</v>
      </c>
      <c r="C98" t="str">
        <v>N</v>
      </c>
      <c r="D98" t="str">
        <v>By Drywall Subcontractor</v>
      </c>
      <c r="P98" t="str">
        <v>N</v>
      </c>
    </row>
    <row r="99" ht="14.25" customHeight="1">
      <c r="A99">
        <f>A98+1</f>
        <v>2</v>
      </c>
      <c r="B99" t="str">
        <v>Wood door frames/trim</v>
      </c>
      <c r="C99" t="str">
        <v>N</v>
      </c>
      <c r="D99" t="str">
        <v xml:space="preserve">By Millwork Subcontractor </v>
      </c>
      <c r="P99" t="str">
        <v>N</v>
      </c>
    </row>
    <row r="100" ht="14.25" customHeight="1">
      <c r="A100">
        <v>3</v>
      </c>
      <c r="B100" t="str">
        <v>Glass lites in doors and borrowed lites/sidelites</v>
      </c>
      <c r="C100" t="str">
        <v>N</v>
      </c>
      <c r="D100" t="str">
        <v xml:space="preserve">By Glass/Glazing Subcontractor </v>
      </c>
      <c r="P100" t="str">
        <v>N</v>
      </c>
    </row>
    <row r="101" ht="14.25" customHeight="1">
      <c r="A101">
        <f>A100+1</f>
        <v>4</v>
      </c>
      <c r="B101" t="str">
        <v xml:space="preserve">Aluminum door and frames </v>
      </c>
      <c r="C101" t="str">
        <v>N</v>
      </c>
      <c r="D101" t="str">
        <v xml:space="preserve">By Glass/Glazing Subcontractor </v>
      </c>
      <c r="P101" t="str">
        <v>N</v>
      </c>
    </row>
    <row r="102" ht="14.25" customHeight="1">
      <c r="A102">
        <f>A101+1</f>
        <v>5</v>
      </c>
      <c r="B102" t="str">
        <v>Field painting</v>
      </c>
      <c r="C102" t="str">
        <v>N</v>
      </c>
      <c r="D102" t="str">
        <v xml:space="preserve">By Painting Subcontractor </v>
      </c>
      <c r="P102" t="str">
        <v>N</v>
      </c>
    </row>
    <row r="103" ht="14.25" customHeight="1">
      <c r="A103">
        <v>6</v>
      </c>
      <c r="B103" t="str">
        <v xml:space="preserve">Overhead doors </v>
      </c>
      <c r="C103" t="str">
        <v>N</v>
      </c>
      <c r="D103" t="str">
        <v xml:space="preserve">By Glass/Glazing Subcontractor </v>
      </c>
      <c r="P103" t="str">
        <v>N</v>
      </c>
    </row>
    <row r="104" ht="14.25" customHeight="1"/>
    <row r="105" ht="14.25" customHeight="1">
      <c r="A105" t="str">
        <v>D</v>
      </c>
      <c r="B105" t="str">
        <v>Schedule</v>
      </c>
    </row>
    <row r="106" ht="14.25" customHeight="1">
      <c r="A106">
        <v>1</v>
      </c>
      <c r="B106" t="str">
        <v>Meet MCN Schedule</v>
      </c>
      <c r="C106" t="str">
        <v>Y</v>
      </c>
      <c r="P106" t="str">
        <v>N</v>
      </c>
      <c r="Q106" t="str">
        <v>Not provided</v>
      </c>
    </row>
    <row r="107" ht="14.25" customHeight="1">
      <c r="A107">
        <f>A106+1</f>
        <v>2</v>
      </c>
      <c r="B107" t="str">
        <v>Advise of Durations</v>
      </c>
    </row>
    <row r="108" ht="14.25" customHeight="1">
      <c r="A108">
        <f>A107+1</f>
        <v>3</v>
      </c>
      <c r="B108" t="str">
        <v xml:space="preserve">Submittals </v>
      </c>
      <c r="C108" t="str">
        <v>---&gt;</v>
      </c>
      <c r="P108" t="str">
        <v>Y</v>
      </c>
      <c r="Q108" t="str">
        <v xml:space="preserve">3-4 Weeks </v>
      </c>
    </row>
    <row r="109" ht="14.25" customHeight="1">
      <c r="A109">
        <f>A108+1</f>
        <v>4</v>
      </c>
      <c r="B109" t="str">
        <v xml:space="preserve">Shop Drawings </v>
      </c>
      <c r="C109" t="str">
        <v>---&gt;</v>
      </c>
      <c r="P109" t="str">
        <v>Y</v>
      </c>
      <c r="Q109" t="str">
        <v xml:space="preserve">3-4 Weeks </v>
      </c>
    </row>
    <row r="110" ht="14.25" customHeight="1">
      <c r="A110">
        <v>5</v>
      </c>
      <c r="B110" t="str">
        <v>Advise of Lead Times</v>
      </c>
    </row>
    <row r="111" ht="14.25" customHeight="1">
      <c r="A111">
        <f>A110+1</f>
        <v>6</v>
      </c>
      <c r="B111" t="str">
        <v>Wood Doors</v>
      </c>
      <c r="C111" t="str">
        <v>---&gt;</v>
      </c>
      <c r="P111" t="str">
        <v>Y</v>
      </c>
      <c r="Q111" t="str">
        <v>6 Weeks</v>
      </c>
    </row>
    <row r="112" ht="14.25" customHeight="1">
      <c r="A112">
        <f>A111+1</f>
        <v>7</v>
      </c>
      <c r="B112" t="str">
        <v>Hollow Metal Doors</v>
      </c>
      <c r="C112" t="str">
        <v>---&gt;</v>
      </c>
      <c r="P112" t="str">
        <v>Y</v>
      </c>
      <c r="Q112" t="str">
        <v>9 Weeks</v>
      </c>
    </row>
    <row r="113" ht="14.25" customHeight="1">
      <c r="A113">
        <f>A112+1</f>
        <v>8</v>
      </c>
      <c r="B113" t="str">
        <v>Hollow Metal Frames</v>
      </c>
      <c r="C113" t="str">
        <v>---&gt;</v>
      </c>
      <c r="P113" t="str">
        <v>Y</v>
      </c>
      <c r="Q113" t="str">
        <v xml:space="preserve">7 Weeks </v>
      </c>
    </row>
    <row r="114" ht="14.25" customHeight="1">
      <c r="A114">
        <v>9</v>
      </c>
      <c r="B114" t="str">
        <v xml:space="preserve">Door Hardware </v>
      </c>
      <c r="C114" t="str">
        <v>---&gt;</v>
      </c>
      <c r="P114" t="str">
        <v>Y</v>
      </c>
      <c r="Q114" t="str">
        <v xml:space="preserve">18-20 Weeks </v>
      </c>
    </row>
    <row r="115" ht="14.25" customHeight="1"/>
    <row r="116" ht="14.25" customHeight="1"/>
    <row r="117" ht="14.25" customHeight="1">
      <c r="B117" t="str">
        <v>Allowances</v>
      </c>
    </row>
    <row r="118" ht="14.25" customHeight="1">
      <c r="A118">
        <v>1</v>
      </c>
    </row>
    <row r="119" ht="14.25" customHeight="1">
      <c r="A119">
        <f>A118+1</f>
        <v>2</v>
      </c>
    </row>
    <row r="120" ht="14.25" customHeight="1">
      <c r="A120">
        <f>A119+1</f>
        <v>3</v>
      </c>
    </row>
    <row r="121" ht="14.25" customHeight="1">
      <c r="A121">
        <f>A120+1</f>
        <v>4</v>
      </c>
    </row>
    <row r="122" ht="14.25" customHeight="1"/>
    <row r="123" ht="14.25" customHeight="1"/>
    <row r="124" ht="14.25" customHeight="1">
      <c r="B124" t="str">
        <v>Alternates</v>
      </c>
    </row>
    <row r="125" ht="14.25" customHeight="1">
      <c r="A125">
        <v>1</v>
      </c>
      <c r="C125" t="str">
        <v>#</v>
      </c>
    </row>
    <row r="126" ht="14.25" customHeight="1">
      <c r="A126">
        <f>A125+1</f>
        <v>2</v>
      </c>
      <c r="C126" t="str">
        <v>#</v>
      </c>
    </row>
    <row r="127" ht="14.25" customHeight="1">
      <c r="A127">
        <f>A126+1</f>
        <v>3</v>
      </c>
      <c r="C127" t="str">
        <v>#</v>
      </c>
    </row>
    <row r="128" ht="14.25" customHeight="1">
      <c r="A128">
        <f>A127+1</f>
        <v>4</v>
      </c>
      <c r="C128" t="str">
        <v>#</v>
      </c>
    </row>
    <row r="129" ht="14.25" customHeight="1">
      <c r="C129" t="str">
        <v>#</v>
      </c>
    </row>
    <row r="130" ht="14.25" customHeight="1">
      <c r="B130" t="str">
        <v>Unit Prices</v>
      </c>
    </row>
    <row r="131" ht="14.25" customHeight="1">
      <c r="A131">
        <v>1</v>
      </c>
      <c r="B131" t="str">
        <v xml:space="preserve">Wood Doors </v>
      </c>
      <c r="C131" t="str">
        <v>#</v>
      </c>
      <c r="D131" t="str">
        <v>$/leaf</v>
      </c>
    </row>
    <row r="132" ht="14.25" customHeight="1">
      <c r="A132">
        <f>A131+1</f>
        <v>2</v>
      </c>
      <c r="B132" t="str">
        <v xml:space="preserve">Hollow Metal Doors </v>
      </c>
      <c r="C132" t="str">
        <v>#</v>
      </c>
      <c r="D132" t="str">
        <v xml:space="preserve">$/leaf </v>
      </c>
    </row>
    <row r="133" ht="14.25" customHeight="1">
      <c r="A133">
        <f>A132+1</f>
        <v>3</v>
      </c>
      <c r="B133" t="str">
        <v>Hollow Metal Frames</v>
      </c>
      <c r="C133" t="str">
        <v>#</v>
      </c>
      <c r="D133" t="str">
        <v>$/set</v>
      </c>
    </row>
    <row r="134" ht="14.25" customHeight="1">
      <c r="A134">
        <f>A133+1</f>
        <v>4</v>
      </c>
      <c r="B134" t="str">
        <v xml:space="preserve">Door Hardware </v>
      </c>
      <c r="C134" t="str">
        <v>#</v>
      </c>
      <c r="D134" t="str">
        <v>$/lockset</v>
      </c>
    </row>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1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Miner Corp</v>
      </c>
      <c r="N1" t="str">
        <v>McKeon Door DC, Inc.</v>
      </c>
      <c r="Q1" t="str">
        <v>OHD Co.</v>
      </c>
      <c r="T1" t="str">
        <v>Door Systems Inc</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Doug Luman</v>
      </c>
      <c r="N2" t="str">
        <v>Mike Escribano</v>
      </c>
      <c r="Q2" t="str">
        <v>Josh Parsons</v>
      </c>
      <c r="T2" t="str">
        <v>Caroline Sanchez</v>
      </c>
      <c r="W2" t="str">
        <v>Name</v>
      </c>
      <c r="Z2" t="str">
        <v>Name</v>
      </c>
      <c r="AC2" t="str">
        <v>Name</v>
      </c>
      <c r="AH2" t="str">
        <v>MCN</v>
      </c>
      <c r="AM2" s="8">
        <f>I9</f>
        <v>0</v>
      </c>
    </row>
    <row r="3" ht="14.25" customHeight="1" outlineLevel="1">
      <c r="I3" t="str">
        <v>Email:</v>
      </c>
      <c r="K3" t="str">
        <v>doug.luman@minercorp.com</v>
      </c>
      <c r="N3" t="str">
        <v>mescribano@mckeondoor.com</v>
      </c>
      <c r="Q3" t="str">
        <v>coestimating@overheaddoors.com</v>
      </c>
      <c r="T3" t="str">
        <v>carolinedsi@verizon.net</v>
      </c>
      <c r="W3" t="str">
        <v>Email</v>
      </c>
      <c r="Z3" t="str">
        <v>Email</v>
      </c>
      <c r="AC3" t="str">
        <v>Email</v>
      </c>
      <c r="AH3">
        <v>1</v>
      </c>
      <c r="AI3" t="str">
        <f>IFNA(INDEX($K$1:$AE$1,1,MATCH($AH3,$K$10:$AE$10,0)),"")</f>
        <v>Miner Corp</v>
      </c>
      <c r="AJ3" s="3">
        <f t="array" ref="AJ3">IFNA(INDEX($K$6:$AE$6,1,MATCH($AH3,$K$10:$AE$10,0)+1),"")</f>
        <v>11062</v>
      </c>
      <c r="AK3" s="3">
        <f t="array" ref="AK3">IFNA(INDEX($K$7:$AE$7,1,MATCH($AH3,$K$10:$AE$10,0)+1),"")</f>
        <v>-663.72</v>
      </c>
      <c r="AL3" s="3">
        <f t="array" ref="AL3">IFNA(INDEX($K$8:$AE$8,1,MATCH($AH3,$K$10:$AE$10,0)+1),"")</f>
        <v>207.9656</v>
      </c>
      <c r="AM3" s="3">
        <f t="array" ref="AM3">IFNA(INDEX($K$9:$AE$9,1,MATCH($AH3,$K$10:$AE$10,0)+1),"")</f>
        <v>10606.2456</v>
      </c>
      <c r="AO3" s="9">
        <f>IFERROR(AN3*AM3,0)</f>
        <v>0</v>
      </c>
    </row>
    <row r="4" ht="14.25" customHeight="1" outlineLevel="1">
      <c r="A4" t="str">
        <v>Trade:</v>
      </c>
      <c r="B4" t="str">
        <v>08 - SPECIAL DOORS</v>
      </c>
      <c r="I4" t="str">
        <v>Phone:</v>
      </c>
      <c r="K4" t="str">
        <v>410-938-7876</v>
      </c>
      <c r="N4" t="str">
        <v>631-449-1761</v>
      </c>
      <c r="Q4" t="str">
        <v>301.937.1800</v>
      </c>
      <c r="T4" t="str">
        <v>703-490-1800</v>
      </c>
      <c r="W4" t="str">
        <v>Number</v>
      </c>
      <c r="Z4" t="str">
        <v>Number</v>
      </c>
      <c r="AC4" t="str">
        <v>Number</v>
      </c>
      <c r="AH4">
        <v>2</v>
      </c>
      <c r="AI4" t="str">
        <f>IFNA(INDEX($K$1:$AE$1,1,MATCH($AH4,$K$10:$AE$10,0)),"")</f>
        <v>McKeon Door DC, Inc.</v>
      </c>
      <c r="AJ4" s="3">
        <f t="array" ref="AJ4">IFNA(INDEX($K$6:$AE$6,1,MATCH($AH4,$K$10:$AE$10,0)+1),"")</f>
        <v>13449</v>
      </c>
      <c r="AK4" s="3">
        <f t="array" ref="AK4">IFNA(INDEX($K$7:$AE$7,1,MATCH($AH4,$K$10:$AE$10,0)+1),"")</f>
        <v>-806.94</v>
      </c>
      <c r="AL4" s="3">
        <f t="array" ref="AL4">IFNA(INDEX($K$8:$AE$8,1,MATCH($AH4,$K$10:$AE$10,0)+1),"")</f>
        <v>252.8412</v>
      </c>
      <c r="AM4" s="3">
        <f t="array" ref="AM4">IFNA(INDEX($K$9:$AE$9,1,MATCH($AH4,$K$10:$AE$10,0)+1),"")</f>
        <v>12894.9012</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FULL SCOPE</v>
      </c>
      <c r="W5" t="str">
        <v>Level Scope?</v>
      </c>
      <c r="X5" s="4" t="str">
        <v>NO</v>
      </c>
      <c r="Z5" t="str">
        <v>Level Scope?</v>
      </c>
      <c r="AA5" s="4" t="str">
        <v>NO</v>
      </c>
      <c r="AC5" t="str">
        <v>Level Scope?</v>
      </c>
      <c r="AD5" s="4" t="str">
        <v>NO</v>
      </c>
      <c r="AH5">
        <v>3</v>
      </c>
      <c r="AI5" t="str">
        <f>IFNA(INDEX($K$1:$AE$1,1,MATCH($AH5,$K$10:$AE$10,0)),"")</f>
        <v>OHD Co.</v>
      </c>
      <c r="AJ5" s="3">
        <f t="array" ref="AJ5">IFNA(INDEX($K$6:$AE$6,1,MATCH($AH5,$K$10:$AE$10,0)+1),"")</f>
        <v>16892</v>
      </c>
      <c r="AK5" s="3">
        <f t="array" ref="AK5">IFNA(INDEX($K$7:$AE$7,1,MATCH($AH5,$K$10:$AE$10,0)+1),"")</f>
        <v>0</v>
      </c>
      <c r="AL5" s="3">
        <f t="array" ref="AL5">IFNA(INDEX($K$8:$AE$8,1,MATCH($AH5,$K$10:$AE$10,0)+1),"")</f>
        <v>337.84</v>
      </c>
      <c r="AM5" s="3">
        <f t="array" ref="AM5">IFNA(INDEX($K$9:$AE$9,1,MATCH($AH5,$K$10:$AE$10,0)+1),"")</f>
        <v>17229.84</v>
      </c>
      <c r="AO5" s="9">
        <f>IFERROR(AN5*AM5,0)</f>
        <v>0</v>
      </c>
    </row>
    <row r="6" ht="14.25" customHeight="1" outlineLevel="1">
      <c r="K6" t="str">
        <v>Base Bid:</v>
      </c>
      <c r="L6" s="4">
        <v>11062</v>
      </c>
      <c r="N6" t="str">
        <v>Base Bid:</v>
      </c>
      <c r="O6" s="4">
        <v>13449</v>
      </c>
      <c r="Q6" t="str">
        <v>Base Bid:</v>
      </c>
      <c r="R6" s="4">
        <v>16892</v>
      </c>
      <c r="T6" t="str">
        <v>Base Bid:</v>
      </c>
      <c r="U6" s="4">
        <v>17100</v>
      </c>
      <c r="W6" t="str">
        <v>Base Bid:</v>
      </c>
      <c r="Z6" t="str">
        <v>Base Bid:</v>
      </c>
      <c r="AC6" t="str">
        <v>Base Bid:</v>
      </c>
      <c r="AH6">
        <v>4</v>
      </c>
      <c r="AI6" t="str">
        <f>IFNA(INDEX($K$1:$AE$1,1,MATCH($AH6,$K$10:$AE$10,0)),"")</f>
        <v>Door Systems Inc</v>
      </c>
      <c r="AJ6" s="3">
        <f t="array" ref="AJ6">IFNA(INDEX($K$6:$AE$6,1,MATCH($AH6,$K$10:$AE$10,0)+1),"")</f>
        <v>17100</v>
      </c>
      <c r="AK6" s="3">
        <f t="array" ref="AK6">IFNA(INDEX($K$7:$AE$7,1,MATCH($AH6,$K$10:$AE$10,0)+1),"")</f>
        <v>0</v>
      </c>
      <c r="AL6" s="3">
        <f t="array" ref="AL6">IFNA(INDEX($K$8:$AE$8,1,MATCH($AH6,$K$10:$AE$10,0)+1),"")</f>
        <v>342</v>
      </c>
      <c r="AM6" s="3">
        <f t="array" ref="AM6">IFNA(INDEX($K$9:$AE$9,1,MATCH($AH6,$K$10:$AE$10,0)+1),"")</f>
        <v>17442</v>
      </c>
      <c r="AO6" s="9">
        <f>IFERROR(AN6*AM6,0)</f>
        <v>0</v>
      </c>
    </row>
    <row r="7" ht="14.25" customHeight="1" outlineLevel="1">
      <c r="A7" t="str">
        <v>Contact:</v>
      </c>
      <c r="B7" t="str">
        <v xml:space="preserve">Nija Thomas </v>
      </c>
      <c r="C7" t="str">
        <v>Contact:</v>
      </c>
      <c r="G7" s="8" t="str">
        <v>| MCN Budget</v>
      </c>
      <c r="I7" s="8">
        <f>SUM(I20:I77,I13:I18)</f>
        <v>0</v>
      </c>
      <c r="K7" t="str">
        <v>Adjustments:</v>
      </c>
      <c r="L7" s="4">
        <f>SUM(L13:L18,L20:L77)</f>
        <v>-663.72</v>
      </c>
      <c r="N7" t="str">
        <v>Adjustments:</v>
      </c>
      <c r="O7" s="4">
        <f>SUM(O13:O18,O20:O77)</f>
        <v>-806.94</v>
      </c>
      <c r="Q7" t="str">
        <v>Adjustments:</v>
      </c>
      <c r="R7" s="4">
        <f>SUM(R13:R18,R20:R77)</f>
        <v>0</v>
      </c>
      <c r="T7" t="str">
        <v>Adjustments:</v>
      </c>
      <c r="U7" s="4">
        <f>SUM(U13:U18,U20:U77)</f>
        <v>0</v>
      </c>
      <c r="W7" t="str">
        <v>Adjustments:</v>
      </c>
      <c r="X7" s="4">
        <f>SUM(X13:X18,X20:X77)</f>
        <v>0</v>
      </c>
      <c r="Z7" t="str">
        <v>Adjustments:</v>
      </c>
      <c r="AA7" s="4">
        <f>SUM(AA13:AA18,AA20:AA77)</f>
        <v>0</v>
      </c>
      <c r="AC7" t="str">
        <v>Adjustments:</v>
      </c>
      <c r="AD7" s="4">
        <f>SUM(AD13:AD18,AD20:AD77)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207.9656</v>
      </c>
      <c r="M8" s="10">
        <v>0.02</v>
      </c>
      <c r="N8" t="str">
        <v>Bond:</v>
      </c>
      <c r="O8" s="4">
        <f>M8*SUM(O6:O7)</f>
        <v>252.8412</v>
      </c>
      <c r="P8" s="10">
        <v>0.02</v>
      </c>
      <c r="Q8" t="str">
        <v>Bond:</v>
      </c>
      <c r="R8" s="4">
        <f>P8*SUM(R6:R7)</f>
        <v>337.84</v>
      </c>
      <c r="S8" s="10">
        <v>0.02</v>
      </c>
      <c r="T8" t="str">
        <v>Bond:</v>
      </c>
      <c r="U8" s="4">
        <f>S8*SUM(U6:U7)</f>
        <v>342</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10606.2456</v>
      </c>
      <c r="N9" t="str">
        <v>Total Bid:</v>
      </c>
      <c r="O9" s="4">
        <f>IF(O5="FULL SCOPE",SUM(O6:O8),"not level")</f>
        <v>12894.9012</v>
      </c>
      <c r="Q9" t="str">
        <v>Total Bid:</v>
      </c>
      <c r="R9" s="4">
        <f>IF(R5="FULL SCOPE",SUM(R6:R8),"not level")</f>
        <v>17229.84</v>
      </c>
      <c r="T9" t="str">
        <v>Total Bid:</v>
      </c>
      <c r="U9" s="4">
        <f>IF(U5="FULL SCOPE",SUM(U6:U8),"not level")</f>
        <v>17442</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f>IF(R5="NO","INCOMPLETE",RANK.EQ(R9,$L$9:$AE$9,1))</f>
        <v>3</v>
      </c>
      <c r="T10">
        <f>IF(U5="NO","INCOMPLETE",RANK.EQ(U9,$L$9:$AE$9,1))</f>
        <v>4</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J16" t="str">
        <v>Y</v>
      </c>
      <c r="K16" t="str">
        <v>Waiting on bid form</v>
      </c>
      <c r="M16" t="str">
        <v>Y</v>
      </c>
      <c r="P16" t="str">
        <v>Y</v>
      </c>
      <c r="S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K19" t="str">
        <v>taxes incl</v>
      </c>
      <c r="L19" s="8">
        <v>11061.53</v>
      </c>
      <c r="N19" t="str">
        <v>taxes incl</v>
      </c>
      <c r="O19" s="8">
        <v>13449</v>
      </c>
      <c r="P19" t="str">
        <v>Y</v>
      </c>
      <c r="Q19" t="str">
        <v>taxes excl</v>
      </c>
      <c r="R19" s="8">
        <v>16892</v>
      </c>
      <c r="S19" t="str">
        <v>Y</v>
      </c>
      <c r="T19" t="str">
        <v>taxes excl</v>
      </c>
      <c r="U19" s="8">
        <v>17100</v>
      </c>
      <c r="X19" s="8" t="str">
        <f>X6</f>
        <v/>
      </c>
      <c r="AA19" s="8" t="str">
        <f>AA6</f>
        <v/>
      </c>
      <c r="AD19" s="8" t="str">
        <f>AD6</f>
        <v/>
      </c>
    </row>
    <row r="20" ht="14.25" customHeight="1">
      <c r="A20">
        <f>A19+1</f>
        <v>2</v>
      </c>
      <c r="B20" t="str">
        <v xml:space="preserve">Deduct Taxes </v>
      </c>
      <c r="C20" t="str">
        <v>#</v>
      </c>
      <c r="K20" t="str">
        <v>DEDUCT TAXES</v>
      </c>
      <c r="L20" s="8">
        <v>-663.72</v>
      </c>
      <c r="N20" t="str">
        <v>DEDUCT TAXES</v>
      </c>
      <c r="O20" s="8">
        <v>-806.94</v>
      </c>
    </row>
    <row r="21" ht="14.25" customHeight="1">
      <c r="A21">
        <f>A20+1</f>
        <v>3</v>
      </c>
      <c r="B21" t="str">
        <v>Key Cost Breakdown</v>
      </c>
    </row>
    <row r="22" ht="14.25" customHeight="1">
      <c r="A22">
        <f>A21+1</f>
        <v>4</v>
      </c>
      <c r="C22" t="str">
        <v>#</v>
      </c>
      <c r="D22" t="str">
        <v>$</v>
      </c>
      <c r="I22" s="8">
        <f>H22*F22</f>
        <v>0</v>
      </c>
      <c r="J22" t="str">
        <v>Y</v>
      </c>
      <c r="P22" t="str">
        <v>Y</v>
      </c>
      <c r="S22" t="str">
        <v>Y</v>
      </c>
    </row>
    <row r="23" ht="14.25" customHeight="1">
      <c r="A23">
        <f>A22+1</f>
        <v>5</v>
      </c>
      <c r="B23" t="str">
        <v xml:space="preserve">Coiling Counter Door(s) </v>
      </c>
    </row>
    <row r="24" ht="14.25" customHeight="1">
      <c r="A24">
        <v>6</v>
      </c>
    </row>
    <row r="25" ht="14.25" customHeight="1">
      <c r="A25">
        <f>A24+1</f>
        <v>7</v>
      </c>
      <c r="B25" t="str">
        <v>Key Quantity Breakdown</v>
      </c>
    </row>
    <row r="26" ht="14.25" customHeight="1">
      <c r="A26">
        <f>A25+1</f>
        <v>8</v>
      </c>
      <c r="B26" t="str">
        <v xml:space="preserve">Coiling Counter Door(s) </v>
      </c>
      <c r="C26" t="str">
        <v>#</v>
      </c>
      <c r="D26" t="str">
        <v>ea</v>
      </c>
      <c r="I26" s="8">
        <f>H26*F26</f>
        <v>0</v>
      </c>
    </row>
    <row r="27" ht="14.25" customHeight="1"/>
    <row r="28" ht="14.25" customHeight="1">
      <c r="B28" t="str">
        <v>Section 3 - Scope of Work</v>
      </c>
    </row>
    <row r="29" ht="14.25" customHeight="1">
      <c r="B29" t="str">
        <v xml:space="preserve">Furnish and Install All Items UON (Unless Otherwise Noted) </v>
      </c>
      <c r="C29" t="str">
        <v>Y</v>
      </c>
      <c r="J29" t="str">
        <v>Y</v>
      </c>
      <c r="M29" t="str">
        <v>Y</v>
      </c>
      <c r="S29" t="str">
        <v>Y</v>
      </c>
    </row>
    <row r="30" ht="14.25" customHeight="1">
      <c r="A30" t="str">
        <v>A</v>
      </c>
      <c r="B30" t="str">
        <v>Specifications</v>
      </c>
    </row>
    <row r="31" ht="14.25" customHeight="1">
      <c r="B31" t="str">
        <v xml:space="preserve">Division 01 - General Requirements (as applicable to this Bid Package) </v>
      </c>
      <c r="C31" t="str">
        <v>Y</v>
      </c>
      <c r="S31" t="str">
        <v>Y</v>
      </c>
    </row>
    <row r="32" ht="14.25" customHeight="1">
      <c r="B32" t="str">
        <v xml:space="preserve">08 33 13 - Coiling Counter Doors </v>
      </c>
      <c r="C32" t="str">
        <v>Y</v>
      </c>
      <c r="S32" t="str">
        <v>Y</v>
      </c>
    </row>
    <row r="33" ht="14.25" customHeight="1">
      <c r="B33" t="str">
        <v xml:space="preserve">08 71 00 - Door Hardware Sets (as applicable to this Bid Package) </v>
      </c>
      <c r="C33" t="str">
        <v>Y</v>
      </c>
      <c r="S33" t="str">
        <v>Y</v>
      </c>
    </row>
    <row r="34" ht="14.25" customHeight="1">
      <c r="B34" t="str">
        <v xml:space="preserve">09 91 13 - Exterior Painting (as applicable to this Bid Package) </v>
      </c>
      <c r="C34" t="str">
        <v>Y</v>
      </c>
      <c r="S34" t="str">
        <v>Y</v>
      </c>
    </row>
    <row r="35" ht="14.25" customHeight="1">
      <c r="B35" t="str">
        <v xml:space="preserve">09 91 23 - Interior Painting (as applicable to this Bid Package) </v>
      </c>
      <c r="C35" t="str">
        <v>Y</v>
      </c>
      <c r="S35" t="str">
        <v>Y</v>
      </c>
    </row>
    <row r="36" ht="14.25" customHeight="1">
      <c r="A36" t="str">
        <v>B</v>
      </c>
      <c r="B36" t="str">
        <v>Inclusions</v>
      </c>
    </row>
    <row r="37" ht="14.25" customHeight="1">
      <c r="A37">
        <v>1</v>
      </c>
      <c r="B37" t="str">
        <v>SPECIFIC SCOPE ITEMS</v>
      </c>
      <c r="C37" t="str">
        <v>Y</v>
      </c>
      <c r="I37" s="8">
        <f>H37*F37</f>
        <v>0</v>
      </c>
    </row>
    <row r="38" ht="14.25" customHeight="1">
      <c r="A38">
        <v>2</v>
      </c>
      <c r="B38" t="str">
        <v xml:space="preserve">Coiling Counter Doors </v>
      </c>
      <c r="C38" t="str">
        <v>Y</v>
      </c>
      <c r="I38" s="8">
        <f>H38*F38</f>
        <v>0</v>
      </c>
      <c r="J38" t="str">
        <v>Y</v>
      </c>
      <c r="M38" t="str">
        <v>Y</v>
      </c>
      <c r="P38" t="str">
        <v>Y</v>
      </c>
    </row>
    <row r="39" ht="14.25" customHeight="1">
      <c r="A39">
        <v>3</v>
      </c>
      <c r="B39" t="str">
        <v>Furnish and install electrically operated overhead doors at the following location(s):</v>
      </c>
      <c r="C39" t="str">
        <v>Y</v>
      </c>
      <c r="I39" s="8">
        <f>H39*F39</f>
        <v>0</v>
      </c>
      <c r="J39" t="str">
        <v>Y</v>
      </c>
      <c r="M39" t="str">
        <v>Y</v>
      </c>
      <c r="P39" t="str">
        <v>Y</v>
      </c>
    </row>
    <row r="40" ht="14.25" customHeight="1">
      <c r="A40">
        <v>4</v>
      </c>
      <c r="B40" t="str">
        <v xml:space="preserve">Room 209A,  4' - 0" H X 8' -0" W </v>
      </c>
      <c r="C40" t="str">
        <v>Y</v>
      </c>
      <c r="I40" s="8">
        <f>H40*F40</f>
        <v>0</v>
      </c>
      <c r="J40" t="str">
        <v>Y</v>
      </c>
      <c r="M40" t="str">
        <v>Y</v>
      </c>
      <c r="P40" t="str">
        <v>Y</v>
      </c>
      <c r="S40" t="str">
        <v>Y</v>
      </c>
    </row>
    <row r="41" ht="14.25" customHeight="1">
      <c r="A41">
        <v>5</v>
      </c>
      <c r="B41" t="str">
        <v xml:space="preserve">Material to be aluminum </v>
      </c>
      <c r="C41" t="str">
        <v>Y</v>
      </c>
      <c r="I41" s="8">
        <f>H41*F41</f>
        <v>0</v>
      </c>
      <c r="J41" t="str">
        <v>Y</v>
      </c>
      <c r="M41" t="str">
        <v>Y</v>
      </c>
      <c r="P41" t="str">
        <v>Y</v>
      </c>
      <c r="S41" t="str">
        <v>Y</v>
      </c>
    </row>
    <row r="42" ht="14.25" customHeight="1">
      <c r="A42">
        <v>6</v>
      </c>
      <c r="B42" t="str">
        <v xml:space="preserve">Finishes to be baked enamel or Powder-Coated finish </v>
      </c>
      <c r="C42" t="str">
        <v>Y</v>
      </c>
      <c r="I42" s="8">
        <v>0</v>
      </c>
      <c r="J42" t="str">
        <v>Y</v>
      </c>
      <c r="P42" t="str">
        <v>Y</v>
      </c>
      <c r="S42" t="str">
        <v>Y</v>
      </c>
    </row>
    <row r="43" ht="14.25" customHeight="1">
      <c r="A43">
        <v>7</v>
      </c>
      <c r="B43" t="str">
        <v>Accessories to include door curtain slats, cycle counter, end locks, wind locks, bottom bar w/sensor edge, curtain jamb guides, mounting brackets, hoods, smoke seals, weatherseals, sills, locking devices, handles, counterbalancing mechanism, door operators, motor &amp; control stations</v>
      </c>
      <c r="C43" t="str">
        <v>Y</v>
      </c>
      <c r="I43" s="8">
        <f>H43*F43</f>
        <v>0</v>
      </c>
      <c r="J43" t="str">
        <v>Y</v>
      </c>
      <c r="P43" t="str">
        <v>Y</v>
      </c>
    </row>
    <row r="44" ht="14.25" customHeight="1">
      <c r="A44">
        <v>8</v>
      </c>
      <c r="B44" t="str">
        <v xml:space="preserve">Provide Basis of Design Manufacturer (BOD): </v>
      </c>
      <c r="C44" t="str">
        <v>Y</v>
      </c>
      <c r="I44" s="8">
        <v>0</v>
      </c>
      <c r="J44" t="str">
        <v>Y</v>
      </c>
      <c r="P44" t="str">
        <v>Y</v>
      </c>
      <c r="S44" t="str">
        <v>Y</v>
      </c>
    </row>
    <row r="45" ht="14.25" customHeight="1">
      <c r="A45">
        <v>10</v>
      </c>
      <c r="B45" t="str">
        <v xml:space="preserve">1. Clopay Building Products </v>
      </c>
      <c r="C45" t="str">
        <v>---&gt;</v>
      </c>
      <c r="I45" s="8">
        <v>0</v>
      </c>
    </row>
    <row r="46" ht="14.25" customHeight="1">
      <c r="A46">
        <v>11</v>
      </c>
      <c r="B46" t="str">
        <v xml:space="preserve">2. Cookson; a CornellCookson company </v>
      </c>
      <c r="C46" t="str">
        <v>---&gt;</v>
      </c>
      <c r="I46" s="8">
        <v>0</v>
      </c>
    </row>
    <row r="47" ht="14.25" customHeight="1">
      <c r="A47">
        <v>12</v>
      </c>
      <c r="B47" t="str">
        <v xml:space="preserve">3. Cornell; a CornellCookson company </v>
      </c>
      <c r="C47" t="str">
        <v>---&gt;</v>
      </c>
      <c r="I47" s="8">
        <v>0</v>
      </c>
      <c r="J47" t="str">
        <v>Y</v>
      </c>
      <c r="K47" t="str">
        <v>Cornell Cookson</v>
      </c>
      <c r="S47" t="str">
        <v>Y</v>
      </c>
      <c r="T47" t="str">
        <v>Cornell Cookson</v>
      </c>
    </row>
    <row r="48" ht="14.25" customHeight="1">
      <c r="A48">
        <v>13</v>
      </c>
      <c r="B48" t="str">
        <v xml:space="preserve">4. McKeon Rolling Steel Door Company, Inc. </v>
      </c>
      <c r="C48" t="str">
        <v>---&gt;</v>
      </c>
      <c r="I48" s="8">
        <v>0</v>
      </c>
      <c r="M48" t="str">
        <v>Y</v>
      </c>
      <c r="N48" t="str">
        <v xml:space="preserve">McKeon </v>
      </c>
    </row>
    <row r="49" ht="14.25" customHeight="1">
      <c r="A49">
        <v>14</v>
      </c>
      <c r="B49" t="str">
        <v xml:space="preserve">5. Overhead Door Corporation </v>
      </c>
      <c r="C49" t="str">
        <v>---&gt;</v>
      </c>
      <c r="I49" s="8">
        <v>0</v>
      </c>
      <c r="P49" t="str">
        <v>Y</v>
      </c>
      <c r="Q49" t="str">
        <v>Overhead Door Corp</v>
      </c>
    </row>
    <row r="50" ht="14.25" customHeight="1">
      <c r="A50">
        <v>15</v>
      </c>
      <c r="B50" t="str">
        <v xml:space="preserve"> </v>
      </c>
    </row>
    <row r="51" ht="14.25" customHeight="1">
      <c r="A51">
        <v>16</v>
      </c>
      <c r="B51" t="str">
        <v xml:space="preserve">Standard/General Scope </v>
      </c>
      <c r="C51" t="str">
        <v>Y</v>
      </c>
      <c r="I51" s="8">
        <v>0</v>
      </c>
      <c r="P51" t="str">
        <v>Y</v>
      </c>
    </row>
    <row r="52" ht="14.25" customHeight="1">
      <c r="A52">
        <v>17</v>
      </c>
      <c r="B52" t="str">
        <v xml:space="preserve">Provide fire rated assemblies where indicated in schedule or in rated partitions </v>
      </c>
      <c r="C52" t="str">
        <v>Y</v>
      </c>
      <c r="I52" s="8">
        <v>0</v>
      </c>
      <c r="P52" t="str">
        <v>N</v>
      </c>
    </row>
    <row r="53" ht="14.25" customHeight="1">
      <c r="A53">
        <v>18</v>
      </c>
      <c r="B53" t="str">
        <v>All doors and frames factory-machined/prepped/reinforced for schedule hardware</v>
      </c>
      <c r="C53" t="str">
        <v>Y</v>
      </c>
      <c r="I53" s="8">
        <v>0</v>
      </c>
      <c r="P53" t="str">
        <v>Y</v>
      </c>
    </row>
    <row r="54" ht="14.25" customHeight="1">
      <c r="A54">
        <v>19</v>
      </c>
      <c r="B54" t="str">
        <v xml:space="preserve">Layout from GC control lines and benchmarks </v>
      </c>
      <c r="C54" t="str">
        <v>Y</v>
      </c>
      <c r="I54" s="8">
        <v>0</v>
      </c>
      <c r="P54" t="str">
        <v>Y</v>
      </c>
    </row>
    <row r="55" ht="14.25" customHeight="1">
      <c r="A55">
        <v>20</v>
      </c>
      <c r="B55" t="str">
        <v>Cleanup debris and dispose in MCN dumpster</v>
      </c>
      <c r="C55" t="str">
        <v>Y</v>
      </c>
      <c r="I55" s="8">
        <v>0</v>
      </c>
      <c r="P55" t="str">
        <v>Y</v>
      </c>
    </row>
    <row r="56" ht="14.25" customHeight="1">
      <c r="A56">
        <v>21</v>
      </c>
      <c r="B56" t="str">
        <v xml:space="preserve">Protect work of other trades from damage by your operations </v>
      </c>
      <c r="C56" t="str">
        <v>Y</v>
      </c>
      <c r="I56" s="8">
        <v>0</v>
      </c>
    </row>
    <row r="57" ht="14.25" customHeight="1">
      <c r="A57">
        <v>22</v>
      </c>
      <c r="B57" t="str">
        <v xml:space="preserve">Provide all materials, tools, equipment, hoisting, supervision, etc. for this work </v>
      </c>
      <c r="C57" t="str">
        <v>Y</v>
      </c>
      <c r="I57" s="8">
        <v>0</v>
      </c>
      <c r="P57" t="str">
        <v>Y</v>
      </c>
    </row>
    <row r="58" ht="14.25" customHeight="1">
      <c r="A58">
        <v>23</v>
      </c>
      <c r="B58" t="str">
        <v xml:space="preserve">Include submittals, product data, shop drawings, schedules, certificates, test reports </v>
      </c>
      <c r="C58" t="str">
        <v>Y</v>
      </c>
      <c r="I58" s="8">
        <v>0</v>
      </c>
      <c r="P58" t="str">
        <v>Y</v>
      </c>
    </row>
    <row r="59" ht="14.25" customHeight="1">
      <c r="A59">
        <v>24</v>
      </c>
      <c r="B59" t="str">
        <v xml:space="preserve">Provide required warranties </v>
      </c>
      <c r="C59" t="str">
        <v>Y</v>
      </c>
      <c r="I59" s="8">
        <v>0</v>
      </c>
      <c r="P59" t="str">
        <v>Y</v>
      </c>
    </row>
    <row r="60" ht="14.25" customHeight="1">
      <c r="A60" t="str">
        <v>C</v>
      </c>
      <c r="B60" t="str">
        <v>Exclusions</v>
      </c>
    </row>
    <row r="61" ht="14.25" customHeight="1">
      <c r="A61">
        <v>1</v>
      </c>
      <c r="B61" t="str">
        <v xml:space="preserve">Field Painting </v>
      </c>
      <c r="C61" t="str">
        <v>N</v>
      </c>
      <c r="D61" t="str">
        <v xml:space="preserve">By Painting Subcontractor </v>
      </c>
      <c r="P61" t="str">
        <v>N</v>
      </c>
    </row>
    <row r="62" ht="14.25" customHeight="1">
      <c r="A62" t="str">
        <v>D</v>
      </c>
      <c r="B62" t="str">
        <v>Schedule</v>
      </c>
    </row>
    <row r="63" ht="14.25" customHeight="1">
      <c r="A63">
        <v>1</v>
      </c>
      <c r="B63" t="str">
        <v>Meet MCN Schedule</v>
      </c>
      <c r="C63" t="str">
        <v>Y</v>
      </c>
      <c r="P63" t="str">
        <v>Y</v>
      </c>
    </row>
    <row r="64" ht="14.25" customHeight="1">
      <c r="A64">
        <f>A63+1</f>
        <v>2</v>
      </c>
      <c r="B64" t="str">
        <v>Advise of Durations</v>
      </c>
    </row>
    <row r="65" ht="14.25" customHeight="1">
      <c r="A65">
        <f>A64+1</f>
        <v>3</v>
      </c>
      <c r="B65" t="str">
        <v xml:space="preserve">Submittals </v>
      </c>
      <c r="C65" t="str">
        <v>---&gt;</v>
      </c>
      <c r="P65" t="str">
        <v>Y</v>
      </c>
      <c r="Q65" t="str">
        <v xml:space="preserve">1-2 Weeks </v>
      </c>
    </row>
    <row r="66" ht="14.25" customHeight="1">
      <c r="A66">
        <f>A65+1</f>
        <v>4</v>
      </c>
      <c r="B66" t="str">
        <v xml:space="preserve">Shop Drawings </v>
      </c>
      <c r="C66" t="str">
        <v>---&gt;</v>
      </c>
      <c r="P66" t="str">
        <v>Y</v>
      </c>
      <c r="Q66" t="str">
        <v xml:space="preserve">1-2 weeks </v>
      </c>
    </row>
    <row r="67" ht="14.25" customHeight="1">
      <c r="A67">
        <f>A66+1</f>
        <v>5</v>
      </c>
      <c r="B67" t="str">
        <v xml:space="preserve">Coiling Counter Door Install </v>
      </c>
      <c r="C67" t="str">
        <v>---&gt;</v>
      </c>
      <c r="P67" t="str">
        <v>Y</v>
      </c>
      <c r="Q67" t="str">
        <v xml:space="preserve">1-3 days </v>
      </c>
    </row>
    <row r="68" ht="14.25" customHeight="1">
      <c r="A68">
        <v>6</v>
      </c>
      <c r="B68" t="str">
        <v>Advise of Lead Times</v>
      </c>
    </row>
    <row r="69" ht="14.25" customHeight="1">
      <c r="A69">
        <f>A68+1</f>
        <v>7</v>
      </c>
      <c r="B69" t="str">
        <v>Coiling Counter Door</v>
      </c>
      <c r="C69" t="str">
        <v>---&gt;</v>
      </c>
      <c r="P69" t="str">
        <v>Y</v>
      </c>
      <c r="Q69" t="str">
        <v>8-10 weeks</v>
      </c>
      <c r="S69" t="str">
        <v>Y</v>
      </c>
      <c r="T69" t="str">
        <v>6-16 weeks</v>
      </c>
    </row>
    <row r="70" ht="14.25" customHeight="1">
      <c r="A70">
        <v>8</v>
      </c>
      <c r="B70" t="str">
        <v xml:space="preserve">Fabrication </v>
      </c>
      <c r="C70" t="str">
        <v>---&gt;</v>
      </c>
      <c r="P70" t="str">
        <v>Y</v>
      </c>
    </row>
    <row r="71" ht="14.25" customHeight="1"/>
    <row r="72" ht="14.25" customHeight="1">
      <c r="B72" t="str">
        <v>Allowances</v>
      </c>
    </row>
    <row r="73" ht="14.25" customHeight="1">
      <c r="A73">
        <v>1</v>
      </c>
    </row>
    <row r="74" ht="14.25" customHeight="1">
      <c r="A74">
        <f>A73+1</f>
        <v>2</v>
      </c>
    </row>
    <row r="75" ht="14.25" customHeight="1">
      <c r="A75">
        <f>A74+1</f>
        <v>3</v>
      </c>
    </row>
    <row r="76" ht="14.25" customHeight="1">
      <c r="A76">
        <f>A75+1</f>
        <v>4</v>
      </c>
    </row>
    <row r="77" ht="14.25" customHeight="1"/>
    <row r="78" ht="14.25" customHeight="1"/>
    <row r="79" ht="14.25" customHeight="1">
      <c r="B79" t="str">
        <v>Alternates</v>
      </c>
    </row>
    <row r="80" ht="14.25" customHeight="1">
      <c r="A80">
        <v>1</v>
      </c>
      <c r="B80" t="str">
        <v xml:space="preserve">Custom Paint Finish (Provided due to discrepancy in specifications) </v>
      </c>
      <c r="C80" t="str">
        <v>#</v>
      </c>
      <c r="P80" t="str">
        <v xml:space="preserve">Y </v>
      </c>
      <c r="Q80" t="str">
        <v>ADD ALT - $3,960</v>
      </c>
    </row>
    <row r="81" ht="14.25" customHeight="1">
      <c r="A81">
        <f>A80+1</f>
        <v>2</v>
      </c>
      <c r="C81" t="str">
        <v>#</v>
      </c>
    </row>
    <row r="82" ht="14.25" customHeight="1">
      <c r="A82">
        <f>A81+1</f>
        <v>3</v>
      </c>
      <c r="C82" t="str">
        <v>#</v>
      </c>
    </row>
    <row r="83" ht="14.25" customHeight="1">
      <c r="A83">
        <f>A82+1</f>
        <v>4</v>
      </c>
      <c r="C83" t="str">
        <v>#</v>
      </c>
    </row>
    <row r="84" ht="14.25" customHeight="1">
      <c r="C84" t="str">
        <v>#</v>
      </c>
    </row>
    <row r="85" ht="14.25" customHeight="1">
      <c r="B85" t="str">
        <v>Unit Prices</v>
      </c>
    </row>
    <row r="86" ht="14.25" customHeight="1">
      <c r="A86">
        <v>1</v>
      </c>
      <c r="C86" t="str">
        <v>#</v>
      </c>
    </row>
    <row r="87" ht="14.25" customHeight="1">
      <c r="A87">
        <f>A86+1</f>
        <v>2</v>
      </c>
      <c r="C87" t="str">
        <v>#</v>
      </c>
    </row>
    <row r="88" ht="14.25" customHeight="1">
      <c r="A88">
        <f>A87+1</f>
        <v>3</v>
      </c>
      <c r="C88" t="str">
        <v>#</v>
      </c>
    </row>
    <row r="89" ht="14.25" customHeight="1">
      <c r="A89">
        <f>A88+1</f>
        <v>4</v>
      </c>
      <c r="C89" t="str">
        <v>#</v>
      </c>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T3" r:id="rId4"/>
    <hyperlink ref="B8" r:id="rId5"/>
  </hyperlinks>
  <pageMargins left="0.7" right="0.7" top="0.25" bottom="0.75" header="0" footer="0"/>
  <ignoredErrors>
    <ignoredError numberStoredAsText="1" sqref="A1:AO1000"/>
  </ignoredErrors>
</worksheet>
</file>

<file path=xl/worksheets/sheet2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AGM Contracting</v>
      </c>
      <c r="N1" t="str">
        <v>Prestige</v>
      </c>
      <c r="Q1" t="str">
        <v>Ranger</v>
      </c>
      <c r="T1" t="str">
        <v>Innovo</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John Won</v>
      </c>
      <c r="N2" t="str">
        <v>Dave Cotter</v>
      </c>
      <c r="Q2" t="str">
        <v>Chip Sterritt</v>
      </c>
      <c r="T2" t="str">
        <v>Isabella Hodjatzadeh</v>
      </c>
      <c r="W2" t="str">
        <v>Name</v>
      </c>
      <c r="Z2" t="str">
        <v>Name</v>
      </c>
      <c r="AC2" t="str">
        <v>Name</v>
      </c>
      <c r="AH2" t="str">
        <v>MCN</v>
      </c>
      <c r="AM2" s="8">
        <f>I9</f>
        <v>0</v>
      </c>
    </row>
    <row r="3" ht="14.25" customHeight="1" outlineLevel="1">
      <c r="I3" t="str">
        <v>Email:</v>
      </c>
      <c r="K3" t="str">
        <v>301-324-7300</v>
      </c>
      <c r="N3" t="str">
        <v>david@prestigefacades.com</v>
      </c>
      <c r="Q3" t="str">
        <v>chip@rangerglass.com</v>
      </c>
      <c r="T3" t="str">
        <v>isabellah@innovoconstruction.com</v>
      </c>
      <c r="W3" t="str">
        <v>Email</v>
      </c>
      <c r="Z3" t="str">
        <v>Email</v>
      </c>
      <c r="AC3" t="str">
        <v>Email</v>
      </c>
      <c r="AH3">
        <v>1</v>
      </c>
      <c r="AI3" t="str">
        <f>IFNA(INDEX($K$1:$AE$1,1,MATCH($AH3,$K$10:$AE$10,0)),"")</f>
        <v>AGM Contracting</v>
      </c>
      <c r="AJ3" s="3" t="str">
        <f t="array" ref="AJ3">IFNA(INDEX($K$6:$AE$6,1,MATCH($AH3,$K$10:$AE$10,0)+1),"")</f>
        <v/>
      </c>
      <c r="AK3" s="3">
        <f t="array" ref="AK3">IFNA(INDEX($K$7:$AE$7,1,MATCH($AH3,$K$10:$AE$10,0)+1),"")</f>
        <v>479200</v>
      </c>
      <c r="AL3" s="3">
        <f t="array" ref="AL3">IFNA(INDEX($K$8:$AE$8,1,MATCH($AH3,$K$10:$AE$10,0)+1),"")</f>
        <v>9584</v>
      </c>
      <c r="AM3" s="3">
        <f t="array" ref="AM3">IFNA(INDEX($K$9:$AE$9,1,MATCH($AH3,$K$10:$AE$10,0)+1),"")</f>
        <v>488784</v>
      </c>
      <c r="AO3" s="9">
        <f>IFERROR(AN3*AM3,0)</f>
        <v>0</v>
      </c>
    </row>
    <row r="4" ht="14.25" customHeight="1" outlineLevel="1">
      <c r="A4" t="str">
        <v>Trade:</v>
      </c>
      <c r="B4" t="str">
        <v>08 - ALUM &amp; GLASS</v>
      </c>
      <c r="I4" t="str">
        <v>Phone:</v>
      </c>
      <c r="K4" t="str">
        <v>john@agmcontract.com</v>
      </c>
      <c r="N4" t="str">
        <v>919-616-0371</v>
      </c>
      <c r="Q4" t="str">
        <v>703-343-5630</v>
      </c>
      <c r="T4" t="str">
        <v>240-455-4888 etx. 118</v>
      </c>
      <c r="W4" t="str">
        <v>Number</v>
      </c>
      <c r="Z4" t="str">
        <v>Number</v>
      </c>
      <c r="AC4" t="str">
        <v>Number</v>
      </c>
      <c r="AH4">
        <v>2</v>
      </c>
      <c r="AI4" t="str">
        <f>IFNA(INDEX($K$1:$AE$1,1,MATCH($AH4,$K$10:$AE$10,0)),"")</f>
        <v>Ranger</v>
      </c>
      <c r="AJ4" s="3" t="str">
        <f t="array" ref="AJ4">IFNA(INDEX($K$6:$AE$6,1,MATCH($AH4,$K$10:$AE$10,0)+1),"")</f>
        <v/>
      </c>
      <c r="AK4" s="3">
        <f t="array" ref="AK4">IFNA(INDEX($K$7:$AE$7,1,MATCH($AH4,$K$10:$AE$10,0)+1),"")</f>
        <v>574253</v>
      </c>
      <c r="AL4" s="3">
        <f t="array" ref="AL4">IFNA(INDEX($K$8:$AE$8,1,MATCH($AH4,$K$10:$AE$10,0)+1),"")</f>
        <v>11485.06</v>
      </c>
      <c r="AM4" s="3">
        <f t="array" ref="AM4">IFNA(INDEX($K$9:$AE$9,1,MATCH($AH4,$K$10:$AE$10,0)+1),"")</f>
        <v>585738.06</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FULL SCOPE</v>
      </c>
      <c r="W5" t="str">
        <v>Level Scope?</v>
      </c>
      <c r="X5" s="4" t="str">
        <v>NO</v>
      </c>
      <c r="Z5" t="str">
        <v>Level Scope?</v>
      </c>
      <c r="AA5" s="4" t="str">
        <v>NO</v>
      </c>
      <c r="AC5" t="str">
        <v>Level Scope?</v>
      </c>
      <c r="AD5" s="4" t="str">
        <v>NO</v>
      </c>
      <c r="AH5">
        <v>3</v>
      </c>
      <c r="AI5" t="str">
        <f>IFNA(INDEX($K$1:$AE$1,1,MATCH($AH5,$K$10:$AE$10,0)),"")</f>
        <v>Prestige</v>
      </c>
      <c r="AJ5" s="3" t="str">
        <f t="array" ref="AJ5">IFNA(INDEX($K$6:$AE$6,1,MATCH($AH5,$K$10:$AE$10,0)+1),"")</f>
        <v/>
      </c>
      <c r="AK5" s="3">
        <f t="array" ref="AK5">IFNA(INDEX($K$7:$AE$7,1,MATCH($AH5,$K$10:$AE$10,0)+1),"")</f>
        <v>609250</v>
      </c>
      <c r="AL5" s="3">
        <f t="array" ref="AL5">IFNA(INDEX($K$8:$AE$8,1,MATCH($AH5,$K$10:$AE$10,0)+1),"")</f>
        <v>12185</v>
      </c>
      <c r="AM5" s="3">
        <f t="array" ref="AM5">IFNA(INDEX($K$9:$AE$9,1,MATCH($AH5,$K$10:$AE$10,0)+1),"")</f>
        <v>621435</v>
      </c>
      <c r="AO5" s="9">
        <f>IFERROR(AN5*AM5,0)</f>
        <v>0</v>
      </c>
    </row>
    <row r="6" ht="14.25" customHeight="1" outlineLevel="1">
      <c r="K6" t="str">
        <v>Base Bid:</v>
      </c>
      <c r="N6" t="str">
        <v>Base Bid:</v>
      </c>
      <c r="Q6" t="str">
        <v>Base Bid:</v>
      </c>
      <c r="T6" t="str">
        <v>Base Bid:</v>
      </c>
      <c r="U6" s="4">
        <v>626912</v>
      </c>
      <c r="W6" t="str">
        <v>Base Bid:</v>
      </c>
      <c r="Z6" t="str">
        <v>Base Bid:</v>
      </c>
      <c r="AC6" t="str">
        <v>Base Bid:</v>
      </c>
      <c r="AH6">
        <v>4</v>
      </c>
      <c r="AI6" t="str">
        <f>IFNA(INDEX($K$1:$AE$1,1,MATCH($AH6,$K$10:$AE$10,0)),"")</f>
        <v>Innovo</v>
      </c>
      <c r="AJ6" s="3">
        <f t="array" ref="AJ6">IFNA(INDEX($K$6:$AE$6,1,MATCH($AH6,$K$10:$AE$10,0)+1),"")</f>
        <v>626912</v>
      </c>
      <c r="AK6" s="3">
        <f t="array" ref="AK6">IFNA(INDEX($K$7:$AE$7,1,MATCH($AH6,$K$10:$AE$10,0)+1),"")</f>
        <v>0</v>
      </c>
      <c r="AL6" s="3">
        <f t="array" ref="AL6">IFNA(INDEX($K$8:$AE$8,1,MATCH($AH6,$K$10:$AE$10,0)+1),"")</f>
        <v>12538.24</v>
      </c>
      <c r="AM6" s="3">
        <f t="array" ref="AM6">IFNA(INDEX($K$9:$AE$9,1,MATCH($AH6,$K$10:$AE$10,0)+1),"")</f>
        <v>639450.24</v>
      </c>
      <c r="AO6" s="9">
        <f>IFERROR(AN6*AM6,0)</f>
        <v>0</v>
      </c>
    </row>
    <row r="7" ht="14.25" customHeight="1" outlineLevel="1">
      <c r="A7" t="str">
        <v>Contact:</v>
      </c>
      <c r="B7" t="str">
        <v>MCN Estimator Name</v>
      </c>
      <c r="C7" t="str">
        <v>Contact:</v>
      </c>
      <c r="G7" s="8" t="str">
        <v>| MCN Budget</v>
      </c>
      <c r="I7" s="8">
        <f>SUM(I20:I195,I13:I18)</f>
        <v>0</v>
      </c>
      <c r="K7" t="str">
        <v>Adjustments:</v>
      </c>
      <c r="L7" s="4">
        <f>SUM(L13:L18,L20:L195)</f>
        <v>479200</v>
      </c>
      <c r="N7" t="str">
        <v>Adjustments:</v>
      </c>
      <c r="O7" s="4">
        <f>SUM(O13:O18,O20:O195)</f>
        <v>609250</v>
      </c>
      <c r="Q7" t="str">
        <v>Adjustments:</v>
      </c>
      <c r="R7" s="4">
        <f>SUM(R13:R18,R20:R195)</f>
        <v>574253</v>
      </c>
      <c r="T7" t="str">
        <v>Adjustments:</v>
      </c>
      <c r="U7" s="4">
        <f>SUM(U13:U18,U20:U195)</f>
        <v>0</v>
      </c>
      <c r="W7" t="str">
        <v>Adjustments:</v>
      </c>
      <c r="X7" s="4">
        <f>SUM(X13:X18,X20:X195)</f>
        <v>0</v>
      </c>
      <c r="Z7" t="str">
        <v>Adjustments:</v>
      </c>
      <c r="AA7" s="4">
        <f>SUM(AA13:AA18,AA20:AA195)</f>
        <v>0</v>
      </c>
      <c r="AC7" t="str">
        <v>Adjustments:</v>
      </c>
      <c r="AD7" s="4">
        <f>SUM(AD13:AD18,AD20:AD195)</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9584</v>
      </c>
      <c r="M8" s="10">
        <v>0.02</v>
      </c>
      <c r="N8" t="str">
        <v>Bond:</v>
      </c>
      <c r="O8" s="4">
        <f>M8*SUM(O6:O7)</f>
        <v>12185</v>
      </c>
      <c r="P8" s="10">
        <v>0.02</v>
      </c>
      <c r="Q8" t="str">
        <v>Bond:</v>
      </c>
      <c r="R8" s="4">
        <f>P8*SUM(R6:R7)</f>
        <v>11485.06</v>
      </c>
      <c r="S8" s="10">
        <v>0.02</v>
      </c>
      <c r="T8" t="str">
        <v>Bond:</v>
      </c>
      <c r="U8" s="4">
        <f>S8*SUM(U6:U7)</f>
        <v>12538.24</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f>IF(L5="FULL SCOPE",SUM(L6:L8),"not level")</f>
        <v>488784</v>
      </c>
      <c r="N9" t="str">
        <v>Total Bid:</v>
      </c>
      <c r="O9" s="4">
        <f>IF(O5="FULL SCOPE",SUM(O6:O8),"not level")</f>
        <v>621435</v>
      </c>
      <c r="Q9" t="str">
        <v>Total Bid:</v>
      </c>
      <c r="R9" s="4">
        <f>IF(R5="FULL SCOPE",SUM(R6:R8),"not level")</f>
        <v>585738.06</v>
      </c>
      <c r="T9" t="str">
        <v>Total Bid:</v>
      </c>
      <c r="U9" s="4">
        <f>IF(U5="FULL SCOPE",SUM(U6:U8),"not level")</f>
        <v>639450.24</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3</v>
      </c>
      <c r="Q10">
        <f>IF(R5="NO","INCOMPLETE",RANK.EQ(R9,$L$9:$AE$9,1))</f>
        <v>2</v>
      </c>
      <c r="T10">
        <f>IF(U5="NO","INCOMPLETE",RANK.EQ(U9,$L$9:$AE$9,1))</f>
        <v>4</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J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f>U6</f>
        <v>626912</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Storefront</v>
      </c>
      <c r="C22" t="str">
        <v>#</v>
      </c>
      <c r="D22" t="str">
        <v>$</v>
      </c>
      <c r="I22" s="8">
        <f>H22*F22</f>
        <v>0</v>
      </c>
      <c r="L22" s="8">
        <v>157800</v>
      </c>
      <c r="O22" s="8">
        <v>196770</v>
      </c>
      <c r="R22" s="8">
        <v>482080</v>
      </c>
    </row>
    <row r="23" ht="14.25" customHeight="1">
      <c r="A23">
        <f>A22+1</f>
        <v>5</v>
      </c>
      <c r="B23" t="str">
        <v>Curtain Wall</v>
      </c>
      <c r="C23" t="str">
        <v>#</v>
      </c>
      <c r="D23" t="str">
        <v>$</v>
      </c>
      <c r="I23" s="8">
        <f>H23*F23</f>
        <v>0</v>
      </c>
      <c r="L23" s="8">
        <v>236200</v>
      </c>
      <c r="O23" s="8">
        <v>198340</v>
      </c>
      <c r="R23" s="8" t="str">
        <v>incl</v>
      </c>
    </row>
    <row r="24" ht="14.25" customHeight="1">
      <c r="A24">
        <f>A23+1</f>
        <v>6</v>
      </c>
      <c r="B24" t="str">
        <v>Interior Glazing</v>
      </c>
      <c r="C24" t="str">
        <v>#</v>
      </c>
      <c r="D24" t="str">
        <v>$</v>
      </c>
      <c r="I24" s="8">
        <f>H24*F24</f>
        <v>0</v>
      </c>
      <c r="K24" t="str">
        <v>Int SF</v>
      </c>
      <c r="L24" s="8">
        <v>60000</v>
      </c>
      <c r="O24" s="8">
        <v>63260</v>
      </c>
      <c r="R24" s="8">
        <v>92173</v>
      </c>
    </row>
    <row r="25" ht="14.25" customHeight="1">
      <c r="A25">
        <f>A24+1</f>
        <v>7</v>
      </c>
      <c r="B25" t="str">
        <v>Miscellaneous Glazing</v>
      </c>
      <c r="C25" t="str">
        <v>#</v>
      </c>
      <c r="D25" t="str">
        <v>$</v>
      </c>
      <c r="I25" s="8">
        <f>H25*F25</f>
        <v>0</v>
      </c>
      <c r="K25" t="str">
        <v>Mirrors</v>
      </c>
      <c r="L25" s="8">
        <v>8000</v>
      </c>
      <c r="N25" t="str">
        <v>mirrors</v>
      </c>
      <c r="O25" s="8">
        <v>10840</v>
      </c>
      <c r="R25" s="8" t="str">
        <v>incl</v>
      </c>
    </row>
    <row r="26" ht="14.25" customHeight="1">
      <c r="A26">
        <f>A25+1</f>
        <v>8</v>
      </c>
      <c r="B26" t="str">
        <v>Window Film</v>
      </c>
      <c r="C26" t="str">
        <v>#</v>
      </c>
      <c r="D26" t="str">
        <v>$</v>
      </c>
      <c r="I26" s="8">
        <f>H26*F26</f>
        <v>0</v>
      </c>
      <c r="L26" s="8">
        <v>2500</v>
      </c>
      <c r="O26" s="8">
        <f>11870+2490</f>
        <v>14360</v>
      </c>
      <c r="R26" s="8" t="str">
        <v>incl</v>
      </c>
    </row>
    <row r="27" ht="14.25" customHeight="1">
      <c r="A27">
        <f>A25+1</f>
        <v>8</v>
      </c>
      <c r="I27" s="8">
        <f>H27*F27</f>
        <v>0</v>
      </c>
      <c r="N27" t="str">
        <v>drs</v>
      </c>
      <c r="O27" s="8">
        <v>122360</v>
      </c>
      <c r="Q27" t="str">
        <v>drs</v>
      </c>
      <c r="R27" s="8" t="str">
        <v>incl</v>
      </c>
    </row>
    <row r="28" ht="14.25" customHeight="1">
      <c r="A28">
        <f>A27+1</f>
        <v>9</v>
      </c>
      <c r="B28" t="str">
        <v>Key Quantity Breakdown</v>
      </c>
      <c r="I28" s="8">
        <f>H28*F28</f>
        <v>0</v>
      </c>
    </row>
    <row r="29" ht="14.25" customHeight="1">
      <c r="A29">
        <f>A28+1</f>
        <v>10</v>
      </c>
      <c r="B29" t="str">
        <v>Storefront</v>
      </c>
      <c r="C29" t="str">
        <v>#</v>
      </c>
      <c r="D29" t="str">
        <v>SF</v>
      </c>
      <c r="I29" s="8">
        <f>H29*F29</f>
        <v>0</v>
      </c>
      <c r="K29" s="15">
        <v>1570</v>
      </c>
    </row>
    <row r="30" ht="14.25" customHeight="1">
      <c r="A30">
        <f>A29+1</f>
        <v>11</v>
      </c>
      <c r="B30" t="str">
        <v>Curtain Wall</v>
      </c>
      <c r="C30" t="str">
        <v>#</v>
      </c>
      <c r="D30" t="str">
        <v>SF</v>
      </c>
      <c r="I30" s="8">
        <f>H30*F30</f>
        <v>0</v>
      </c>
      <c r="K30" s="15">
        <v>1313</v>
      </c>
    </row>
    <row r="31" ht="14.25" customHeight="1">
      <c r="A31">
        <f>A30+1</f>
        <v>12</v>
      </c>
      <c r="B31" t="str">
        <v>Interior Glazing</v>
      </c>
      <c r="C31" t="str">
        <v>#</v>
      </c>
      <c r="D31" t="str">
        <v>SF</v>
      </c>
      <c r="I31" s="8">
        <f>H31*F31</f>
        <v>0</v>
      </c>
      <c r="K31" s="15">
        <v>1120</v>
      </c>
    </row>
    <row r="32" ht="14.25" customHeight="1">
      <c r="A32">
        <f>A31+1</f>
        <v>13</v>
      </c>
      <c r="B32" t="str">
        <v>Miscellaneous Glazing</v>
      </c>
      <c r="C32" t="str">
        <v>#</v>
      </c>
      <c r="D32" t="str">
        <v>SF</v>
      </c>
      <c r="I32" s="8">
        <f>H32*F32</f>
        <v>0</v>
      </c>
      <c r="K32" s="15">
        <v>104</v>
      </c>
    </row>
    <row r="33" ht="14.25" customHeight="1">
      <c r="A33">
        <f>A32+1</f>
        <v>14</v>
      </c>
      <c r="B33" t="str">
        <v>Window Film</v>
      </c>
      <c r="C33" t="str">
        <v>#</v>
      </c>
      <c r="D33" t="str">
        <v>SF</v>
      </c>
      <c r="I33" s="8">
        <f>H33*F33</f>
        <v>0</v>
      </c>
      <c r="K33" s="15">
        <v>109</v>
      </c>
    </row>
    <row r="34" ht="14.25" customHeight="1">
      <c r="I34" s="8">
        <f>H34*F34</f>
        <v>0</v>
      </c>
    </row>
    <row r="35" ht="14.25" customHeight="1">
      <c r="B35" t="str">
        <v>Section 3 - Scope of Work</v>
      </c>
    </row>
    <row r="36" ht="14.25" customHeight="1">
      <c r="B36" t="str">
        <v>Furnish and Install All Items UON</v>
      </c>
      <c r="C36" t="str">
        <v>Y</v>
      </c>
      <c r="J36" t="str">
        <v>Y</v>
      </c>
    </row>
    <row r="37" ht="14.25" customHeight="1">
      <c r="A37" t="str">
        <v>A</v>
      </c>
      <c r="B37" t="str">
        <v>Specifications</v>
      </c>
    </row>
    <row r="38" ht="14.25" customHeight="1">
      <c r="B38" t="str">
        <v>Division 01 - General Requirements</v>
      </c>
      <c r="C38" t="str">
        <v>Y</v>
      </c>
      <c r="J38" t="str">
        <v>Y</v>
      </c>
      <c r="P38" t="str">
        <v>Y</v>
      </c>
      <c r="S38" t="str">
        <v>Y</v>
      </c>
    </row>
    <row r="39" ht="14.25" customHeight="1">
      <c r="B39" t="str">
        <v>074213.13 - Formed Metal Wall Panels</v>
      </c>
      <c r="C39" t="str">
        <v>Y</v>
      </c>
      <c r="J39" t="str">
        <v>Y</v>
      </c>
      <c r="P39" t="str">
        <v>Y</v>
      </c>
      <c r="S39" t="str">
        <v>Y</v>
      </c>
    </row>
    <row r="40" ht="14.25" customHeight="1">
      <c r="B40" t="str">
        <v>074293 - Soffit Panels</v>
      </c>
      <c r="C40" t="str">
        <v>Y</v>
      </c>
      <c r="J40" t="str">
        <v>Y</v>
      </c>
      <c r="P40" t="str">
        <v>Y</v>
      </c>
      <c r="S40" t="str">
        <v>Y</v>
      </c>
    </row>
    <row r="41" ht="14.25" customHeight="1">
      <c r="B41" t="str">
        <v>078413 - Penetration Firestopping</v>
      </c>
      <c r="C41" t="str">
        <v>Y</v>
      </c>
      <c r="J41" t="str">
        <v>Y</v>
      </c>
      <c r="P41" t="str">
        <v>Y</v>
      </c>
      <c r="S41" t="str">
        <v>Y</v>
      </c>
    </row>
    <row r="42" ht="14.25" customHeight="1">
      <c r="B42" t="str">
        <v>078443 - Joint Firestopping</v>
      </c>
      <c r="C42" t="str">
        <v>Y</v>
      </c>
      <c r="J42" t="str">
        <v>Y</v>
      </c>
      <c r="P42" t="str">
        <v>Y</v>
      </c>
      <c r="S42" t="str">
        <v>Y</v>
      </c>
    </row>
    <row r="43" ht="14.25" customHeight="1">
      <c r="B43" t="str">
        <v>079200 - Joint Sealants</v>
      </c>
      <c r="C43" t="str">
        <v>Y</v>
      </c>
      <c r="J43" t="str">
        <v>Y</v>
      </c>
      <c r="P43" t="str">
        <v>Y</v>
      </c>
      <c r="S43" t="str">
        <v>Y</v>
      </c>
    </row>
    <row r="44" ht="14.25" customHeight="1">
      <c r="B44" t="str">
        <v>084113 - Aluminum-Framed Entrances and Storefronts</v>
      </c>
      <c r="C44" t="str">
        <v>Y</v>
      </c>
      <c r="J44" t="str">
        <v>Y</v>
      </c>
      <c r="P44" t="str">
        <v>Y</v>
      </c>
      <c r="S44" t="str">
        <v>Y</v>
      </c>
    </row>
    <row r="45" ht="14.25" customHeight="1">
      <c r="B45" t="str">
        <v>084423 - Structural-Sealant-Glazed Curtain Walls</v>
      </c>
      <c r="C45" t="str">
        <v>Y</v>
      </c>
      <c r="J45" t="str">
        <v>Y</v>
      </c>
      <c r="P45" t="str">
        <v>Y</v>
      </c>
      <c r="S45" t="str">
        <v>Y</v>
      </c>
    </row>
    <row r="46" ht="14.25" customHeight="1">
      <c r="B46" t="str">
        <v>088000 - Glazing</v>
      </c>
      <c r="C46" t="str">
        <v>Y</v>
      </c>
      <c r="J46" t="str">
        <v>Y</v>
      </c>
      <c r="P46" t="str">
        <v>Y</v>
      </c>
      <c r="S46" t="str">
        <v>Y</v>
      </c>
    </row>
    <row r="47" ht="14.25" customHeight="1">
      <c r="B47" t="str">
        <v>088300 - Mirrors</v>
      </c>
      <c r="C47" t="str">
        <v>Y</v>
      </c>
      <c r="J47" t="str">
        <v>Y</v>
      </c>
      <c r="P47" t="str">
        <v>Y</v>
      </c>
      <c r="S47" t="str">
        <v>Y</v>
      </c>
    </row>
    <row r="48" ht="14.25" customHeight="1">
      <c r="B48" t="str">
        <v>088700 - Glazing Surface Film</v>
      </c>
      <c r="C48" t="str">
        <v>Y</v>
      </c>
      <c r="J48" t="str">
        <v>Y</v>
      </c>
      <c r="P48" t="str">
        <v>Y</v>
      </c>
      <c r="S48" t="str">
        <v>Y</v>
      </c>
    </row>
    <row r="49" ht="14.25" customHeight="1">
      <c r="B49" t="str">
        <v>Geotech Report ID # by Engineer dated YYYY-MM-DD</v>
      </c>
      <c r="C49" t="str">
        <v>Y</v>
      </c>
      <c r="J49" t="str">
        <v>Y</v>
      </c>
      <c r="P49" t="str">
        <v>Y</v>
      </c>
      <c r="S49" t="str">
        <v>Y</v>
      </c>
    </row>
    <row r="50" ht="14.25" customHeight="1">
      <c r="A50" t="str">
        <v>B</v>
      </c>
      <c r="B50" t="str">
        <v>Inclusions</v>
      </c>
    </row>
    <row r="51" ht="14.25" customHeight="1">
      <c r="A51">
        <v>1</v>
      </c>
      <c r="B51" t="str">
        <v>SPECIFIC SCOPE ITEMS</v>
      </c>
      <c r="C51" t="str">
        <v>Y</v>
      </c>
      <c r="I51" s="8">
        <f>H51*F51</f>
        <v>0</v>
      </c>
      <c r="J51" t="str">
        <v>Y</v>
      </c>
      <c r="P51" t="str">
        <v>Y</v>
      </c>
      <c r="S51" t="str">
        <v>Y</v>
      </c>
    </row>
    <row r="52" ht="14.25" customHeight="1">
      <c r="A52">
        <f>A51+1</f>
        <v>2</v>
      </c>
      <c r="B52" t="str">
        <v>Aluminum Framed Entrances, Storefront and Curtainwall</v>
      </c>
      <c r="C52" t="str">
        <v>Y</v>
      </c>
      <c r="I52" s="8">
        <f>H52*F52</f>
        <v>0</v>
      </c>
      <c r="J52" t="str">
        <v>Y</v>
      </c>
      <c r="P52" t="str">
        <v>Y</v>
      </c>
      <c r="S52" t="str">
        <v>Y</v>
      </c>
    </row>
    <row r="53" ht="14.25" customHeight="1">
      <c r="A53">
        <f>A52+1</f>
        <v>3</v>
      </c>
      <c r="B53" t="str">
        <v>Storefront systerms B.O.D.:</v>
      </c>
      <c r="C53" t="str">
        <v>Y</v>
      </c>
      <c r="I53" s="8">
        <f>H53*F53</f>
        <v>0</v>
      </c>
      <c r="J53" t="str">
        <v>Y</v>
      </c>
      <c r="P53" t="str">
        <v>Y</v>
      </c>
      <c r="S53" t="str">
        <v>Y</v>
      </c>
    </row>
    <row r="54" ht="14.25" customHeight="1">
      <c r="A54">
        <f>A53+1</f>
        <v>4</v>
      </c>
      <c r="B54" t="str">
        <v>Thermally broken: Kawneer 601UT</v>
      </c>
      <c r="C54" t="str">
        <v>Y</v>
      </c>
      <c r="I54" s="8">
        <f>H54*F54</f>
        <v>0</v>
      </c>
      <c r="J54" t="str">
        <v>Y</v>
      </c>
      <c r="P54" t="str">
        <v>N/OK</v>
      </c>
      <c r="Q54" t="str">
        <v>YKK, OBE, US Alum, Tubelite or aprvd sub</v>
      </c>
      <c r="S54" t="str">
        <v>Y</v>
      </c>
    </row>
    <row r="55" ht="14.25" customHeight="1">
      <c r="A55">
        <f>A54+1</f>
        <v>5</v>
      </c>
      <c r="B55" t="str">
        <v>Non-thermal: Kawneer 301</v>
      </c>
      <c r="C55" t="str">
        <v>Y</v>
      </c>
      <c r="I55" s="8">
        <f>H55*F55</f>
        <v>0</v>
      </c>
      <c r="J55" t="str">
        <v>Y</v>
      </c>
      <c r="P55" t="str">
        <v>Y</v>
      </c>
      <c r="S55" t="str">
        <v>Y</v>
      </c>
    </row>
    <row r="56" ht="14.25" customHeight="1">
      <c r="A56">
        <f>A55+1</f>
        <v>6</v>
      </c>
      <c r="B56" t="str">
        <v>Entrance door systems B.O.D.:</v>
      </c>
      <c r="C56" t="str">
        <v>Y</v>
      </c>
      <c r="I56" s="8">
        <f>H56*F56</f>
        <v>0</v>
      </c>
      <c r="J56" t="str">
        <v>Y</v>
      </c>
      <c r="P56" t="str">
        <v>Y</v>
      </c>
      <c r="S56" t="str">
        <v>Y</v>
      </c>
    </row>
    <row r="57" ht="14.25" customHeight="1">
      <c r="A57">
        <f>A56+1</f>
        <v>7</v>
      </c>
      <c r="B57" t="str">
        <v>Thermally broken: Kawneer 500T Insulpour Entrance</v>
      </c>
      <c r="C57" t="str">
        <v>Y</v>
      </c>
      <c r="I57" s="8">
        <f>H57*F57</f>
        <v>0</v>
      </c>
      <c r="J57" t="str">
        <v>Y</v>
      </c>
      <c r="P57" t="str">
        <v>N/OK</v>
      </c>
      <c r="Q57" t="str">
        <v>YKK, OBE, US Alum, Tubelite or aprvd sub</v>
      </c>
      <c r="S57" t="str">
        <v>Y</v>
      </c>
    </row>
    <row r="58" ht="14.25" customHeight="1">
      <c r="A58">
        <f>A57+1</f>
        <v>8</v>
      </c>
      <c r="B58" t="str">
        <v>Non-thermal: Kawneer 500 Heavy Wall</v>
      </c>
      <c r="C58" t="str">
        <v>Y</v>
      </c>
      <c r="I58" s="8">
        <f>H58*F58</f>
        <v>0</v>
      </c>
      <c r="J58" t="str">
        <v>Y</v>
      </c>
      <c r="P58" t="str">
        <v>Y</v>
      </c>
      <c r="S58" t="str">
        <v>Y</v>
      </c>
    </row>
    <row r="59" ht="14.25" customHeight="1">
      <c r="A59">
        <f>A58+1</f>
        <v>9</v>
      </c>
      <c r="B59" t="str">
        <v>Structual-Sealant Glazed Curtain Wall</v>
      </c>
      <c r="C59" t="str">
        <v>Y</v>
      </c>
      <c r="I59" s="8">
        <f>H59*F59</f>
        <v>0</v>
      </c>
      <c r="J59" t="str">
        <v>Y</v>
      </c>
      <c r="P59" t="str">
        <v>Y</v>
      </c>
      <c r="S59" t="str">
        <v>Y</v>
      </c>
    </row>
    <row r="60" ht="14.25" customHeight="1">
      <c r="A60">
        <f>A59+1</f>
        <v>10</v>
      </c>
      <c r="B60" t="str">
        <v>Delegated design per specifications</v>
      </c>
      <c r="C60" t="str">
        <v>Y</v>
      </c>
      <c r="I60" s="8">
        <f>H60*F60</f>
        <v>0</v>
      </c>
      <c r="J60" t="str">
        <v>Y</v>
      </c>
      <c r="P60" t="str">
        <v>Y</v>
      </c>
      <c r="S60" t="str">
        <v>Y</v>
      </c>
    </row>
    <row r="61" ht="14.25" customHeight="1">
      <c r="A61">
        <f>A60+1</f>
        <v>11</v>
      </c>
      <c r="B61" t="str">
        <v>Four-sided structural-sealant-glazed curtain wall assemblies</v>
      </c>
      <c r="C61" t="str">
        <v>Y</v>
      </c>
      <c r="I61" s="8">
        <f>H61*F61</f>
        <v>0</v>
      </c>
      <c r="J61" t="str">
        <v>Y</v>
      </c>
      <c r="P61" t="str">
        <v>Y</v>
      </c>
      <c r="S61" t="str">
        <v>Y</v>
      </c>
    </row>
    <row r="62" ht="14.25" customHeight="1">
      <c r="A62">
        <f>A61+1</f>
        <v>12</v>
      </c>
      <c r="B62" t="str">
        <v>Kawneer Clearwall Curtain Wall System</v>
      </c>
      <c r="C62" t="str">
        <v>Y</v>
      </c>
      <c r="I62" s="8">
        <f>H62*F62</f>
        <v>0</v>
      </c>
      <c r="J62" t="str">
        <v>Y</v>
      </c>
      <c r="P62" t="str">
        <v>N/OK</v>
      </c>
      <c r="Q62" t="str">
        <v>YKK, OBE, US Alum, Tubelite or aprvd sub</v>
      </c>
      <c r="S62" t="str">
        <v>Y</v>
      </c>
    </row>
    <row r="63" ht="14.25" customHeight="1">
      <c r="A63">
        <f>A62+1</f>
        <v>13</v>
      </c>
      <c r="B63" t="str">
        <v>Glazing per specifications section 088000</v>
      </c>
      <c r="C63" t="str">
        <v>Y</v>
      </c>
      <c r="I63" s="8">
        <f>H63*F63</f>
        <v>0</v>
      </c>
      <c r="J63" t="str">
        <v>Y</v>
      </c>
      <c r="P63" t="str">
        <v>Y</v>
      </c>
      <c r="S63" t="str">
        <v>Y</v>
      </c>
    </row>
    <row r="64" ht="14.25" customHeight="1">
      <c r="A64">
        <f>A63+1</f>
        <v>14</v>
      </c>
      <c r="B64" t="str">
        <v>Laminated glass - Kuraray SentryGlass</v>
      </c>
      <c r="C64" t="str">
        <v>Y</v>
      </c>
      <c r="I64" s="8">
        <f>H64*F64</f>
        <v>0</v>
      </c>
      <c r="J64" t="str">
        <v>P</v>
      </c>
      <c r="L64" s="8">
        <v>5000</v>
      </c>
      <c r="O64" s="8">
        <v>3320</v>
      </c>
      <c r="P64" t="str">
        <v>Y</v>
      </c>
      <c r="S64" t="str">
        <v>Y</v>
      </c>
    </row>
    <row r="65" ht="14.25" customHeight="1">
      <c r="A65">
        <f>A64+1</f>
        <v>15</v>
      </c>
      <c r="B65" t="str">
        <v>Window film</v>
      </c>
      <c r="C65" t="str">
        <v>Y</v>
      </c>
      <c r="I65" s="8">
        <f>H65*F65</f>
        <v>0</v>
      </c>
      <c r="J65" t="str">
        <v>Y</v>
      </c>
      <c r="P65" t="str">
        <v>Y</v>
      </c>
      <c r="S65" t="str">
        <v>Y</v>
      </c>
    </row>
    <row r="66" ht="14.25" customHeight="1">
      <c r="A66">
        <f>A65+1</f>
        <v>16</v>
      </c>
      <c r="B66" t="str">
        <v>3M Fassara per finish schedule A12.1</v>
      </c>
      <c r="C66" t="str">
        <v>Y</v>
      </c>
      <c r="I66" s="8">
        <f>H66*F66</f>
        <v>0</v>
      </c>
      <c r="J66" t="str">
        <v>Y</v>
      </c>
      <c r="P66" t="str">
        <v>Y</v>
      </c>
      <c r="S66" t="str">
        <v>Y</v>
      </c>
    </row>
    <row r="67" ht="14.25" customHeight="1">
      <c r="A67">
        <f>A66+1</f>
        <v>17</v>
      </c>
    </row>
    <row r="68" ht="14.25" customHeight="1">
      <c r="A68">
        <f>A67+1</f>
        <v>18</v>
      </c>
      <c r="B68" t="str">
        <v>Furnish and install all aluminum framed doors at interior and exterior locations, include all glazing in doors provided by others</v>
      </c>
      <c r="C68" t="str">
        <v>Y</v>
      </c>
      <c r="I68" s="8">
        <f>H68*F68</f>
        <v>0</v>
      </c>
      <c r="J68" t="str">
        <v>Y</v>
      </c>
      <c r="P68" t="str">
        <v>Y</v>
      </c>
      <c r="S68" t="str">
        <v>Y</v>
      </c>
    </row>
    <row r="69" ht="14.25" customHeight="1">
      <c r="A69">
        <f>A68+1</f>
        <v>19</v>
      </c>
      <c r="B69" t="str">
        <v>Exterior</v>
      </c>
      <c r="C69" t="str">
        <v>Y</v>
      </c>
      <c r="I69" s="8">
        <f>H69*F69</f>
        <v>0</v>
      </c>
      <c r="J69" t="str">
        <v>Y</v>
      </c>
      <c r="P69" t="str">
        <v>Y</v>
      </c>
      <c r="S69" t="str">
        <v>Y</v>
      </c>
    </row>
    <row r="70" ht="14.25" customHeight="1">
      <c r="A70">
        <f>A69+1</f>
        <v>20</v>
      </c>
      <c r="B70" t="str">
        <v>CW1</v>
      </c>
      <c r="C70" t="str">
        <v>Y</v>
      </c>
      <c r="I70" s="8">
        <f>H70*F70</f>
        <v>0</v>
      </c>
      <c r="J70" t="str">
        <v>Y</v>
      </c>
      <c r="L70" s="8" t="str">
        <v>Curtainwall</v>
      </c>
      <c r="P70" t="str">
        <v>Y</v>
      </c>
      <c r="S70" t="str">
        <v>Y</v>
      </c>
    </row>
    <row r="71" ht="14.25" customHeight="1">
      <c r="A71">
        <f>A70+1</f>
        <v>21</v>
      </c>
      <c r="B71" t="str">
        <v>Doors and hardware at CW1</v>
      </c>
      <c r="C71" t="str">
        <v>Y</v>
      </c>
      <c r="I71" s="8">
        <f>H71*F71</f>
        <v>0</v>
      </c>
      <c r="J71" t="str">
        <v>Y</v>
      </c>
      <c r="P71" t="str">
        <v>Y</v>
      </c>
      <c r="S71" t="str">
        <v>Y</v>
      </c>
    </row>
    <row r="72" ht="14.25" customHeight="1">
      <c r="A72">
        <f>A71+1</f>
        <v>22</v>
      </c>
      <c r="B72" t="str">
        <v>CW2</v>
      </c>
      <c r="C72" t="str">
        <v>Y</v>
      </c>
      <c r="I72" s="8">
        <f>H72*F72</f>
        <v>0</v>
      </c>
      <c r="J72" t="str">
        <v>Y</v>
      </c>
      <c r="L72" s="8" t="str">
        <v>Curtainwall</v>
      </c>
      <c r="P72" t="str">
        <v>Y</v>
      </c>
      <c r="S72" t="str">
        <v>Y</v>
      </c>
    </row>
    <row r="73" ht="14.25" customHeight="1">
      <c r="A73">
        <f>A72+1</f>
        <v>23</v>
      </c>
      <c r="B73" t="str">
        <v>CW3</v>
      </c>
      <c r="C73" t="str">
        <v>Y</v>
      </c>
      <c r="I73" s="8">
        <f>H73*F73</f>
        <v>0</v>
      </c>
      <c r="J73" t="str">
        <v>Y</v>
      </c>
      <c r="L73" s="8" t="str">
        <v>Curtainwall</v>
      </c>
      <c r="P73" t="str">
        <v>Y</v>
      </c>
      <c r="S73" t="str">
        <v>Y</v>
      </c>
    </row>
    <row r="74" ht="14.25" customHeight="1">
      <c r="A74">
        <f>A73+1</f>
        <v>24</v>
      </c>
      <c r="B74" t="str">
        <v>Doors and hardware at CW3</v>
      </c>
      <c r="C74" t="str">
        <v>Y</v>
      </c>
      <c r="I74" s="8">
        <f>H74*F74</f>
        <v>0</v>
      </c>
      <c r="J74" t="str">
        <v>Y</v>
      </c>
      <c r="P74" t="str">
        <v>Y</v>
      </c>
      <c r="S74" t="str">
        <v>Y</v>
      </c>
    </row>
    <row r="75" ht="14.25" customHeight="1">
      <c r="A75">
        <f>A74+1</f>
        <v>25</v>
      </c>
      <c r="B75" t="str">
        <v>Metal fins and panels at SF-3</v>
      </c>
      <c r="C75" t="str">
        <v>N</v>
      </c>
      <c r="I75" s="8">
        <f>H75*F75</f>
        <v>0</v>
      </c>
      <c r="J75" t="str">
        <v>N</v>
      </c>
      <c r="P75" t="str">
        <v>N</v>
      </c>
      <c r="S75" t="str">
        <v>Y</v>
      </c>
    </row>
    <row r="76" ht="14.25" customHeight="1">
      <c r="A76">
        <f>A75+1</f>
        <v>26</v>
      </c>
      <c r="B76" t="str">
        <v>SF-4</v>
      </c>
      <c r="C76" t="str">
        <v>Y</v>
      </c>
      <c r="I76" s="8">
        <f>H76*F76</f>
        <v>0</v>
      </c>
      <c r="J76" t="str">
        <v>Y</v>
      </c>
      <c r="P76" t="str">
        <v>Y</v>
      </c>
      <c r="S76" t="str">
        <v>Y</v>
      </c>
    </row>
    <row r="77" ht="14.25" customHeight="1">
      <c r="A77">
        <f>A76+1</f>
        <v>27</v>
      </c>
      <c r="B77" t="str">
        <v>SF-5</v>
      </c>
      <c r="C77" t="str">
        <v>Y</v>
      </c>
      <c r="I77" s="8">
        <f>H77*F77</f>
        <v>0</v>
      </c>
      <c r="J77" t="str">
        <v>Y</v>
      </c>
      <c r="P77" t="str">
        <v>Y</v>
      </c>
      <c r="S77" t="str">
        <v>Y</v>
      </c>
    </row>
    <row r="78" ht="14.25" customHeight="1">
      <c r="A78">
        <f>A77+1</f>
        <v>28</v>
      </c>
      <c r="B78" t="str">
        <v>SF-6</v>
      </c>
      <c r="C78" t="str">
        <v>Y</v>
      </c>
      <c r="I78" s="8">
        <f>H78*F78</f>
        <v>0</v>
      </c>
      <c r="J78" t="str">
        <v>Y</v>
      </c>
      <c r="P78" t="str">
        <v>Y</v>
      </c>
      <c r="S78" t="str">
        <v>Y</v>
      </c>
    </row>
    <row r="79" ht="14.25" customHeight="1">
      <c r="A79">
        <f>A78+1</f>
        <v>29</v>
      </c>
      <c r="B79" t="str">
        <v>SF-7</v>
      </c>
      <c r="C79" t="str">
        <v>Y</v>
      </c>
      <c r="I79" s="8">
        <f>H79*F79</f>
        <v>0</v>
      </c>
      <c r="J79" t="str">
        <v>Y</v>
      </c>
      <c r="P79" t="str">
        <v>Y</v>
      </c>
      <c r="S79" t="str">
        <v>Y</v>
      </c>
    </row>
    <row r="80" ht="14.25" customHeight="1">
      <c r="A80">
        <f>A79+1</f>
        <v>30</v>
      </c>
      <c r="B80" t="str">
        <v>Door at SF-7</v>
      </c>
      <c r="C80" t="str">
        <v>Y</v>
      </c>
      <c r="I80" s="8">
        <f>H80*F80</f>
        <v>0</v>
      </c>
      <c r="J80" t="str">
        <v>N/OK!</v>
      </c>
      <c r="L80" s="8" t="str">
        <v>WD doors by others</v>
      </c>
      <c r="P80" t="str">
        <v>Y</v>
      </c>
      <c r="S80" t="str">
        <v>N/OK!</v>
      </c>
      <c r="U80" s="8" t="str">
        <v>WD doors by others</v>
      </c>
    </row>
    <row r="81" ht="14.25" customHeight="1">
      <c r="A81">
        <f>A80+1</f>
        <v>31</v>
      </c>
      <c r="B81" t="str">
        <v>SF-8</v>
      </c>
      <c r="C81" t="str">
        <v>Y</v>
      </c>
      <c r="I81" s="8">
        <f>H81*F81</f>
        <v>0</v>
      </c>
      <c r="J81" t="str">
        <v>Y</v>
      </c>
      <c r="P81" t="str">
        <v>Y</v>
      </c>
      <c r="S81" t="str">
        <v>Y</v>
      </c>
    </row>
    <row r="82" ht="14.25" customHeight="1">
      <c r="A82">
        <f>A81+1</f>
        <v>32</v>
      </c>
      <c r="B82" t="str">
        <v>Door at SF-8</v>
      </c>
      <c r="C82" t="str">
        <v>Y</v>
      </c>
      <c r="I82" s="8">
        <f>H82*F82</f>
        <v>0</v>
      </c>
      <c r="J82" t="str">
        <v>Y</v>
      </c>
      <c r="P82" t="str">
        <v>Y</v>
      </c>
      <c r="S82" t="str">
        <v>Y</v>
      </c>
    </row>
    <row r="83" ht="14.25" customHeight="1">
      <c r="A83">
        <f>A82+1</f>
        <v>33</v>
      </c>
      <c r="B83" t="str">
        <v>SF-9</v>
      </c>
      <c r="C83" t="str">
        <v>Y</v>
      </c>
      <c r="I83" s="8">
        <f>H83*F83</f>
        <v>0</v>
      </c>
      <c r="J83" t="str">
        <v>Y</v>
      </c>
      <c r="P83" t="str">
        <v>Y</v>
      </c>
      <c r="S83" t="str">
        <v>Y</v>
      </c>
    </row>
    <row r="84" ht="14.25" customHeight="1">
      <c r="A84">
        <f>A83+1</f>
        <v>34</v>
      </c>
      <c r="B84" t="str">
        <v>SF-10</v>
      </c>
      <c r="C84" t="str">
        <v>Y</v>
      </c>
      <c r="I84" s="8">
        <f>H84*F84</f>
        <v>0</v>
      </c>
      <c r="J84" t="str">
        <v>Y</v>
      </c>
      <c r="P84" t="str">
        <v>Y</v>
      </c>
      <c r="S84" t="str">
        <v>Y</v>
      </c>
    </row>
    <row r="85" ht="14.25" customHeight="1">
      <c r="A85">
        <f>A84+1</f>
        <v>35</v>
      </c>
      <c r="B85" t="str">
        <v>SF-11</v>
      </c>
      <c r="C85" t="str">
        <v>Y</v>
      </c>
      <c r="I85" s="8">
        <f>H85*F85</f>
        <v>0</v>
      </c>
      <c r="J85" t="str">
        <v>Y</v>
      </c>
      <c r="P85" t="str">
        <v>Y</v>
      </c>
      <c r="S85" t="str">
        <v>Y</v>
      </c>
    </row>
    <row r="86" ht="14.25" customHeight="1">
      <c r="A86">
        <f>A85+1</f>
        <v>36</v>
      </c>
      <c r="B86" t="str">
        <v>SF-12</v>
      </c>
      <c r="C86" t="str">
        <v>Y</v>
      </c>
      <c r="I86" s="8">
        <f>H86*F86</f>
        <v>0</v>
      </c>
      <c r="J86" t="str">
        <v>Y</v>
      </c>
      <c r="P86" t="str">
        <v>Y</v>
      </c>
      <c r="S86" t="str">
        <v>Y</v>
      </c>
    </row>
    <row r="87" ht="14.25" customHeight="1">
      <c r="A87">
        <f>A86+1</f>
        <v>37</v>
      </c>
      <c r="B87" t="str">
        <v>SF-13</v>
      </c>
      <c r="C87" t="str">
        <v>Y</v>
      </c>
      <c r="I87" s="8">
        <f>H87*F87</f>
        <v>0</v>
      </c>
      <c r="J87" t="str">
        <v>Y</v>
      </c>
      <c r="P87" t="str">
        <v>Y</v>
      </c>
      <c r="S87" t="str">
        <v>Y</v>
      </c>
    </row>
    <row r="88" ht="14.25" customHeight="1">
      <c r="A88">
        <f>A87+1</f>
        <v>38</v>
      </c>
      <c r="B88" t="str">
        <v>SF-14</v>
      </c>
      <c r="C88" t="str">
        <v>Y</v>
      </c>
      <c r="I88" s="8">
        <f>H88*F88</f>
        <v>0</v>
      </c>
      <c r="J88" t="str">
        <v>Y</v>
      </c>
      <c r="P88" t="str">
        <v>Y</v>
      </c>
      <c r="S88" t="str">
        <v>Y</v>
      </c>
    </row>
    <row r="89" ht="14.25" customHeight="1">
      <c r="A89">
        <f>A88+1</f>
        <v>39</v>
      </c>
      <c r="B89" t="str">
        <v>Interior</v>
      </c>
      <c r="C89" t="str">
        <v>Y</v>
      </c>
      <c r="I89" s="8">
        <f>H89*F89</f>
        <v>0</v>
      </c>
      <c r="J89" t="str">
        <v>Y</v>
      </c>
      <c r="P89" t="str">
        <v>Y</v>
      </c>
      <c r="S89" t="str">
        <v>Y</v>
      </c>
    </row>
    <row r="90" ht="14.25" customHeight="1">
      <c r="A90">
        <f>A89+1</f>
        <v>40</v>
      </c>
      <c r="B90" t="str">
        <v>SF-15</v>
      </c>
      <c r="C90" t="str">
        <v>Y</v>
      </c>
      <c r="I90" s="8">
        <f>H90*F90</f>
        <v>0</v>
      </c>
      <c r="J90" t="str">
        <v>Y</v>
      </c>
      <c r="P90" t="str">
        <v>Y</v>
      </c>
      <c r="S90" t="str">
        <v>Y</v>
      </c>
    </row>
    <row r="91" ht="14.25" customHeight="1">
      <c r="A91">
        <f>A90+1</f>
        <v>41</v>
      </c>
      <c r="B91" t="str">
        <v>Doors and hardware at SF-15</v>
      </c>
      <c r="C91" t="str">
        <v>Y</v>
      </c>
      <c r="I91" s="8">
        <f>H91*F91</f>
        <v>0</v>
      </c>
      <c r="J91" t="str">
        <v>N/OK!</v>
      </c>
      <c r="L91" s="8" t="str">
        <v>WD doors by others</v>
      </c>
      <c r="P91" t="str">
        <v>N/OK!</v>
      </c>
      <c r="R91" s="8" t="str">
        <v>WD doors by others</v>
      </c>
      <c r="S91" t="str">
        <v>N/OK!</v>
      </c>
      <c r="U91" s="8" t="str">
        <v>WD doors by others</v>
      </c>
    </row>
    <row r="92" ht="14.25" customHeight="1">
      <c r="A92">
        <f>A91+1</f>
        <v>42</v>
      </c>
      <c r="B92" t="str">
        <v>SF-16</v>
      </c>
      <c r="C92" t="str">
        <v>Y</v>
      </c>
      <c r="I92" s="8">
        <f>H92*F92</f>
        <v>0</v>
      </c>
      <c r="J92" t="str">
        <v>Y</v>
      </c>
      <c r="P92" t="str">
        <v>Y</v>
      </c>
      <c r="S92" t="str">
        <v>Y</v>
      </c>
    </row>
    <row r="93" ht="14.25" customHeight="1">
      <c r="A93">
        <f>A92+1</f>
        <v>43</v>
      </c>
      <c r="B93" t="str">
        <v>SF-17</v>
      </c>
      <c r="C93" t="str">
        <v>Y</v>
      </c>
      <c r="I93" s="8">
        <f>H93*F93</f>
        <v>0</v>
      </c>
      <c r="J93" t="str">
        <v>Y</v>
      </c>
      <c r="P93" t="str">
        <v>Y</v>
      </c>
      <c r="S93" t="str">
        <v>Y</v>
      </c>
    </row>
    <row r="94" ht="14.25" customHeight="1">
      <c r="A94">
        <f>A93+1</f>
        <v>44</v>
      </c>
      <c r="B94" t="str">
        <v>Doors and hardware at SF-17</v>
      </c>
      <c r="C94" t="str">
        <v>Y</v>
      </c>
      <c r="I94" s="8">
        <f>H94*F94</f>
        <v>0</v>
      </c>
      <c r="J94" t="str">
        <v>N/OK!</v>
      </c>
      <c r="L94" s="8" t="str">
        <v>WD doors by others</v>
      </c>
      <c r="P94" t="str">
        <v>N/OK!</v>
      </c>
      <c r="R94" s="8" t="str">
        <v>WD doors by others</v>
      </c>
      <c r="S94" t="str">
        <v>N/OK!</v>
      </c>
      <c r="U94" s="8" t="str">
        <v>WD doors by others</v>
      </c>
    </row>
    <row r="95" ht="14.25" customHeight="1">
      <c r="A95">
        <f>A94+1</f>
        <v>45</v>
      </c>
      <c r="B95" t="str">
        <v>SF-18</v>
      </c>
      <c r="C95" t="str">
        <v>Y</v>
      </c>
      <c r="I95" s="8">
        <f>H95*F95</f>
        <v>0</v>
      </c>
      <c r="J95" t="str">
        <v>Y</v>
      </c>
      <c r="P95" t="str">
        <v>Y</v>
      </c>
      <c r="S95" t="str">
        <v>Y</v>
      </c>
    </row>
    <row r="96" ht="14.25" customHeight="1">
      <c r="A96">
        <f>A95+1</f>
        <v>46</v>
      </c>
      <c r="B96" t="str">
        <v>Door and hardware at SF-18</v>
      </c>
      <c r="C96" t="str">
        <v>Y</v>
      </c>
      <c r="I96" s="8">
        <f>H96*F96</f>
        <v>0</v>
      </c>
      <c r="J96" t="str">
        <v>Y</v>
      </c>
      <c r="P96" t="str">
        <v>Y</v>
      </c>
      <c r="S96" t="str">
        <v>Y</v>
      </c>
    </row>
    <row r="97" ht="14.25" customHeight="1">
      <c r="A97">
        <f>A96+1</f>
        <v>47</v>
      </c>
      <c r="B97" t="str">
        <v>SF-19</v>
      </c>
      <c r="C97" t="str">
        <v>Y</v>
      </c>
      <c r="I97" s="8">
        <f>H97*F97</f>
        <v>0</v>
      </c>
      <c r="J97" t="str">
        <v>Y</v>
      </c>
      <c r="P97" t="str">
        <v>Y</v>
      </c>
      <c r="S97" t="str">
        <v>Y</v>
      </c>
    </row>
    <row r="98" ht="14.25" customHeight="1">
      <c r="A98">
        <f>A97+1</f>
        <v>48</v>
      </c>
      <c r="B98" t="str">
        <v>Door and hardware at SF-19</v>
      </c>
      <c r="C98" t="str">
        <v>Y</v>
      </c>
      <c r="I98" s="8">
        <f>H98*F98</f>
        <v>0</v>
      </c>
      <c r="J98" t="str">
        <v>N/OK!</v>
      </c>
      <c r="L98" s="8" t="str">
        <v>WD doors by others</v>
      </c>
      <c r="P98" t="str">
        <v>N/OK!</v>
      </c>
      <c r="R98" s="8" t="str">
        <v>WD doors by others</v>
      </c>
      <c r="S98" t="str">
        <v>N/OK!</v>
      </c>
      <c r="U98" s="8" t="str">
        <v>WD doors by others</v>
      </c>
    </row>
    <row r="99" ht="14.25" customHeight="1">
      <c r="A99">
        <f>A98+1</f>
        <v>49</v>
      </c>
      <c r="B99" t="str">
        <v>SF-20</v>
      </c>
      <c r="C99" t="str">
        <v>Y</v>
      </c>
      <c r="I99" s="8">
        <f>H99*F99</f>
        <v>0</v>
      </c>
      <c r="J99" t="str">
        <v>Y</v>
      </c>
      <c r="P99" t="str">
        <v>Y</v>
      </c>
      <c r="S99" t="str">
        <v>Y</v>
      </c>
    </row>
    <row r="100" ht="14.25" customHeight="1">
      <c r="A100">
        <f>A99+1</f>
        <v>50</v>
      </c>
      <c r="B100" t="str">
        <v>Door and hardware at SF-20</v>
      </c>
      <c r="C100" t="str">
        <v>Y</v>
      </c>
      <c r="I100" s="8">
        <f>H100*F100</f>
        <v>0</v>
      </c>
      <c r="J100" t="str">
        <v>N/OK!</v>
      </c>
      <c r="L100" s="8" t="str">
        <v>WD doors by others</v>
      </c>
      <c r="P100" t="str">
        <v>N/OK!</v>
      </c>
      <c r="R100" s="8" t="str">
        <v>WD doors by others</v>
      </c>
      <c r="S100" t="str">
        <v>N/OK!</v>
      </c>
      <c r="U100" s="8" t="str">
        <v>WD doors by others</v>
      </c>
    </row>
    <row r="101" ht="14.25" customHeight="1">
      <c r="A101">
        <f>A100+1</f>
        <v>51</v>
      </c>
      <c r="B101" t="str">
        <v>SF-21</v>
      </c>
      <c r="C101" t="str">
        <v>Y</v>
      </c>
      <c r="I101" s="8">
        <f>H101*F101</f>
        <v>0</v>
      </c>
      <c r="J101" t="str">
        <v>Y</v>
      </c>
      <c r="P101" t="str">
        <v>Y</v>
      </c>
      <c r="S101" t="str">
        <v>Y</v>
      </c>
    </row>
    <row r="102" ht="14.25" customHeight="1">
      <c r="A102">
        <f>A101+1</f>
        <v>52</v>
      </c>
      <c r="B102" t="str">
        <v>Door and hardware at SF-21</v>
      </c>
      <c r="C102" t="str">
        <v>Y</v>
      </c>
      <c r="I102" s="8">
        <f>H102*F102</f>
        <v>0</v>
      </c>
      <c r="J102" t="str">
        <v>N/OK!</v>
      </c>
      <c r="L102" s="8" t="str">
        <v>WD doors by others</v>
      </c>
      <c r="P102" t="str">
        <v>N/OK!</v>
      </c>
      <c r="R102" s="8" t="str">
        <v>WD doors by others</v>
      </c>
      <c r="S102" t="str">
        <v>N/OK!</v>
      </c>
      <c r="U102" s="8" t="str">
        <v>WD doors by others</v>
      </c>
    </row>
    <row r="103" ht="14.25" customHeight="1">
      <c r="A103">
        <f>A102+1</f>
        <v>53</v>
      </c>
      <c r="B103" t="str">
        <v>SF-22</v>
      </c>
      <c r="C103" t="str">
        <v>Y</v>
      </c>
      <c r="I103" s="8">
        <f>H103*F103</f>
        <v>0</v>
      </c>
      <c r="J103" t="str">
        <v>Y</v>
      </c>
      <c r="P103" t="str">
        <v>Y</v>
      </c>
      <c r="S103" t="str">
        <v>Y</v>
      </c>
    </row>
    <row r="104" ht="14.25" customHeight="1">
      <c r="A104">
        <f>A103+1</f>
        <v>54</v>
      </c>
      <c r="B104" t="str">
        <v>Door and hardware at SF-22</v>
      </c>
      <c r="C104" t="str">
        <v>Y</v>
      </c>
      <c r="I104" s="8">
        <f>H104*F104</f>
        <v>0</v>
      </c>
      <c r="J104" t="str">
        <v>N/OK!</v>
      </c>
      <c r="L104" s="8" t="str">
        <v>WD doors by others</v>
      </c>
      <c r="P104" t="str">
        <v>N/OK!</v>
      </c>
      <c r="R104" s="8" t="str">
        <v>WD doors by others</v>
      </c>
      <c r="S104" t="str">
        <v>N/OK!</v>
      </c>
      <c r="U104" s="8" t="str">
        <v>WD doors by others</v>
      </c>
    </row>
    <row r="105" ht="14.25" customHeight="1">
      <c r="A105">
        <f>A104+1</f>
        <v>55</v>
      </c>
      <c r="B105" t="str">
        <v>SF-23</v>
      </c>
      <c r="C105" t="str">
        <v>Y</v>
      </c>
      <c r="I105" s="8">
        <f>H105*F105</f>
        <v>0</v>
      </c>
      <c r="J105" t="str">
        <v>Y</v>
      </c>
      <c r="P105" t="str">
        <v>Y</v>
      </c>
      <c r="S105" t="str">
        <v>Y</v>
      </c>
    </row>
    <row r="106" ht="14.25" customHeight="1">
      <c r="A106">
        <f>A105+1</f>
        <v>56</v>
      </c>
      <c r="B106" t="str">
        <v>Door and hardware at SF-23</v>
      </c>
      <c r="C106" t="str">
        <v>Y</v>
      </c>
      <c r="I106" s="8">
        <f>H106*F106</f>
        <v>0</v>
      </c>
      <c r="J106" t="str">
        <v>N/OK!</v>
      </c>
      <c r="L106" s="8" t="str">
        <v>WD doors by others</v>
      </c>
      <c r="P106" t="str">
        <v>N/OK!</v>
      </c>
      <c r="R106" s="8" t="str">
        <v>WD doors by others</v>
      </c>
      <c r="S106" t="str">
        <v>N/OK!</v>
      </c>
      <c r="U106" s="8" t="str">
        <v>WD doors by others</v>
      </c>
    </row>
    <row r="107" ht="14.25" customHeight="1">
      <c r="A107">
        <f>A106+1</f>
        <v>57</v>
      </c>
      <c r="B107" t="str">
        <v>SF-24</v>
      </c>
      <c r="C107" t="str">
        <v>Y</v>
      </c>
      <c r="I107" s="8">
        <f>H107*F107</f>
        <v>0</v>
      </c>
      <c r="J107" t="str">
        <v>Y</v>
      </c>
      <c r="P107" t="str">
        <v>Y</v>
      </c>
      <c r="S107" t="str">
        <v>Y</v>
      </c>
    </row>
    <row r="108" ht="14.25" customHeight="1">
      <c r="A108">
        <f>A107+1</f>
        <v>58</v>
      </c>
      <c r="B108" t="str">
        <v>Furnish and install all interior aluminum framed doors and frames</v>
      </c>
      <c r="C108" t="str">
        <v>Y</v>
      </c>
      <c r="I108" s="8">
        <f>H108*F108</f>
        <v>0</v>
      </c>
      <c r="J108" t="str">
        <v>Y</v>
      </c>
      <c r="P108" t="str">
        <v>Y</v>
      </c>
      <c r="S108" t="str">
        <v>Y</v>
      </c>
    </row>
    <row r="109" ht="14.25" customHeight="1">
      <c r="A109">
        <f>A108+1</f>
        <v>59</v>
      </c>
      <c r="B109" t="str">
        <v>Unlabeled SF assembly at Door 215 [Activity 1 - 215] Refer to 15/A10.2</v>
      </c>
      <c r="C109" t="str">
        <v>Y</v>
      </c>
      <c r="I109" s="8">
        <f>H109*F109</f>
        <v>0</v>
      </c>
      <c r="J109" t="str">
        <v>Y</v>
      </c>
      <c r="P109" t="str">
        <v>Y</v>
      </c>
      <c r="Q109" t="str">
        <v>SF-24</v>
      </c>
      <c r="S109" t="str">
        <v>Y</v>
      </c>
    </row>
    <row r="110" ht="14.25" customHeight="1">
      <c r="A110">
        <f>A109+1</f>
        <v>60</v>
      </c>
      <c r="B110" t="str">
        <v>Unlabled SF assembly at Door 216 [Activity 2 - 216] Refer to 12/A10.2</v>
      </c>
      <c r="C110" t="str">
        <v>Y</v>
      </c>
      <c r="I110" s="8">
        <f>H110*F110</f>
        <v>0</v>
      </c>
      <c r="J110" t="str">
        <v>N/OK!</v>
      </c>
      <c r="L110" s="8" t="str">
        <v>WD doors by others</v>
      </c>
      <c r="P110" t="str">
        <v>N/OK!</v>
      </c>
      <c r="R110" s="8" t="str">
        <v>WD doors by others</v>
      </c>
      <c r="S110" t="str">
        <v>N/OK!</v>
      </c>
      <c r="U110" s="8" t="str">
        <v>WD doors by others</v>
      </c>
    </row>
    <row r="111" ht="14.25" customHeight="1">
      <c r="A111">
        <f>A110+1</f>
        <v>61</v>
      </c>
      <c r="B111" t="str">
        <v>Door 103A aluminum frame</v>
      </c>
      <c r="C111" t="str">
        <v>Y</v>
      </c>
      <c r="I111" s="8">
        <f>H111*F111</f>
        <v>0</v>
      </c>
      <c r="J111" t="str">
        <v>N/OK!</v>
      </c>
      <c r="L111" s="8" t="str">
        <v>WD doors by others</v>
      </c>
      <c r="P111" t="str">
        <v>N/OK!</v>
      </c>
      <c r="R111" s="8" t="str">
        <v>WD doors by others</v>
      </c>
      <c r="S111" t="str">
        <v>N/OK!</v>
      </c>
      <c r="U111" s="8" t="str">
        <v>WD doors by others</v>
      </c>
    </row>
    <row r="112" ht="14.25" customHeight="1">
      <c r="A112">
        <f>A111+1</f>
        <v>62</v>
      </c>
      <c r="B112" t="str">
        <v>Door 103B aluminum frame</v>
      </c>
      <c r="C112" t="str">
        <v>Y</v>
      </c>
      <c r="I112" s="8">
        <f>H112*F112</f>
        <v>0</v>
      </c>
      <c r="J112" t="str">
        <v>N/OK!</v>
      </c>
      <c r="L112" s="8" t="str">
        <v>WD doors by others</v>
      </c>
      <c r="P112" t="str">
        <v>N/OK!</v>
      </c>
      <c r="R112" s="8" t="str">
        <v>WD doors by others</v>
      </c>
      <c r="S112" t="str">
        <v>N/OK!</v>
      </c>
      <c r="U112" s="8" t="str">
        <v>WD doors by others</v>
      </c>
    </row>
    <row r="113" ht="14.25" customHeight="1">
      <c r="A113">
        <f>A112+1</f>
        <v>63</v>
      </c>
      <c r="B113" t="str">
        <v>All embedded glazing at doors and frames</v>
      </c>
      <c r="C113" t="str">
        <v>Y</v>
      </c>
      <c r="I113" s="8">
        <f>H113*F113</f>
        <v>0</v>
      </c>
      <c r="J113" t="str">
        <v>N/OK!</v>
      </c>
      <c r="L113" s="8" t="str">
        <v>WD doors by others</v>
      </c>
      <c r="P113" t="str">
        <v>N/OK!</v>
      </c>
      <c r="R113" s="8" t="str">
        <v>WD doors by others</v>
      </c>
      <c r="S113" t="str">
        <v>N/OK!</v>
      </c>
      <c r="U113" s="8" t="str">
        <v>WD doors by others</v>
      </c>
    </row>
    <row r="114" ht="14.25" customHeight="1">
      <c r="A114">
        <f>A113+1</f>
        <v>64</v>
      </c>
      <c r="B114" t="str">
        <v>Door type FG</v>
      </c>
      <c r="C114" t="str">
        <v>Y</v>
      </c>
      <c r="I114" s="8">
        <f>H114*F114</f>
        <v>0</v>
      </c>
      <c r="J114" t="str">
        <v>N/OK!</v>
      </c>
      <c r="L114" s="8" t="str">
        <v>WD doors by others</v>
      </c>
      <c r="P114" t="str">
        <v>N/OK!</v>
      </c>
      <c r="R114" s="8" t="str">
        <v>WD doors by others</v>
      </c>
      <c r="S114" t="str">
        <v>N/OK!</v>
      </c>
      <c r="U114" s="8" t="str">
        <v>WD doors by others</v>
      </c>
    </row>
    <row r="115" ht="14.25" customHeight="1">
      <c r="A115">
        <f>A114+1</f>
        <v>65</v>
      </c>
      <c r="B115" t="str">
        <v>Door type N</v>
      </c>
      <c r="C115" t="str">
        <v>Y</v>
      </c>
      <c r="I115" s="8">
        <f>H115*F115</f>
        <v>0</v>
      </c>
      <c r="J115" t="str">
        <v>N/OK!</v>
      </c>
      <c r="L115" s="8" t="str">
        <v>WD doors by others</v>
      </c>
      <c r="P115" t="str">
        <v>N/OK!</v>
      </c>
      <c r="R115" s="8" t="str">
        <v>WD doors by others</v>
      </c>
      <c r="S115" t="str">
        <v>N/OK!</v>
      </c>
      <c r="U115" s="8" t="str">
        <v>WD doors by others</v>
      </c>
    </row>
    <row r="116" ht="14.25" customHeight="1">
      <c r="A116">
        <f>A115+1</f>
        <v>66</v>
      </c>
      <c r="B116" t="str">
        <v>Fire rated door type N</v>
      </c>
      <c r="C116" t="str">
        <v>Y</v>
      </c>
      <c r="I116" s="8">
        <f>H116*F116</f>
        <v>0</v>
      </c>
      <c r="J116" t="str">
        <v>Y</v>
      </c>
      <c r="P116" t="str">
        <v>Y</v>
      </c>
      <c r="S116" t="str">
        <v>Y</v>
      </c>
    </row>
    <row r="117" ht="14.25" customHeight="1">
      <c r="A117">
        <f>A116+1</f>
        <v>67</v>
      </c>
      <c r="B117" t="str">
        <v>Include window film as shown on drawings, specifications and and in finish schedule</v>
      </c>
      <c r="C117" t="str">
        <v>Y</v>
      </c>
      <c r="I117" s="8">
        <f>H117*F117</f>
        <v>0</v>
      </c>
      <c r="J117" t="str">
        <v>Y</v>
      </c>
      <c r="P117" t="str">
        <v>Y</v>
      </c>
      <c r="S117" t="str">
        <v>Y</v>
      </c>
    </row>
    <row r="118" ht="14.25" customHeight="1">
      <c r="A118">
        <f>A117+1</f>
        <v>68</v>
      </c>
      <c r="B118" t="str">
        <v>WF-01 at Fitness [106] Refer to 3 &amp; 5/A10.1</v>
      </c>
      <c r="C118" t="str">
        <v>Y</v>
      </c>
      <c r="I118" s="8">
        <f>H118*F118</f>
        <v>0</v>
      </c>
      <c r="J118" t="str">
        <v>Y</v>
      </c>
      <c r="P118" t="str">
        <v>Y</v>
      </c>
      <c r="S118" t="str">
        <v>Y</v>
      </c>
    </row>
    <row r="119" ht="14.25" customHeight="1">
      <c r="A119">
        <f>A118+1</f>
        <v>69</v>
      </c>
      <c r="B119" t="str">
        <v>WF-02 at Guard [110] Refer to 10/A10.1</v>
      </c>
      <c r="C119" t="str">
        <v>N</v>
      </c>
      <c r="I119" s="8">
        <f>H119*F119</f>
        <v>0</v>
      </c>
      <c r="J119" t="str">
        <v>N</v>
      </c>
      <c r="P119" t="str">
        <v>N</v>
      </c>
      <c r="S119" t="str">
        <v>N</v>
      </c>
    </row>
    <row r="120" ht="14.25" customHeight="1">
      <c r="A120">
        <f>A119+1</f>
        <v>70</v>
      </c>
    </row>
    <row r="121" ht="14.25" customHeight="1">
      <c r="A121">
        <f>A120+1</f>
        <v>71</v>
      </c>
      <c r="B121" t="str">
        <v>Refer to A4.1 for the Exterior Elevations</v>
      </c>
      <c r="C121" t="str">
        <v>Y</v>
      </c>
      <c r="I121" s="8">
        <f>H121*F121</f>
        <v>0</v>
      </c>
      <c r="J121" t="str">
        <v>Y</v>
      </c>
      <c r="P121" t="str">
        <v>Y</v>
      </c>
      <c r="S121" t="str">
        <v>Y</v>
      </c>
    </row>
    <row r="122" ht="14.25" customHeight="1">
      <c r="A122">
        <f>A121+1</f>
        <v>72</v>
      </c>
      <c r="B122" t="str">
        <v>Refer to A8.2 for the Door and Frame Type and Schedules</v>
      </c>
      <c r="C122" t="str">
        <v>Y</v>
      </c>
      <c r="I122" s="8">
        <f>H122*F122</f>
        <v>0</v>
      </c>
      <c r="J122" t="str">
        <v>Y</v>
      </c>
      <c r="P122" t="str">
        <v>Y</v>
      </c>
      <c r="S122" t="str">
        <v>Y</v>
      </c>
    </row>
    <row r="123" ht="14.25" customHeight="1">
      <c r="A123">
        <f>A122+1</f>
        <v>73</v>
      </c>
      <c r="B123" t="str">
        <v>Refer to A8.3 for the Window Types and Schedules</v>
      </c>
      <c r="C123" t="str">
        <v>Y</v>
      </c>
      <c r="I123" s="8">
        <f>H123*F123</f>
        <v>0</v>
      </c>
      <c r="J123" t="str">
        <v>Y</v>
      </c>
      <c r="P123" t="str">
        <v>Y</v>
      </c>
      <c r="S123" t="str">
        <v>Y</v>
      </c>
    </row>
    <row r="124" ht="14.25" customHeight="1">
      <c r="A124">
        <f>A123+1</f>
        <v>74</v>
      </c>
      <c r="B124" t="str">
        <v>Refer to A10.1 - A10.6 for the Interior Elevations</v>
      </c>
      <c r="C124" t="str">
        <v>Y</v>
      </c>
      <c r="I124" s="8">
        <f>H124*F124</f>
        <v>0</v>
      </c>
      <c r="J124" t="str">
        <v>Y</v>
      </c>
      <c r="P124" t="str">
        <v>Y</v>
      </c>
      <c r="S124" t="str">
        <v>Y</v>
      </c>
    </row>
    <row r="125" ht="14.25" customHeight="1">
      <c r="A125">
        <f>A124+1</f>
        <v>75</v>
      </c>
    </row>
    <row r="126" ht="14.25" customHeight="1">
      <c r="A126">
        <f>A125+1</f>
        <v>76</v>
      </c>
      <c r="B126" t="str">
        <v>STANDARD / GENERAL SCOPE</v>
      </c>
      <c r="C126" t="str">
        <v>Y</v>
      </c>
      <c r="I126" s="8">
        <f>H126*F126</f>
        <v>0</v>
      </c>
      <c r="J126" t="str">
        <v>Y</v>
      </c>
      <c r="P126" t="str">
        <v>Y</v>
      </c>
      <c r="S126" t="str">
        <v>Y</v>
      </c>
    </row>
    <row r="127" ht="14.25" customHeight="1">
      <c r="A127">
        <f>A126+1</f>
        <v>77</v>
      </c>
      <c r="B127" t="str">
        <v>All Document References for Windows</v>
      </c>
      <c r="C127" t="str">
        <v>Y</v>
      </c>
      <c r="I127" s="8">
        <f>H127*F127</f>
        <v>0</v>
      </c>
      <c r="J127" t="str">
        <v>Y</v>
      </c>
      <c r="P127" t="str">
        <v>Y</v>
      </c>
      <c r="S127" t="str">
        <v>Y</v>
      </c>
    </row>
    <row r="128" ht="14.25" customHeight="1">
      <c r="A128">
        <f>A127+1</f>
        <v>78</v>
      </c>
      <c r="B128" t="str">
        <v>Furnish and install aluminum curtain wall system</v>
      </c>
      <c r="C128" t="str">
        <v>Y</v>
      </c>
      <c r="I128" s="8">
        <f>H128*F128</f>
        <v>0</v>
      </c>
      <c r="J128" t="str">
        <v>Y</v>
      </c>
      <c r="P128" t="str">
        <v>Y</v>
      </c>
      <c r="S128" t="str">
        <v>Y</v>
      </c>
    </row>
    <row r="129" ht="14.25" customHeight="1">
      <c r="A129">
        <f>A128+1</f>
        <v>79</v>
      </c>
      <c r="B129" t="str">
        <v>Furnish and install aluminum-framed storefront system, ref. A1.1-1.2, A4.1, A6.1-6.3, A9.10</v>
      </c>
      <c r="C129" t="str">
        <v>Y</v>
      </c>
      <c r="I129" s="8">
        <f>H129*F129</f>
        <v>0</v>
      </c>
      <c r="J129" t="str">
        <v>Y</v>
      </c>
      <c r="P129" t="str">
        <v>Y</v>
      </c>
      <c r="S129" t="str">
        <v>Y</v>
      </c>
    </row>
    <row r="130" ht="14.25" customHeight="1">
      <c r="A130">
        <f>A129+1</f>
        <v>80</v>
      </c>
      <c r="B130" t="str">
        <v>Furnish and install aluminum storefront entrance doors, ref. A4.1, A6.4, A9.10</v>
      </c>
      <c r="C130" t="str">
        <v>Y</v>
      </c>
      <c r="I130" s="8">
        <f>H130*F130</f>
        <v>0</v>
      </c>
      <c r="J130" t="str">
        <v>Y</v>
      </c>
      <c r="P130" t="str">
        <v>Y</v>
      </c>
      <c r="S130" t="str">
        <v>Y</v>
      </c>
    </row>
    <row r="131" ht="14.25" customHeight="1">
      <c r="A131">
        <f>A130+1</f>
        <v>81</v>
      </c>
      <c r="B131" t="str">
        <v>Furnish and install butt glazed systems, ref. A8.3</v>
      </c>
      <c r="C131" t="str">
        <v>Y</v>
      </c>
      <c r="I131" s="8">
        <f>H131*F131</f>
        <v>0</v>
      </c>
      <c r="J131" t="str">
        <v>Y</v>
      </c>
      <c r="P131" t="str">
        <v>Y</v>
      </c>
      <c r="S131" t="str">
        <v>Y</v>
      </c>
    </row>
    <row r="132" ht="14.25" customHeight="1">
      <c r="A132">
        <f>A131+1</f>
        <v>82</v>
      </c>
      <c r="B132" t="str">
        <v>Furnish and install curtain wall and storefront systems, ref. A4.1, A6.1, A8.3, A9.2</v>
      </c>
      <c r="C132" t="str">
        <v>Y</v>
      </c>
      <c r="I132" s="8">
        <f>H132*F132</f>
        <v>0</v>
      </c>
      <c r="J132" t="str">
        <v>Y</v>
      </c>
      <c r="P132" t="str">
        <v>Y</v>
      </c>
      <c r="S132" t="str">
        <v>Y</v>
      </c>
    </row>
    <row r="133" ht="14.25" customHeight="1">
      <c r="A133">
        <f>A132+1</f>
        <v>83</v>
      </c>
      <c r="B133" t="str">
        <v>Furnish and Install decorative and security window film, ref. A10.1-10.2, A12.1</v>
      </c>
      <c r="C133" t="str">
        <v>Y</v>
      </c>
      <c r="I133" s="8">
        <f>H133*F133</f>
        <v>0</v>
      </c>
      <c r="J133" t="str">
        <v>Y</v>
      </c>
      <c r="P133" t="str">
        <v>Y</v>
      </c>
      <c r="S133" t="str">
        <v>Y</v>
      </c>
    </row>
    <row r="134" ht="14.25" customHeight="1">
      <c r="A134">
        <f>A133+1</f>
        <v>84</v>
      </c>
      <c r="B134" t="str">
        <v>Furnish and install GL-1 heat-strengthened glazing, ref. A8.3</v>
      </c>
      <c r="C134" t="str">
        <v>Y</v>
      </c>
      <c r="I134" s="8">
        <f>H134*F134</f>
        <v>0</v>
      </c>
      <c r="J134" t="str">
        <v>Y</v>
      </c>
      <c r="P134" t="str">
        <v>Y</v>
      </c>
      <c r="S134" t="str">
        <v>Y</v>
      </c>
    </row>
    <row r="135" ht="14.25" customHeight="1">
      <c r="A135">
        <f>A134+1</f>
        <v>85</v>
      </c>
      <c r="B135" t="str">
        <v>Furnish and Install GL-2, GL-3, GL-4, GL-6, GL-7 Glazing, ref. A8.3</v>
      </c>
      <c r="C135" t="str">
        <v>Y</v>
      </c>
      <c r="I135" s="8">
        <f>H135*F135</f>
        <v>0</v>
      </c>
      <c r="J135" t="str">
        <v>Y</v>
      </c>
      <c r="P135" t="str">
        <v>Y</v>
      </c>
      <c r="S135" t="str">
        <v>Y</v>
      </c>
    </row>
    <row r="136" ht="14.25" customHeight="1">
      <c r="A136">
        <f>A135+1</f>
        <v>86</v>
      </c>
      <c r="B136" t="str">
        <v>Furnish and install laminated and laminated insulated glazing, ref. A8.3</v>
      </c>
      <c r="C136" t="str">
        <v>Y</v>
      </c>
      <c r="I136" s="8">
        <f>H136*F136</f>
        <v>0</v>
      </c>
      <c r="J136" t="str">
        <v>Y</v>
      </c>
      <c r="P136" t="str">
        <v>Y</v>
      </c>
      <c r="S136" t="str">
        <v>Y</v>
      </c>
    </row>
    <row r="137" ht="14.25" customHeight="1">
      <c r="A137">
        <f>A136+1</f>
        <v>87</v>
      </c>
      <c r="B137" t="str">
        <v>Furnish and install unframed mirrors as shown, ref. A10.1-10.6</v>
      </c>
      <c r="C137" t="str">
        <v>Y</v>
      </c>
      <c r="I137" s="8">
        <f>H137*F137</f>
        <v>0</v>
      </c>
      <c r="J137" t="str">
        <v>Y</v>
      </c>
      <c r="P137" t="str">
        <v>Y</v>
      </c>
      <c r="S137" t="str">
        <v>Y</v>
      </c>
    </row>
    <row r="138" ht="14.25" customHeight="1">
      <c r="A138">
        <f>A137+1</f>
        <v>88</v>
      </c>
      <c r="B138" t="str">
        <v>Furnish and install transom componenets for the curtain wall systems as shown, ref. 13/A9.1</v>
      </c>
      <c r="C138" t="str">
        <v>Y</v>
      </c>
      <c r="I138" s="8">
        <f>H138*F138</f>
        <v>0</v>
      </c>
      <c r="J138" t="str">
        <v>Y</v>
      </c>
      <c r="P138" t="str">
        <v>Y</v>
      </c>
      <c r="S138" t="str">
        <v>Y</v>
      </c>
    </row>
    <row r="139" ht="14.25" customHeight="1">
      <c r="A139">
        <f>A138+1</f>
        <v>89</v>
      </c>
      <c r="B139" t="str">
        <v>Furnish and install complete main entry vestibule 101</v>
      </c>
      <c r="C139" t="str">
        <v>Y</v>
      </c>
      <c r="I139" s="8">
        <f>H139*F139</f>
        <v>0</v>
      </c>
      <c r="J139" t="str">
        <v>Y</v>
      </c>
      <c r="P139" t="str">
        <v>Y</v>
      </c>
      <c r="S139" t="str">
        <v>Y</v>
      </c>
    </row>
    <row r="140" ht="14.25" customHeight="1">
      <c r="A140">
        <f>A139+1</f>
        <v>90</v>
      </c>
      <c r="B140" t="str">
        <v>Provide glazing for doors and frames</v>
      </c>
      <c r="C140" t="str">
        <v>Y</v>
      </c>
      <c r="I140" s="8">
        <f>H140*F140</f>
        <v>0</v>
      </c>
      <c r="J140" t="str">
        <v>Y</v>
      </c>
      <c r="L140" s="8" t="str">
        <v>ALUM Only</v>
      </c>
      <c r="P140" t="str">
        <v>Y</v>
      </c>
      <c r="S140" t="str">
        <v>Y</v>
      </c>
    </row>
    <row r="141" ht="14.25" customHeight="1">
      <c r="A141">
        <f>A140+1</f>
        <v>91</v>
      </c>
      <c r="B141" t="str">
        <v>Provide head receivers and movement joints for deflection as needed, ref. A8.2-8.3</v>
      </c>
      <c r="C141" t="str">
        <v>Y</v>
      </c>
      <c r="I141" s="8">
        <f>H141*F141</f>
        <v>0</v>
      </c>
      <c r="J141" t="str">
        <v>Y</v>
      </c>
      <c r="P141" t="str">
        <v>Y</v>
      </c>
      <c r="Q141" t="str">
        <v>If rqrd</v>
      </c>
      <c r="S141" t="str">
        <v>Y</v>
      </c>
    </row>
    <row r="142" ht="14.25" customHeight="1">
      <c r="A142">
        <f>A141+1</f>
        <v>92</v>
      </c>
      <c r="B142" t="str">
        <v>Provide shims for aluminum frame installation, ref. A9.10</v>
      </c>
      <c r="C142" t="str">
        <v>Y</v>
      </c>
      <c r="I142" s="8">
        <f>H142*F142</f>
        <v>0</v>
      </c>
      <c r="J142" t="str">
        <v>Y</v>
      </c>
      <c r="P142" t="str">
        <v>Y</v>
      </c>
      <c r="S142" t="str">
        <v>Y</v>
      </c>
    </row>
    <row r="143" ht="14.25" customHeight="1">
      <c r="A143">
        <f>A142+1</f>
        <v>93</v>
      </c>
      <c r="B143" t="str">
        <v>Provide silicone sealant for butt joint glazing, ref. A9.3</v>
      </c>
      <c r="C143" t="str">
        <v>Y</v>
      </c>
      <c r="I143" s="8">
        <f>H143*F143</f>
        <v>0</v>
      </c>
      <c r="J143" t="str">
        <v>Y</v>
      </c>
      <c r="P143" t="str">
        <v>Y</v>
      </c>
      <c r="S143" t="str">
        <v>Y</v>
      </c>
    </row>
    <row r="144" ht="14.25" customHeight="1">
      <c r="A144">
        <f>A143+1</f>
        <v>94</v>
      </c>
      <c r="B144" t="str">
        <v>Provide all materials, tools, equipment, hoisting, supervision, etc. for this work</v>
      </c>
      <c r="C144" t="str">
        <v>Y</v>
      </c>
      <c r="I144" s="8">
        <f>H144*F144</f>
        <v>0</v>
      </c>
      <c r="J144" t="str">
        <v>Y</v>
      </c>
      <c r="P144" t="str">
        <v>Y</v>
      </c>
      <c r="S144" t="str">
        <v>Y</v>
      </c>
    </row>
    <row r="145" ht="14.25" customHeight="1">
      <c r="A145">
        <f>A144+1</f>
        <v>95</v>
      </c>
      <c r="B145" t="str">
        <v>Finishes of aluminum framing as specified on drawings and specifications</v>
      </c>
      <c r="C145" t="str">
        <v>Y</v>
      </c>
      <c r="I145" s="8">
        <f>H145*F145</f>
        <v>0</v>
      </c>
      <c r="J145" t="str">
        <v>Y</v>
      </c>
      <c r="P145" t="str">
        <v>Y</v>
      </c>
      <c r="S145" t="str">
        <v>Y</v>
      </c>
    </row>
    <row r="146" ht="14.25" customHeight="1">
      <c r="A146">
        <f>A145+1</f>
        <v>96</v>
      </c>
      <c r="B146" t="str">
        <v>Systems meet performance criteria outlined on drawings and specifications</v>
      </c>
      <c r="C146" t="str">
        <v>Y</v>
      </c>
      <c r="I146" s="8">
        <f>H146*F146</f>
        <v>0</v>
      </c>
      <c r="J146" t="str">
        <v>Y</v>
      </c>
      <c r="P146" t="str">
        <v>Y</v>
      </c>
      <c r="S146" t="str">
        <v>Y</v>
      </c>
    </row>
    <row r="147" ht="14.25" customHeight="1">
      <c r="A147">
        <f>A146+1</f>
        <v>97</v>
      </c>
      <c r="B147" t="str">
        <v>Provide design, engineering, labor, material, equipment, manufacturing, fabrication, supervision, and installation necessary for the complete installation for the structural sealant glazed gurtain wall systems</v>
      </c>
      <c r="C147" t="str">
        <v>Y</v>
      </c>
      <c r="I147" s="8">
        <f>H147*F147</f>
        <v>0</v>
      </c>
      <c r="J147" t="str">
        <v>Y</v>
      </c>
      <c r="P147" t="str">
        <v>Y</v>
      </c>
      <c r="S147" t="str">
        <v>Y</v>
      </c>
    </row>
    <row r="148" ht="14.25" customHeight="1">
      <c r="A148">
        <f>A147+1</f>
        <v>98</v>
      </c>
      <c r="B148" t="str">
        <v>Edge of slab firesfaing system, including but not limited to, curtail wall insulaiton, firesafing insulation, and firestopping between curtain wall and edge of slab</v>
      </c>
      <c r="C148" t="str">
        <v>N</v>
      </c>
      <c r="I148" s="8">
        <f>H148*F148</f>
        <v>0</v>
      </c>
      <c r="J148" t="str">
        <v>N</v>
      </c>
      <c r="P148" t="str">
        <v>N</v>
      </c>
      <c r="S148" t="str">
        <v>Y</v>
      </c>
    </row>
    <row r="149" ht="14.25" customHeight="1">
      <c r="A149">
        <f>A148+1</f>
        <v>99</v>
      </c>
      <c r="B149" t="str">
        <v>Provide protection at all sills, including stoll trim, as well as the bottom 4' of all vertical. Protection to be comprised of blue nitto tape and 1/8" corrugated plastic board or similar products. Maintenance and removal by MCN.</v>
      </c>
      <c r="C149" t="str">
        <v>Y</v>
      </c>
      <c r="I149" s="8">
        <f>H149*F149</f>
        <v>0</v>
      </c>
      <c r="J149" t="str">
        <v>Y</v>
      </c>
      <c r="L149" s="8">
        <v>9700</v>
      </c>
      <c r="P149" t="str">
        <v>Y</v>
      </c>
      <c r="S149" t="str">
        <v>Y</v>
      </c>
    </row>
    <row r="150" ht="14.25" customHeight="1">
      <c r="A150">
        <f>A149+1</f>
        <v>100</v>
      </c>
      <c r="B150" t="str">
        <v>Include all break metal infills at glazing systems</v>
      </c>
      <c r="C150" t="str">
        <v>Y</v>
      </c>
      <c r="I150" s="8">
        <f>H150*F150</f>
        <v>0</v>
      </c>
      <c r="J150" t="str">
        <v>Y</v>
      </c>
      <c r="P150" t="str">
        <v>Y</v>
      </c>
      <c r="S150" t="str">
        <v>N/A</v>
      </c>
    </row>
    <row r="151" ht="14.25" customHeight="1">
      <c r="A151">
        <f>A150+1</f>
        <v>101</v>
      </c>
      <c r="B151" t="str">
        <v>Include all aluminum sill extensions</v>
      </c>
      <c r="C151" t="str">
        <v>N</v>
      </c>
      <c r="I151" s="8">
        <f>H151*F151</f>
        <v>0</v>
      </c>
      <c r="J151" t="str">
        <v>N</v>
      </c>
      <c r="P151" t="str">
        <v>N</v>
      </c>
      <c r="S151" t="str">
        <v>N</v>
      </c>
    </row>
    <row r="152" ht="14.25" customHeight="1">
      <c r="A152">
        <f>A151+1</f>
        <v>102</v>
      </c>
      <c r="B152" t="str">
        <v>Include all aluminum blind pockets as shown on drawings</v>
      </c>
      <c r="C152" t="str">
        <v>Y</v>
      </c>
      <c r="I152" s="8">
        <f>H152*F152</f>
        <v>0</v>
      </c>
      <c r="J152" t="str">
        <v>N</v>
      </c>
      <c r="P152" t="str">
        <v>N</v>
      </c>
      <c r="S152" t="str">
        <v>N</v>
      </c>
    </row>
    <row r="153" ht="14.25" customHeight="1">
      <c r="A153">
        <f>A152+1</f>
        <v>103</v>
      </c>
      <c r="B153" t="str">
        <v>Include all mullion caps, fly-bys, and other aluminum accents at facades</v>
      </c>
      <c r="C153" t="str">
        <v>Y</v>
      </c>
      <c r="I153" s="8">
        <f>H153*F153</f>
        <v>0</v>
      </c>
      <c r="J153" t="str">
        <v>Y</v>
      </c>
      <c r="P153" t="str">
        <v>Y</v>
      </c>
      <c r="S153" t="str">
        <v>Y</v>
      </c>
    </row>
    <row r="154" ht="14.25" customHeight="1">
      <c r="A154">
        <f>A153+1</f>
        <v>104</v>
      </c>
      <c r="B154" t="str">
        <v>Include all head, jamb, and sill flashings adjacent to glazing systems</v>
      </c>
      <c r="C154" t="str">
        <v>Y</v>
      </c>
      <c r="I154" s="8">
        <f>H154*F154</f>
        <v>0</v>
      </c>
      <c r="J154" t="str">
        <v>Y</v>
      </c>
      <c r="P154" t="str">
        <v>Y</v>
      </c>
      <c r="S154" t="str">
        <v>Y</v>
      </c>
    </row>
    <row r="155" ht="14.25" customHeight="1">
      <c r="A155">
        <f>A154+1</f>
        <v>105</v>
      </c>
      <c r="B155" t="str">
        <v>Ensure compatibility of sealants with adjacent materials</v>
      </c>
      <c r="C155" t="str">
        <v>Y</v>
      </c>
      <c r="I155" s="8">
        <f>H155*F155</f>
        <v>0</v>
      </c>
      <c r="J155" t="str">
        <v>Y</v>
      </c>
      <c r="P155" t="str">
        <v>Y</v>
      </c>
      <c r="S155" t="str">
        <v>Y</v>
      </c>
    </row>
    <row r="156" ht="14.25" customHeight="1">
      <c r="A156">
        <f>A155+1</f>
        <v>106</v>
      </c>
      <c r="B156" t="str">
        <v>Provide cut-outs for work of other trades where necessary (drains, lighting, security, etc.)</v>
      </c>
      <c r="C156" t="str">
        <v>Y</v>
      </c>
      <c r="I156" s="8">
        <f>H156*F156</f>
        <v>0</v>
      </c>
      <c r="J156" t="str">
        <v>Y</v>
      </c>
      <c r="P156" t="str">
        <v>Y</v>
      </c>
      <c r="S156" t="str">
        <v>Y</v>
      </c>
    </row>
    <row r="157" ht="14.25" customHeight="1">
      <c r="A157">
        <f>A156+1</f>
        <v>107</v>
      </c>
      <c r="B157" t="str">
        <v>Provide overhead support/bracing for recessed vestibule/storefront systems as needed</v>
      </c>
      <c r="C157" t="str">
        <v>Y</v>
      </c>
      <c r="I157" s="8">
        <f>H157*F157</f>
        <v>0</v>
      </c>
      <c r="J157" t="str">
        <v>Y</v>
      </c>
      <c r="P157" t="str">
        <v>N</v>
      </c>
      <c r="Q157" t="str">
        <v>By misc metals</v>
      </c>
      <c r="S157" t="str">
        <v>Y</v>
      </c>
    </row>
    <row r="158" ht="14.25" customHeight="1">
      <c r="A158">
        <f>A157+1</f>
        <v>108</v>
      </c>
      <c r="B158" t="str">
        <v>Furnish embedded items for installation by others</v>
      </c>
      <c r="C158" t="str">
        <v>Y</v>
      </c>
      <c r="I158" s="8">
        <f>H158*F158</f>
        <v>0</v>
      </c>
      <c r="J158" t="str">
        <v>Y</v>
      </c>
      <c r="P158" t="str">
        <v>Y</v>
      </c>
      <c r="S158" t="str">
        <v>Y</v>
      </c>
    </row>
    <row r="159" ht="14.25" customHeight="1">
      <c r="A159">
        <f>A158+1</f>
        <v>109</v>
      </c>
      <c r="B159" t="str">
        <v>Perform welded/bolted connections to attach window systems to skin/structure</v>
      </c>
      <c r="C159" t="str">
        <v>Y</v>
      </c>
      <c r="I159" s="8">
        <f>H159*F159</f>
        <v>0</v>
      </c>
      <c r="J159" t="str">
        <v>Y</v>
      </c>
      <c r="P159" t="str">
        <v>Y</v>
      </c>
      <c r="S159" t="str">
        <v>Y</v>
      </c>
    </row>
    <row r="160" ht="14.25" customHeight="1">
      <c r="A160">
        <f>A159+1</f>
        <v>110</v>
      </c>
      <c r="B160" t="str">
        <v>Accessories to include glazing sealants, gaskets, joint fillers, glazing channels, stops, spacers, setting blocks, inserts, shims, weatherstipping, mastics, bituminous paint, primers, anchors, clips, fasteners, etc.</v>
      </c>
      <c r="C160" t="str">
        <v>Y</v>
      </c>
      <c r="I160" s="8">
        <f>H160*F160</f>
        <v>0</v>
      </c>
      <c r="J160" t="str">
        <v>Y</v>
      </c>
      <c r="P160" t="str">
        <v>Y</v>
      </c>
      <c r="S160" t="str">
        <v>Y</v>
      </c>
    </row>
    <row r="161" ht="14.25" customHeight="1">
      <c r="A161">
        <f>A160+1</f>
        <v>111</v>
      </c>
      <c r="B161" t="str">
        <v>Clean up to MCN dumpster</v>
      </c>
      <c r="C161" t="str">
        <v>Y</v>
      </c>
      <c r="I161" s="8">
        <f>H161*F161</f>
        <v>0</v>
      </c>
      <c r="J161" t="str">
        <v>Y</v>
      </c>
      <c r="P161" t="str">
        <v>Y</v>
      </c>
      <c r="S161" t="str">
        <v>Y</v>
      </c>
    </row>
    <row r="162" ht="14.25" customHeight="1">
      <c r="A162">
        <f>A161+1</f>
        <v>112</v>
      </c>
      <c r="B162" t="str">
        <v>Shop drawings, samples, product data, certs, etc.</v>
      </c>
      <c r="C162" t="str">
        <v>Y</v>
      </c>
      <c r="I162" s="8">
        <f>H162*F162</f>
        <v>0</v>
      </c>
      <c r="J162" t="str">
        <v>Y</v>
      </c>
      <c r="P162" t="str">
        <v>Y</v>
      </c>
      <c r="S162" t="str">
        <v>Y</v>
      </c>
    </row>
    <row r="163" ht="14.25" customHeight="1">
      <c r="A163">
        <f>A162+1</f>
        <v>113</v>
      </c>
    </row>
    <row r="164" ht="14.25" customHeight="1">
      <c r="A164">
        <f>A163+1</f>
        <v>114</v>
      </c>
      <c r="B164" t="str">
        <v>LEED Issues:</v>
      </c>
      <c r="C164" t="str">
        <v>Y</v>
      </c>
      <c r="I164" s="8">
        <f>H164*F164</f>
        <v>0</v>
      </c>
    </row>
    <row r="165" ht="14.25" customHeight="1">
      <c r="A165">
        <f>A164+1</f>
        <v>115</v>
      </c>
      <c r="B165" t="str">
        <v>Formaldehyde and heavy metal free VOC compliant sealants</v>
      </c>
      <c r="C165" t="str">
        <v>Y</v>
      </c>
      <c r="I165" s="8">
        <f>H165*F165</f>
        <v>0</v>
      </c>
    </row>
    <row r="166" ht="14.25" customHeight="1">
      <c r="A166">
        <f>A165+1</f>
        <v>116</v>
      </c>
      <c r="B166" t="str">
        <v>Fabrication from within 500 mile radius</v>
      </c>
      <c r="C166" t="str">
        <v>Y</v>
      </c>
      <c r="I166" s="8">
        <f>H166*F166</f>
        <v>0</v>
      </c>
    </row>
    <row r="167" ht="14.25" customHeight="1">
      <c r="A167">
        <f>A166+1</f>
        <v>117</v>
      </c>
      <c r="B167" t="str">
        <v>LEED documentation</v>
      </c>
      <c r="C167" t="str">
        <v>Y</v>
      </c>
      <c r="I167" s="8">
        <f>H167*F167</f>
        <v>0</v>
      </c>
    </row>
    <row r="168" ht="14.25" customHeight="1"/>
    <row r="169" ht="14.25" customHeight="1">
      <c r="A169" t="str">
        <v>C</v>
      </c>
      <c r="B169" t="str">
        <v>Exclusions</v>
      </c>
    </row>
    <row r="170" ht="14.25" customHeight="1">
      <c r="A170">
        <v>1</v>
      </c>
      <c r="B170" t="str">
        <v>Structural steel support/back-up for curtainwall systems</v>
      </c>
      <c r="C170" t="str">
        <v>N</v>
      </c>
      <c r="D170" t="str">
        <v xml:space="preserve"> by metals </v>
      </c>
    </row>
    <row r="171" ht="14.25" customHeight="1">
      <c r="A171">
        <f>A170+1</f>
        <v>2</v>
      </c>
      <c r="B171" t="str">
        <v>Glass railing systems</v>
      </c>
      <c r="C171" t="str">
        <v>N</v>
      </c>
      <c r="D171" t="str">
        <v xml:space="preserve"> by ornamental </v>
      </c>
    </row>
    <row r="172" ht="14.25" customHeight="1">
      <c r="A172">
        <f>A171+1</f>
        <v>3</v>
      </c>
      <c r="B172" t="str">
        <v>Wood blocking and plywood</v>
      </c>
      <c r="C172" t="str">
        <v>N</v>
      </c>
      <c r="D172" t="str">
        <v xml:space="preserve"> by carpentry </v>
      </c>
    </row>
    <row r="173" ht="14.25" customHeight="1">
      <c r="A173">
        <f>A172+1</f>
        <v>4</v>
      </c>
      <c r="B173" t="str">
        <v>Caulking at interior side of exterior window systems</v>
      </c>
      <c r="C173" t="str">
        <v>N</v>
      </c>
      <c r="D173" t="str">
        <v xml:space="preserve"> by caulking </v>
      </c>
    </row>
    <row r="174" ht="14.25" customHeight="1">
      <c r="A174">
        <f>A173+1</f>
        <v>5</v>
      </c>
      <c r="B174" t="str">
        <v>Stud framing, sheathing and vapor barriers</v>
      </c>
      <c r="C174" t="str">
        <v>N</v>
      </c>
      <c r="D174" t="str">
        <v xml:space="preserve"> by drywall </v>
      </c>
    </row>
    <row r="175" ht="14.25" customHeight="1">
      <c r="A175">
        <f>A174+1</f>
        <v>6</v>
      </c>
      <c r="B175" t="str">
        <v>Work in elevator cabs</v>
      </c>
      <c r="C175" t="str">
        <v>N</v>
      </c>
      <c r="D175" t="str">
        <v xml:space="preserve"> by elevator </v>
      </c>
    </row>
    <row r="176" ht="14.25" customHeight="1"/>
    <row r="177" ht="14.25" customHeight="1">
      <c r="A177" t="str">
        <v>D</v>
      </c>
      <c r="B177" t="str">
        <v>Schedule</v>
      </c>
    </row>
    <row r="178" ht="14.25" customHeight="1">
      <c r="A178">
        <v>1</v>
      </c>
      <c r="B178" t="str">
        <v>Meet MCN Schedule</v>
      </c>
      <c r="C178" t="str">
        <v>Y</v>
      </c>
    </row>
    <row r="179" ht="14.25" customHeight="1">
      <c r="A179">
        <f>A178+1</f>
        <v>2</v>
      </c>
      <c r="B179" t="str">
        <v>Advise of Durations</v>
      </c>
    </row>
    <row r="180" ht="14.25" customHeight="1">
      <c r="A180">
        <f>A179+1</f>
        <v>3</v>
      </c>
      <c r="B180" t="str">
        <v>Activity 1</v>
      </c>
      <c r="C180" t="str">
        <v>---&gt;</v>
      </c>
    </row>
    <row r="181" ht="14.25" customHeight="1">
      <c r="A181">
        <f>A180+1</f>
        <v>4</v>
      </c>
      <c r="B181" t="str">
        <v>Activity 2</v>
      </c>
      <c r="C181" t="str">
        <v>---&gt;</v>
      </c>
    </row>
    <row r="182" ht="14.25" customHeight="1">
      <c r="A182">
        <f>A181+1</f>
        <v>5</v>
      </c>
      <c r="B182" t="str">
        <v>Activity 3</v>
      </c>
      <c r="C182" t="str">
        <v>---&gt;</v>
      </c>
    </row>
    <row r="183" ht="14.25" customHeight="1">
      <c r="A183">
        <f>A182+1</f>
        <v>6</v>
      </c>
      <c r="B183" t="str">
        <v>Duration for Submittals and Shop Drawings</v>
      </c>
      <c r="C183" t="str">
        <v>---&gt;</v>
      </c>
    </row>
    <row r="184" ht="14.25" customHeight="1">
      <c r="A184">
        <f>A183+1</f>
        <v>7</v>
      </c>
      <c r="B184" t="str">
        <v>Advise of Lead Times:</v>
      </c>
    </row>
    <row r="185" ht="14.25" customHeight="1">
      <c r="A185">
        <f>A184+1</f>
        <v>8</v>
      </c>
      <c r="B185" t="str">
        <v>Material 1</v>
      </c>
      <c r="C185" t="str">
        <v>---&gt;</v>
      </c>
    </row>
    <row r="186" ht="14.25" customHeight="1">
      <c r="A186">
        <f>A185+1</f>
        <v>9</v>
      </c>
      <c r="B186" t="str">
        <v>Material 2</v>
      </c>
      <c r="C186" t="str">
        <v>---&gt;</v>
      </c>
    </row>
    <row r="187" ht="14.25" customHeight="1">
      <c r="A187">
        <f>A186+1</f>
        <v>10</v>
      </c>
      <c r="B187" t="str">
        <v>Material 3</v>
      </c>
      <c r="C187" t="str">
        <v>---&gt;</v>
      </c>
    </row>
    <row r="188" ht="14.25" customHeight="1"/>
    <row r="189" ht="14.25" customHeight="1"/>
    <row r="190" ht="14.25" customHeight="1">
      <c r="B190" t="str">
        <v>Allowances</v>
      </c>
    </row>
    <row r="191" ht="14.25" customHeight="1">
      <c r="A191">
        <v>1</v>
      </c>
    </row>
    <row r="192" ht="14.25" customHeight="1">
      <c r="A192">
        <f>A191+1</f>
        <v>2</v>
      </c>
    </row>
    <row r="193" ht="14.25" customHeight="1">
      <c r="A193">
        <f>A192+1</f>
        <v>3</v>
      </c>
    </row>
    <row r="194" ht="14.25" customHeight="1">
      <c r="A194">
        <f>A193+1</f>
        <v>4</v>
      </c>
    </row>
    <row r="195" ht="14.25" customHeight="1"/>
    <row r="196" ht="14.25" customHeight="1"/>
    <row r="197" ht="14.25" customHeight="1">
      <c r="B197" t="str">
        <v>Alternates</v>
      </c>
    </row>
    <row r="198" ht="14.25" customHeight="1">
      <c r="A198">
        <v>1</v>
      </c>
      <c r="B198" t="str">
        <v>Storefront performance mock-up</v>
      </c>
      <c r="C198" t="str">
        <v>#</v>
      </c>
      <c r="U198" s="8">
        <v>47320</v>
      </c>
    </row>
    <row r="199" ht="14.25" customHeight="1">
      <c r="A199">
        <f>A198+1</f>
        <v>2</v>
      </c>
      <c r="C199" t="str">
        <v>#</v>
      </c>
    </row>
    <row r="200" ht="14.25" customHeight="1">
      <c r="A200">
        <f>A199+1</f>
        <v>3</v>
      </c>
      <c r="C200" t="str">
        <v>#</v>
      </c>
    </row>
    <row r="201" ht="14.25" customHeight="1">
      <c r="A201">
        <f>A200+1</f>
        <v>4</v>
      </c>
      <c r="C201" t="str">
        <v>#</v>
      </c>
    </row>
    <row r="202" ht="14.25" customHeight="1">
      <c r="C202" t="str">
        <v>#</v>
      </c>
    </row>
    <row r="203" ht="14.25" customHeight="1">
      <c r="B203" t="str">
        <v>Unit Prices</v>
      </c>
    </row>
    <row r="204" ht="14.25" customHeight="1">
      <c r="A204">
        <v>1</v>
      </c>
      <c r="C204" t="str">
        <v>#</v>
      </c>
    </row>
    <row r="205" ht="14.25" customHeight="1">
      <c r="A205">
        <f>A204+1</f>
        <v>2</v>
      </c>
      <c r="C205" t="str">
        <v>#</v>
      </c>
    </row>
    <row r="206" ht="14.25" customHeight="1">
      <c r="A206">
        <f>A205+1</f>
        <v>3</v>
      </c>
      <c r="C206" t="str">
        <v>#</v>
      </c>
    </row>
    <row r="207" ht="14.25" customHeight="1">
      <c r="A207">
        <f>A206+1</f>
        <v>4</v>
      </c>
      <c r="C207" t="str">
        <v>#</v>
      </c>
    </row>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N3" r:id="rId1"/>
    <hyperlink ref="Q3" r:id="rId2"/>
    <hyperlink ref="T3" r:id="rId3"/>
    <hyperlink ref="K4" r:id="rId4"/>
  </hyperlinks>
  <pageMargins left="0.7" right="0.7" top="0.25" bottom="0.75" header="0" footer="0"/>
  <ignoredErrors>
    <ignoredError numberStoredAsText="1" sqref="A1:AO1000"/>
  </ignoredErrors>
</worksheet>
</file>

<file path=xl/worksheets/sheet2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87.86"/>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Uniconstruction</v>
      </c>
      <c r="N1" t="str">
        <v>Dynamic Contracting</v>
      </c>
      <c r="Q1" t="str">
        <v xml:space="preserve">District Construction </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Roy Chaaban</v>
      </c>
      <c r="N2" t="str">
        <v>Luis Cartagena</v>
      </c>
      <c r="Q2" t="str">
        <v>Melvin Vasquez</v>
      </c>
      <c r="T2" t="str">
        <v>Name</v>
      </c>
      <c r="W2" t="str">
        <v>Name</v>
      </c>
      <c r="Z2" t="str">
        <v>Name</v>
      </c>
      <c r="AC2" t="str">
        <v>Name</v>
      </c>
      <c r="AH2" t="str">
        <v>MCN</v>
      </c>
      <c r="AM2" s="8">
        <f>I9</f>
        <v>0</v>
      </c>
    </row>
    <row r="3" ht="14.25" customHeight="1" outlineLevel="1">
      <c r="I3" t="str">
        <v>Email:</v>
      </c>
      <c r="K3" t="str">
        <v>roy@uniconstruction</v>
      </c>
      <c r="N3" t="str">
        <v>estimating@jpcontinc.com</v>
      </c>
      <c r="Q3" t="str">
        <v>melvin@districtconstruction.com</v>
      </c>
      <c r="T3" t="str">
        <v>Email</v>
      </c>
      <c r="W3" t="str">
        <v>Email</v>
      </c>
      <c r="Z3" t="str">
        <v>Email</v>
      </c>
      <c r="AC3" t="str">
        <v>Email</v>
      </c>
      <c r="AH3">
        <v>1</v>
      </c>
      <c r="AI3" t="str">
        <f>IFNA(INDEX($K$1:$AE$1,1,MATCH($AH3,$K$10:$AE$10,0)),"")</f>
        <v>Uniconstruction</v>
      </c>
      <c r="AJ3" s="3">
        <f t="array" ref="AJ3">IFNA(INDEX($K$6:$AE$6,1,MATCH($AH3,$K$10:$AE$10,0)+1),"")</f>
        <v>798303</v>
      </c>
      <c r="AK3" s="3">
        <f t="array" ref="AK3">IFNA(INDEX($K$7:$AE$7,1,MATCH($AH3,$K$10:$AE$10,0)+1),"")</f>
        <v>0</v>
      </c>
      <c r="AL3" s="3">
        <f t="array" ref="AL3">IFNA(INDEX($K$8:$AE$8,1,MATCH($AH3,$K$10:$AE$10,0)+1),"")</f>
        <v>15966.06</v>
      </c>
      <c r="AM3" s="3">
        <f t="array" ref="AM3">IFNA(INDEX($K$9:$AE$9,1,MATCH($AH3,$K$10:$AE$10,0)+1),"")</f>
        <v>814269.06</v>
      </c>
      <c r="AO3" s="9">
        <f>IFERROR(AN3*AM3,0)</f>
        <v>0</v>
      </c>
    </row>
    <row r="4" ht="14.25" customHeight="1" outlineLevel="1">
      <c r="A4" t="str">
        <v>Trade:</v>
      </c>
      <c r="B4" t="str">
        <v>09 - DRYWALL &amp; CEILINGS</v>
      </c>
      <c r="I4" t="str">
        <v>Phone:</v>
      </c>
      <c r="K4" t="str">
        <v>804-666-1945</v>
      </c>
      <c r="N4" t="str">
        <v>703-898-3836</v>
      </c>
      <c r="Q4" t="str">
        <v>301-674-6429</v>
      </c>
      <c r="T4" t="str">
        <v>Number</v>
      </c>
      <c r="W4" t="str">
        <v>Number</v>
      </c>
      <c r="Z4" t="str">
        <v>Number</v>
      </c>
      <c r="AC4" t="str">
        <v>Number</v>
      </c>
      <c r="AH4">
        <v>2</v>
      </c>
      <c r="AI4" t="str">
        <f>IFNA(INDEX($K$1:$AE$1,1,MATCH($AH4,$K$10:$AE$10,0)),"")</f>
        <v>Dynamic Contracting</v>
      </c>
      <c r="AJ4" s="3">
        <f t="array" ref="AJ4">IFNA(INDEX($K$6:$AE$6,1,MATCH($AH4,$K$10:$AE$10,0)+1),"")</f>
        <v>1105981</v>
      </c>
      <c r="AK4" s="3">
        <f t="array" ref="AK4">IFNA(INDEX($K$7:$AE$7,1,MATCH($AH4,$K$10:$AE$10,0)+1),"")</f>
        <v>78054</v>
      </c>
      <c r="AL4" s="3">
        <f t="array" ref="AL4">IFNA(INDEX($K$8:$AE$8,1,MATCH($AH4,$K$10:$AE$10,0)+1),"")</f>
        <v>23680.7</v>
      </c>
      <c r="AM4" s="3">
        <f t="array" ref="AM4">IFNA(INDEX($K$9:$AE$9,1,MATCH($AH4,$K$10:$AE$10,0)+1),"")</f>
        <v>1207715.7</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798303</v>
      </c>
      <c r="N6" t="str">
        <v>Base Bid:</v>
      </c>
      <c r="O6" s="4">
        <v>1105981</v>
      </c>
      <c r="Q6" t="str">
        <v>Base Bid:</v>
      </c>
      <c r="R6" s="4">
        <v>1247628</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Nija Thomas </v>
      </c>
      <c r="C7" t="str">
        <v>Contact:</v>
      </c>
      <c r="G7" s="8" t="str">
        <v>| MCN Budget</v>
      </c>
      <c r="I7" s="8">
        <f>SUM(I20:I186,I13:I18)</f>
        <v>0</v>
      </c>
      <c r="K7" t="str">
        <v>Adjustments:</v>
      </c>
      <c r="L7" s="4">
        <f>SUM(L13:L18,L20:L186)</f>
        <v>0</v>
      </c>
      <c r="N7" t="str">
        <v>Adjustments:</v>
      </c>
      <c r="O7" s="4">
        <f>SUM(O13:O18,O20:O186)</f>
        <v>78054</v>
      </c>
      <c r="Q7" t="str">
        <v>Adjustments:</v>
      </c>
      <c r="R7" s="4">
        <f>SUM(R13:R18,R20:R186)</f>
        <v>-45000</v>
      </c>
      <c r="T7" t="str">
        <v>Adjustments:</v>
      </c>
      <c r="U7" s="4">
        <f>SUM(U13:U18,U20:U186)</f>
        <v>0</v>
      </c>
      <c r="W7" t="str">
        <v>Adjustments:</v>
      </c>
      <c r="X7" s="4">
        <f>SUM(X13:X18,X20:X186)</f>
        <v>0</v>
      </c>
      <c r="Z7" t="str">
        <v>Adjustments:</v>
      </c>
      <c r="AA7" s="4">
        <f>SUM(AA13:AA18,AA20:AA186)</f>
        <v>0</v>
      </c>
      <c r="AC7" t="str">
        <v>Adjustments:</v>
      </c>
      <c r="AD7" s="4">
        <f>SUM(AD13:AD18,AD20:AD186)</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15966.06</v>
      </c>
      <c r="M8" s="10">
        <v>0.02</v>
      </c>
      <c r="N8" t="str">
        <v>Bond:</v>
      </c>
      <c r="O8" s="4">
        <f>M8*SUM(O6:O7)</f>
        <v>23680.7</v>
      </c>
      <c r="P8" s="10">
        <v>0.02</v>
      </c>
      <c r="Q8" t="str">
        <v>Bond:</v>
      </c>
      <c r="R8" s="4">
        <f>P8*SUM(R6:R7)</f>
        <v>24052.56</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814269.06</v>
      </c>
      <c r="N9" t="str">
        <v>Total Bid:</v>
      </c>
      <c r="O9" s="4">
        <f>IF(O5="FULL SCOPE",SUM(O6:O8),"not level")</f>
        <v>1207715.7</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K16" t="str">
        <v>Sent email to inquire about SOW items</v>
      </c>
      <c r="N16" t="str">
        <v>Sent email to inquire about SOW items</v>
      </c>
    </row>
    <row r="17" ht="14.25" customHeight="1"/>
    <row r="18" ht="14.25" customHeight="1">
      <c r="B18" t="str">
        <v>Section 2 - Bid Breakdown</v>
      </c>
    </row>
    <row r="19" ht="14.25" customHeight="1">
      <c r="A19">
        <v>1</v>
      </c>
      <c r="B19" t="str">
        <v xml:space="preserve">Base Bid (Complete Package) </v>
      </c>
      <c r="C19" t="str">
        <v>#</v>
      </c>
      <c r="D19" t="str">
        <v>$</v>
      </c>
      <c r="F19" t="str">
        <v>xxx</v>
      </c>
      <c r="G19" t="str">
        <v>xx</v>
      </c>
      <c r="H19" s="8" t="str">
        <v>xxx</v>
      </c>
      <c r="I19" s="8" t="str">
        <v>xxx</v>
      </c>
      <c r="J19" t="str">
        <v>Y</v>
      </c>
      <c r="L19" s="8">
        <v>798303</v>
      </c>
      <c r="M19" t="str">
        <v>Y</v>
      </c>
      <c r="N19" t="str">
        <v>Tax Incl</v>
      </c>
      <c r="O19" s="8">
        <v>1105981</v>
      </c>
      <c r="P19" t="str">
        <v>Y</v>
      </c>
      <c r="Q19" t="str">
        <v>Taxes excluded</v>
      </c>
      <c r="R19" s="8">
        <v>1247628</v>
      </c>
      <c r="U19" s="8" t="str">
        <f>U6</f>
        <v/>
      </c>
      <c r="X19" s="8" t="str">
        <f>X6</f>
        <v/>
      </c>
      <c r="AA19" s="8" t="str">
        <f>AA6</f>
        <v/>
      </c>
      <c r="AD19" s="8" t="str">
        <f>AD6</f>
        <v/>
      </c>
    </row>
    <row r="20" ht="14.25" customHeight="1">
      <c r="A20">
        <f>A19+1</f>
        <v>2</v>
      </c>
      <c r="B20" t="str">
        <v xml:space="preserve">Tax Deduct (if applicable) </v>
      </c>
      <c r="I20" s="8">
        <f>H20*F20</f>
        <v>0</v>
      </c>
      <c r="M20" t="str">
        <v>Y</v>
      </c>
      <c r="N20" t="str">
        <v xml:space="preserve">DEDUCT </v>
      </c>
      <c r="O20" s="8">
        <v>-20100</v>
      </c>
    </row>
    <row r="21" ht="14.25" customHeight="1">
      <c r="A21">
        <f>A20+1</f>
        <v>3</v>
      </c>
      <c r="B21" t="str">
        <v>Key Cost Breakdown</v>
      </c>
    </row>
    <row r="22" ht="14.25" customHeight="1">
      <c r="A22">
        <f>A21+1</f>
        <v>4</v>
      </c>
      <c r="B22" t="str">
        <v xml:space="preserve">Partitions, Framing, and Sheathing </v>
      </c>
      <c r="C22" t="str">
        <v>#</v>
      </c>
      <c r="D22" t="str">
        <v>$</v>
      </c>
      <c r="I22" s="8">
        <f>H22*F22</f>
        <v>0</v>
      </c>
      <c r="J22" t="str">
        <v>Y</v>
      </c>
      <c r="K22" s="9">
        <v>594853</v>
      </c>
      <c r="M22" t="str">
        <v>Y</v>
      </c>
      <c r="P22" t="str">
        <v>Y</v>
      </c>
    </row>
    <row r="23" ht="14.25" customHeight="1">
      <c r="A23">
        <f>A22+1</f>
        <v>5</v>
      </c>
      <c r="B23" t="str">
        <v xml:space="preserve">Acoustical Ceilings </v>
      </c>
      <c r="C23" t="str">
        <v>#</v>
      </c>
      <c r="D23" t="str">
        <v>$</v>
      </c>
      <c r="I23" s="8">
        <f>H23*F23</f>
        <v>0</v>
      </c>
      <c r="J23" t="str">
        <v>Y</v>
      </c>
      <c r="K23" s="9">
        <v>105000</v>
      </c>
      <c r="M23" t="str">
        <v>Y</v>
      </c>
      <c r="P23" t="str">
        <v>Y</v>
      </c>
    </row>
    <row r="24" ht="14.25" customHeight="1">
      <c r="A24">
        <v>6</v>
      </c>
      <c r="B24" t="str">
        <v xml:space="preserve">FRP Panels </v>
      </c>
      <c r="C24" t="str">
        <v>#</v>
      </c>
      <c r="D24" t="str">
        <v>$</v>
      </c>
      <c r="I24" s="8">
        <v>0</v>
      </c>
      <c r="J24" t="str">
        <v>Y</v>
      </c>
      <c r="K24" s="9">
        <v>20000</v>
      </c>
      <c r="M24" t="str">
        <v>Y</v>
      </c>
      <c r="P24" t="str">
        <v>Y</v>
      </c>
    </row>
    <row r="25" ht="14.25" customHeight="1">
      <c r="A25">
        <v>7</v>
      </c>
      <c r="B25" t="str">
        <v xml:space="preserve">Sound Absorbing Wall Units </v>
      </c>
      <c r="C25" t="str">
        <v>#</v>
      </c>
      <c r="D25" t="str">
        <v>$</v>
      </c>
      <c r="I25" s="8">
        <f>H25*F25</f>
        <v>0</v>
      </c>
      <c r="J25" t="str">
        <v>Y</v>
      </c>
      <c r="K25" s="9">
        <v>25000</v>
      </c>
      <c r="M25" t="str">
        <v>Y</v>
      </c>
      <c r="P25" t="str">
        <v>Y</v>
      </c>
    </row>
    <row r="26" ht="14.25" customHeight="1">
      <c r="A26">
        <v>8</v>
      </c>
      <c r="B26" t="str">
        <v xml:space="preserve">Corner Guards (Installation Only) </v>
      </c>
      <c r="C26" t="str">
        <v>#</v>
      </c>
      <c r="D26" t="str">
        <v>$</v>
      </c>
      <c r="I26" s="8">
        <f>H26*F26</f>
        <v>0</v>
      </c>
      <c r="J26" t="str">
        <v>N</v>
      </c>
      <c r="K26" s="9" t="str">
        <v>w/Div 10</v>
      </c>
      <c r="M26" t="str">
        <v>N</v>
      </c>
      <c r="N26" t="str">
        <v>W/Div 10</v>
      </c>
      <c r="P26" t="str">
        <v>N</v>
      </c>
      <c r="Q26" t="str">
        <v>W/Div 10</v>
      </c>
    </row>
    <row r="27" ht="14.25" customHeight="1">
      <c r="A27">
        <v>9</v>
      </c>
      <c r="B27" t="str">
        <v xml:space="preserve">Rough Carpentry (In-Wall Blocking/Strapping/Etc) </v>
      </c>
      <c r="C27" t="str">
        <v>#</v>
      </c>
      <c r="D27" t="str">
        <v>$</v>
      </c>
      <c r="I27" s="8">
        <f>H27*F27</f>
        <v>0</v>
      </c>
      <c r="J27" t="str">
        <v>Y</v>
      </c>
      <c r="K27" s="9">
        <v>34000</v>
      </c>
      <c r="M27" t="str">
        <v>Y</v>
      </c>
      <c r="P27" t="str">
        <v>Y</v>
      </c>
    </row>
    <row r="28" ht="14.25" customHeight="1">
      <c r="A28">
        <v>10</v>
      </c>
      <c r="B28" t="str">
        <v xml:space="preserve">Installation of Item. Furnished by Others (DFH, DIV 10 (TA, FEC)) </v>
      </c>
      <c r="C28" t="str">
        <v>#</v>
      </c>
      <c r="D28" t="str">
        <v>$</v>
      </c>
      <c r="I28" s="8">
        <v>0</v>
      </c>
      <c r="J28" t="str">
        <v>Y</v>
      </c>
      <c r="K28" s="9">
        <v>19450</v>
      </c>
      <c r="M28" t="str">
        <v>Y</v>
      </c>
      <c r="P28" t="str">
        <v>Y</v>
      </c>
    </row>
    <row r="29" ht="14.25" customHeight="1">
      <c r="A29">
        <v>11</v>
      </c>
      <c r="B29" t="str">
        <v xml:space="preserve">Installation of brick ties </v>
      </c>
      <c r="C29" t="str">
        <v>#</v>
      </c>
      <c r="D29" t="str">
        <v>$</v>
      </c>
      <c r="J29" t="str">
        <v xml:space="preserve">N </v>
      </c>
      <c r="K29" t="str">
        <v>Excluded</v>
      </c>
      <c r="M29" t="str">
        <v>Y</v>
      </c>
      <c r="N29" t="str">
        <v xml:space="preserve">DEDUCT </v>
      </c>
      <c r="O29" s="8">
        <v>-22767</v>
      </c>
      <c r="P29" t="str">
        <v>Y</v>
      </c>
      <c r="Q29" t="str">
        <v>DEDUCT</v>
      </c>
      <c r="R29" s="8">
        <v>-45000</v>
      </c>
    </row>
    <row r="30" ht="14.25" customHeight="1">
      <c r="A30">
        <v>12</v>
      </c>
      <c r="B30" t="str">
        <v>Key Quantity Breakdown</v>
      </c>
    </row>
    <row r="31" ht="14.25" customHeight="1">
      <c r="A31">
        <v>13</v>
      </c>
      <c r="B31" t="str">
        <v xml:space="preserve">Partitions, Framing, and Sheathing </v>
      </c>
      <c r="C31" t="str">
        <v>#</v>
      </c>
      <c r="D31" t="str">
        <v>LF/SF</v>
      </c>
      <c r="I31" s="8">
        <f>H31*F31</f>
        <v>0</v>
      </c>
      <c r="J31" t="str">
        <v>Y</v>
      </c>
      <c r="K31" s="14">
        <v>4300</v>
      </c>
      <c r="M31" t="str">
        <v>Y</v>
      </c>
      <c r="P31" t="str">
        <v>Y</v>
      </c>
    </row>
    <row r="32" ht="14.25" customHeight="1">
      <c r="A32">
        <v>14</v>
      </c>
      <c r="B32" t="str">
        <v xml:space="preserve">Acoustical Ceilings </v>
      </c>
      <c r="C32" t="str">
        <v>#</v>
      </c>
      <c r="D32" t="str">
        <v>SF</v>
      </c>
      <c r="I32" s="8">
        <f>H32*F32</f>
        <v>0</v>
      </c>
      <c r="J32" t="str">
        <v>Y</v>
      </c>
      <c r="K32" s="14">
        <v>6500</v>
      </c>
      <c r="M32" t="str">
        <v>Y</v>
      </c>
      <c r="P32" t="str">
        <v>Y</v>
      </c>
    </row>
    <row r="33" ht="14.25" customHeight="1">
      <c r="A33">
        <v>15</v>
      </c>
      <c r="B33" t="str">
        <v xml:space="preserve">FRP Panels </v>
      </c>
      <c r="C33" t="str">
        <v>#</v>
      </c>
      <c r="D33" t="str">
        <v>SF</v>
      </c>
      <c r="I33" s="8">
        <v>0</v>
      </c>
      <c r="J33" t="str">
        <v>Y</v>
      </c>
      <c r="K33" s="14">
        <v>1200</v>
      </c>
      <c r="M33" t="str">
        <v>Y</v>
      </c>
      <c r="P33" t="str">
        <v>Y</v>
      </c>
    </row>
    <row r="34" ht="14.25" customHeight="1">
      <c r="A34">
        <v>16</v>
      </c>
      <c r="B34" t="str">
        <v xml:space="preserve">Sound Absorbing Wall Units </v>
      </c>
      <c r="C34" t="str">
        <v>#</v>
      </c>
      <c r="D34" t="str">
        <v>SF</v>
      </c>
      <c r="I34" s="8">
        <f>H34*F34</f>
        <v>0</v>
      </c>
      <c r="J34" t="str">
        <v>Y</v>
      </c>
      <c r="K34" s="14">
        <v>1250</v>
      </c>
      <c r="M34" t="str">
        <v>Y</v>
      </c>
      <c r="P34" t="str">
        <v>Y</v>
      </c>
    </row>
    <row r="35" ht="14.25" customHeight="1">
      <c r="A35">
        <v>17</v>
      </c>
      <c r="B35" t="str">
        <v>Corner Guards</v>
      </c>
      <c r="C35" t="str">
        <v>#</v>
      </c>
      <c r="D35" t="str">
        <v>EA</v>
      </c>
      <c r="I35" s="8">
        <f>H35*F35</f>
        <v>0</v>
      </c>
      <c r="J35" t="str">
        <v>N</v>
      </c>
      <c r="K35" t="str">
        <v>W/Div 10</v>
      </c>
      <c r="M35" t="str">
        <v>N</v>
      </c>
      <c r="N35" t="str">
        <v>w/Div 10</v>
      </c>
      <c r="P35" t="str">
        <v>N</v>
      </c>
      <c r="Q35" t="str">
        <v>W/Div 10</v>
      </c>
    </row>
    <row r="36" ht="14.25" customHeight="1"/>
    <row r="37" ht="14.25" customHeight="1">
      <c r="B37" t="str">
        <v>Section 3 - Scope of Work</v>
      </c>
    </row>
    <row r="38" ht="14.25" customHeight="1">
      <c r="B38" t="str">
        <v xml:space="preserve">Furnish and Install All Items UON (Unless Otherwise Noted) </v>
      </c>
      <c r="C38" t="str">
        <v>Y</v>
      </c>
      <c r="J38" t="str">
        <v>Y</v>
      </c>
      <c r="M38" t="str">
        <v>Y</v>
      </c>
    </row>
    <row r="39" ht="14.25" customHeight="1">
      <c r="A39" t="str">
        <v>A</v>
      </c>
      <c r="B39" t="str">
        <v>Specifications</v>
      </c>
    </row>
    <row r="40" ht="14.25" customHeight="1">
      <c r="B40" t="str">
        <v xml:space="preserve">Division 01 - General Requirements (as applicable to this Bid Package) </v>
      </c>
      <c r="C40" t="str">
        <v>Y</v>
      </c>
      <c r="M40" t="str">
        <v>Y</v>
      </c>
      <c r="P40" t="str">
        <v>Y</v>
      </c>
    </row>
    <row r="41" ht="14.25" customHeight="1">
      <c r="B41" t="str">
        <v xml:space="preserve">05 40 00 - Cold-Formed Metal Framing </v>
      </c>
      <c r="C41" t="str">
        <v>Y</v>
      </c>
      <c r="J41" t="str">
        <v>Y</v>
      </c>
      <c r="M41" t="str">
        <v>Y</v>
      </c>
      <c r="P41" t="str">
        <v>Y</v>
      </c>
    </row>
    <row r="42" ht="14.25" customHeight="1">
      <c r="B42" t="str">
        <v xml:space="preserve">06 10 53 - Miscellaneous Rough Carpentry </v>
      </c>
      <c r="C42" t="str">
        <v>Y</v>
      </c>
      <c r="J42" t="str">
        <v>Y</v>
      </c>
      <c r="M42" t="str">
        <v>Y</v>
      </c>
      <c r="P42" t="str">
        <v>Y</v>
      </c>
    </row>
    <row r="43" ht="14.25" customHeight="1">
      <c r="B43" t="str">
        <v xml:space="preserve">06 16 00 - Sheathing </v>
      </c>
      <c r="C43" t="str">
        <v>Y</v>
      </c>
    </row>
    <row r="44" ht="14.25" customHeight="1">
      <c r="B44" t="str">
        <v xml:space="preserve">06 64 00 - Plastic Paneling </v>
      </c>
      <c r="C44" t="str">
        <v>Y</v>
      </c>
    </row>
    <row r="45" ht="14.25" customHeight="1">
      <c r="B45" t="str">
        <v xml:space="preserve">07 21 00 - Thermal Insulation </v>
      </c>
      <c r="C45" t="str">
        <v>Y</v>
      </c>
      <c r="J45" t="str">
        <v>Y</v>
      </c>
      <c r="M45" t="str">
        <v>Y</v>
      </c>
      <c r="P45" t="str">
        <v>Y</v>
      </c>
    </row>
    <row r="46" ht="14.25" customHeight="1">
      <c r="B46" t="str">
        <v xml:space="preserve">07 42 10 - Composite Support Framing </v>
      </c>
      <c r="C46" t="str">
        <v>Y</v>
      </c>
    </row>
    <row r="47" ht="14.25" customHeight="1">
      <c r="B47" t="str">
        <v xml:space="preserve">07 42 93 - Soffit Panels </v>
      </c>
      <c r="C47" t="str">
        <v>Y</v>
      </c>
    </row>
    <row r="48" ht="14.25" customHeight="1">
      <c r="B48" t="str">
        <v xml:space="preserve">07 84 13 - Penetration Firestopping </v>
      </c>
      <c r="C48" t="str">
        <v>Y</v>
      </c>
    </row>
    <row r="49" ht="14.25" customHeight="1">
      <c r="B49" t="str">
        <v>07 84 43 - Joint Firestopping</v>
      </c>
      <c r="C49" t="str">
        <v>Y</v>
      </c>
    </row>
    <row r="50" ht="14.25" customHeight="1">
      <c r="B50" t="str">
        <v xml:space="preserve">07 92 00 - Joint Sealants </v>
      </c>
      <c r="C50" t="str">
        <v>Y</v>
      </c>
      <c r="P50" t="str">
        <v>Y</v>
      </c>
    </row>
    <row r="51" ht="14.25" customHeight="1">
      <c r="B51" t="str">
        <v xml:space="preserve">08 11 13 - Hollow  Metal Doors and Frames (as applicable to this Bid Package) </v>
      </c>
      <c r="C51" t="str">
        <v>Y</v>
      </c>
      <c r="J51" t="str">
        <v>Y</v>
      </c>
      <c r="M51" t="str">
        <v>Y</v>
      </c>
      <c r="P51" t="str">
        <v>Y</v>
      </c>
    </row>
    <row r="52" ht="14.25" customHeight="1">
      <c r="B52" t="str">
        <v xml:space="preserve">08 14 16 - Flush Wood Doors (as applicable to this Bid Package) </v>
      </c>
      <c r="C52" t="str">
        <v>Y</v>
      </c>
      <c r="J52" t="str">
        <v>Y</v>
      </c>
      <c r="M52" t="str">
        <v>Y</v>
      </c>
      <c r="P52" t="str">
        <v>Y</v>
      </c>
    </row>
    <row r="53" ht="14.25" customHeight="1">
      <c r="B53" t="str">
        <v xml:space="preserve">08 31 13 - Access Doors and Frames (as applicable to this Bid Package) </v>
      </c>
      <c r="C53" t="str">
        <v>Y</v>
      </c>
    </row>
    <row r="54" ht="14.25" customHeight="1">
      <c r="B54" t="str">
        <v xml:space="preserve">09 84 33 - Sound Absorbing Wall Units </v>
      </c>
      <c r="C54" t="str">
        <v>Y</v>
      </c>
      <c r="J54" t="str">
        <v>Y</v>
      </c>
      <c r="M54" t="str">
        <v>Y</v>
      </c>
      <c r="P54" t="str">
        <v>Y</v>
      </c>
    </row>
    <row r="55" ht="14.25" customHeight="1">
      <c r="B55" t="str">
        <v xml:space="preserve">09 22 16 -Non-Structural Metal Framing </v>
      </c>
      <c r="C55" t="str">
        <v>Y</v>
      </c>
      <c r="J55" t="str">
        <v>Y</v>
      </c>
      <c r="M55" t="str">
        <v>Y</v>
      </c>
      <c r="P55" t="str">
        <v>Y</v>
      </c>
    </row>
    <row r="56" ht="14.25" customHeight="1">
      <c r="B56" t="str">
        <v xml:space="preserve">09 29 00 - Gypsum Board </v>
      </c>
      <c r="C56" t="str">
        <v>Y</v>
      </c>
      <c r="J56" t="str">
        <v>Y</v>
      </c>
      <c r="M56" t="str">
        <v>Y</v>
      </c>
      <c r="P56" t="str">
        <v>Y</v>
      </c>
    </row>
    <row r="57" ht="14.25" customHeight="1">
      <c r="B57" t="str">
        <v xml:space="preserve">09 51 13 - Acoustical Panel Ceilings </v>
      </c>
      <c r="C57" t="str">
        <v>Y</v>
      </c>
      <c r="P57" t="str">
        <v>Y</v>
      </c>
    </row>
    <row r="58" ht="14.25" customHeight="1">
      <c r="B58" t="str">
        <v xml:space="preserve">09 72 00 - Wall Coverings (as applicable to this Bid Package) </v>
      </c>
      <c r="C58" t="str">
        <v>Y</v>
      </c>
    </row>
    <row r="59" ht="14.25" customHeight="1">
      <c r="B59" t="str">
        <v xml:space="preserve">10 11 00 - Visual Display Boards (as applicable to this Bid Package) </v>
      </c>
      <c r="C59" t="str">
        <v>Y</v>
      </c>
      <c r="J59" t="str">
        <v>N</v>
      </c>
      <c r="M59" t="str">
        <v>N</v>
      </c>
      <c r="P59" t="str">
        <v>Y</v>
      </c>
    </row>
    <row r="60" ht="14.25" customHeight="1">
      <c r="B60" t="str">
        <v xml:space="preserve">10 26 00 - Wall and Door Protection </v>
      </c>
      <c r="C60" t="str">
        <v>Y</v>
      </c>
      <c r="J60" t="str">
        <v>N</v>
      </c>
      <c r="M60" t="str">
        <v>N</v>
      </c>
      <c r="P60" t="str">
        <v>Y</v>
      </c>
    </row>
    <row r="61" ht="14.25" customHeight="1">
      <c r="B61" t="str">
        <v xml:space="preserve">10 28 00 - Toilet, Bath, and Laundry Accessories (as applicable to this Bid Package) </v>
      </c>
      <c r="C61" t="str">
        <v>Y</v>
      </c>
      <c r="J61" t="str">
        <v>Y</v>
      </c>
      <c r="M61" t="str">
        <v>Y</v>
      </c>
      <c r="P61" t="str">
        <v>Y</v>
      </c>
    </row>
    <row r="62" ht="14.25" customHeight="1">
      <c r="A62" t="str">
        <v>B</v>
      </c>
      <c r="B62" t="str">
        <v>Inclusions</v>
      </c>
    </row>
    <row r="63" ht="14.25" customHeight="1">
      <c r="A63">
        <v>1</v>
      </c>
      <c r="B63" t="str">
        <v>SPECIFIC SCOPE ITEMS</v>
      </c>
      <c r="C63" t="str">
        <v>Y</v>
      </c>
      <c r="I63" s="8">
        <f>H63*F63</f>
        <v>0</v>
      </c>
    </row>
    <row r="64" ht="14.25" customHeight="1">
      <c r="A64">
        <v>2</v>
      </c>
      <c r="B64" t="str">
        <v xml:space="preserve">Inclusions: </v>
      </c>
    </row>
    <row r="65" ht="14.25" customHeight="1">
      <c r="A65">
        <v>3</v>
      </c>
      <c r="B65" t="str">
        <v>Include types/colors per specifications and drawings for appropiate application:</v>
      </c>
      <c r="C65" t="str">
        <v>Y</v>
      </c>
      <c r="I65" s="8">
        <v>0</v>
      </c>
    </row>
    <row r="66" ht="14.25" customHeight="1">
      <c r="A66">
        <v>4</v>
      </c>
      <c r="B66" t="str">
        <v xml:space="preserve">Refer to partion types on Drawing A8.1 </v>
      </c>
      <c r="C66" t="str">
        <v>Y</v>
      </c>
      <c r="I66" s="8">
        <v>0</v>
      </c>
    </row>
    <row r="67" ht="14.25" customHeight="1">
      <c r="A67">
        <v>5</v>
      </c>
      <c r="B67" t="str">
        <v xml:space="preserve">Refer to the RCP on Drawings A3.1 &amp; A3.2 </v>
      </c>
      <c r="C67" t="str">
        <v>Y</v>
      </c>
      <c r="I67" s="8">
        <v>0</v>
      </c>
    </row>
    <row r="68" ht="14.25" customHeight="1">
      <c r="A68">
        <v>6</v>
      </c>
      <c r="B68" t="str">
        <v xml:space="preserve">Refer to wall sections on Drawings A6.1 - A6.4 </v>
      </c>
      <c r="C68" t="str">
        <v>Y</v>
      </c>
      <c r="I68" s="8">
        <v>0</v>
      </c>
    </row>
    <row r="69" ht="14.25" customHeight="1">
      <c r="A69">
        <v>7</v>
      </c>
      <c r="B69" t="str">
        <v xml:space="preserve">Refer to enlarged plans on Drawings A2.1 or similar </v>
      </c>
      <c r="C69" t="str">
        <v>Y</v>
      </c>
      <c r="I69" s="8">
        <v>0</v>
      </c>
    </row>
    <row r="70" ht="14.25" customHeight="1">
      <c r="A70">
        <v>8</v>
      </c>
      <c r="B70" t="str">
        <v xml:space="preserve">Refer to details/sections on Drawings A5.1 - A6.4 or similar </v>
      </c>
      <c r="C70" t="str">
        <v>Y</v>
      </c>
      <c r="I70" s="8">
        <v>0</v>
      </c>
    </row>
    <row r="71" ht="14.25" customHeight="1">
      <c r="A71">
        <v>9</v>
      </c>
      <c r="B71" t="str">
        <v xml:space="preserve">Refer to Finish Schedule on Drawing A12.1 </v>
      </c>
      <c r="C71" t="str">
        <v>Y</v>
      </c>
      <c r="I71" s="8">
        <v>0</v>
      </c>
    </row>
    <row r="72" ht="14.25" customHeight="1">
      <c r="A72">
        <v>10</v>
      </c>
      <c r="B72" t="str">
        <v xml:space="preserve">Refer to Finish Plan on Drawings A12.2 &amp; A12.3 </v>
      </c>
      <c r="C72" t="str">
        <v>Y</v>
      </c>
      <c r="I72" s="8">
        <v>0</v>
      </c>
    </row>
    <row r="73" ht="14.25" customHeight="1">
      <c r="A73">
        <v>11</v>
      </c>
      <c r="B73" t="str">
        <v xml:space="preserve">Refer to interior elevations on Drawings A10.1 - A10.6 </v>
      </c>
      <c r="C73" t="str">
        <v>Y</v>
      </c>
      <c r="I73" s="8">
        <v>0</v>
      </c>
    </row>
    <row r="74" ht="14.25" customHeight="1">
      <c r="A74">
        <v>12</v>
      </c>
    </row>
    <row r="75" ht="14.25" customHeight="1">
      <c r="A75" t="str">
        <v>**</v>
      </c>
      <c r="B75" t="str">
        <v xml:space="preserve">Furnish and Install All Items UNO (Unless Otherwise Noted) </v>
      </c>
      <c r="C75" t="str">
        <v>Y</v>
      </c>
      <c r="I75" s="8">
        <v>0</v>
      </c>
      <c r="J75" t="str">
        <v>Y</v>
      </c>
    </row>
    <row r="76" ht="14.25" customHeight="1">
      <c r="A76">
        <v>13</v>
      </c>
      <c r="B76" t="str">
        <v xml:space="preserve">Sheathing: </v>
      </c>
    </row>
    <row r="77" ht="14.25" customHeight="1">
      <c r="A77">
        <v>14</v>
      </c>
      <c r="B77" t="str">
        <v xml:space="preserve">Furnish and install all gypsum sheathing at exterior stud wall locations </v>
      </c>
      <c r="C77" t="str">
        <v>Y</v>
      </c>
      <c r="I77" s="8">
        <v>0</v>
      </c>
      <c r="J77" t="str">
        <v>Y</v>
      </c>
      <c r="M77" t="str">
        <v>Y</v>
      </c>
      <c r="P77" t="str">
        <v>Y</v>
      </c>
    </row>
    <row r="78" ht="14.25" customHeight="1">
      <c r="A78">
        <v>15</v>
      </c>
      <c r="B78" t="str">
        <v>Furnish and install all vapor barrier at interior</v>
      </c>
      <c r="C78" t="str">
        <v>Y</v>
      </c>
      <c r="I78" s="8">
        <f>H78*F78</f>
        <v>0</v>
      </c>
      <c r="J78" t="str">
        <v>Y</v>
      </c>
      <c r="M78" t="str">
        <v>Y</v>
      </c>
      <c r="P78" t="str">
        <v>Y</v>
      </c>
    </row>
    <row r="79" ht="14.25" customHeight="1">
      <c r="A79">
        <v>16</v>
      </c>
      <c r="B79" t="str">
        <v xml:space="preserve">Sheathing at horizontal locations as shown </v>
      </c>
      <c r="C79" t="str">
        <v>Y</v>
      </c>
      <c r="I79" s="8">
        <f>H79*F79</f>
        <v>0</v>
      </c>
      <c r="J79" t="str">
        <v>Y</v>
      </c>
      <c r="M79" t="str">
        <v>Y</v>
      </c>
      <c r="P79" t="str">
        <v>Y</v>
      </c>
    </row>
    <row r="80" ht="14.25" customHeight="1">
      <c r="A80">
        <v>17</v>
      </c>
    </row>
    <row r="81" ht="14.25" customHeight="1">
      <c r="A81">
        <v>18</v>
      </c>
      <c r="B81" t="str">
        <v xml:space="preserve">Building Insulation: </v>
      </c>
    </row>
    <row r="82" ht="14.25" customHeight="1">
      <c r="A82">
        <v>19</v>
      </c>
      <c r="B82" t="str">
        <v xml:space="preserve">Include all batt, semi-rigid, and thermal insulation at the following locations: </v>
      </c>
      <c r="C82" t="str">
        <v>Y</v>
      </c>
      <c r="I82" s="8">
        <f>H82*F82</f>
        <v>0</v>
      </c>
      <c r="J82" t="str">
        <v xml:space="preserve"> Y</v>
      </c>
      <c r="M82" t="str">
        <v>Y</v>
      </c>
      <c r="P82" t="str">
        <v>Y</v>
      </c>
    </row>
    <row r="83" ht="14.25" customHeight="1">
      <c r="A83">
        <v>20</v>
      </c>
      <c r="B83" t="str">
        <v xml:space="preserve">Include exterior stud wall and soffit systems noted above </v>
      </c>
      <c r="C83" t="str">
        <v>Y</v>
      </c>
      <c r="I83" s="8">
        <f>H83*F83</f>
        <v>0</v>
      </c>
      <c r="J83" t="str">
        <v>Y</v>
      </c>
      <c r="M83" t="str">
        <v>Y</v>
      </c>
      <c r="P83" t="str">
        <v>Y</v>
      </c>
    </row>
    <row r="84" ht="14.25" customHeight="1">
      <c r="A84">
        <v>21</v>
      </c>
      <c r="B84" t="str">
        <v xml:space="preserve">Provide batt insulation for all the interior partitions as indicated at the partition type assemblies </v>
      </c>
      <c r="C84" t="str">
        <v>Y</v>
      </c>
      <c r="I84" s="8">
        <f>H84*F84</f>
        <v>0</v>
      </c>
      <c r="J84" t="str">
        <v>Y</v>
      </c>
      <c r="M84" t="str">
        <v>Y</v>
      </c>
      <c r="P84" t="str">
        <v>Y</v>
      </c>
    </row>
    <row r="85" ht="14.25" customHeight="1">
      <c r="A85">
        <v>22</v>
      </c>
      <c r="B85" t="str">
        <v>Provide and install mineral fiber blanket insulation to fill all perimeter window and door shim spaces, gaps, and crevices at exterior wall and roof assemblies associated with gypsim board construction, complete for a continous and code-compliant installation</v>
      </c>
      <c r="C85" t="str">
        <v>Y</v>
      </c>
      <c r="I85" s="8">
        <f>H85*F85</f>
        <v>0</v>
      </c>
      <c r="J85" t="str">
        <v>Y</v>
      </c>
      <c r="M85" t="str">
        <v>Y</v>
      </c>
      <c r="P85" t="str">
        <v>Y</v>
      </c>
    </row>
    <row r="86" ht="14.25" customHeight="1">
      <c r="A86">
        <v>23</v>
      </c>
      <c r="B86" t="str">
        <v>Comply with specified r-values</v>
      </c>
      <c r="C86" t="str">
        <v>Y</v>
      </c>
      <c r="I86" s="8">
        <f>H86*F86</f>
        <v>0</v>
      </c>
      <c r="J86" t="str">
        <v>Y</v>
      </c>
      <c r="M86" t="str">
        <v>Y</v>
      </c>
      <c r="P86" t="str">
        <v>Y</v>
      </c>
    </row>
    <row r="87" ht="14.25" customHeight="1">
      <c r="A87">
        <v>24</v>
      </c>
    </row>
    <row r="88" ht="14.25" customHeight="1">
      <c r="A88">
        <v>25</v>
      </c>
      <c r="B88" t="str">
        <v xml:space="preserve">Metal Support Assemblies: </v>
      </c>
    </row>
    <row r="89" ht="14.25" customHeight="1">
      <c r="A89">
        <v>26</v>
      </c>
      <c r="B89" t="str">
        <v xml:space="preserve">Furnish and install metal stud, shaftwall framing and furring channels at all interior partitions per the Partition Types scheduled and inferrable from the plans </v>
      </c>
      <c r="C89" t="str">
        <v>Y</v>
      </c>
      <c r="I89" s="8">
        <f>H89*F89</f>
        <v>0</v>
      </c>
      <c r="J89" t="str">
        <v>Y</v>
      </c>
      <c r="M89" t="str">
        <v>Y</v>
      </c>
      <c r="P89" t="str">
        <v>Y</v>
      </c>
    </row>
    <row r="90" ht="14.25" customHeight="1">
      <c r="A90">
        <v>27</v>
      </c>
      <c r="B90" t="str">
        <v xml:space="preserve">Furnish and install metal stud, furring channels and suspension system for all drywall ceilings; including framing required for soffits, bulkheads and light coves </v>
      </c>
      <c r="C90" t="str">
        <v>Y</v>
      </c>
      <c r="I90" s="8">
        <f>H90*F90</f>
        <v>0</v>
      </c>
      <c r="J90" t="str">
        <v>Y</v>
      </c>
      <c r="M90" t="str">
        <v>Y</v>
      </c>
      <c r="P90" t="str">
        <v>Y</v>
      </c>
    </row>
    <row r="91" ht="14.25" customHeight="1">
      <c r="A91">
        <v>28</v>
      </c>
      <c r="B91" t="str">
        <v>Provide extend furring channels and gypsum board up 4" above finished ceiling on CMU walls.</v>
      </c>
      <c r="C91" t="str">
        <v>Y</v>
      </c>
      <c r="I91" s="8">
        <f>H91*F91</f>
        <v>0</v>
      </c>
      <c r="J91" t="str">
        <v>Y</v>
      </c>
      <c r="M91" t="str">
        <v>Y</v>
      </c>
      <c r="P91" t="str">
        <v>Y</v>
      </c>
    </row>
    <row r="92" ht="14.25" customHeight="1">
      <c r="A92">
        <v>29</v>
      </c>
      <c r="B92" t="str">
        <v xml:space="preserve">Provide CFMF (cold-formed metal framing) including kickers and boxers </v>
      </c>
      <c r="C92" t="str">
        <v>Y</v>
      </c>
      <c r="I92" s="8">
        <f>H92*F92</f>
        <v>0</v>
      </c>
      <c r="J92" t="str">
        <v>Y</v>
      </c>
      <c r="M92" t="str">
        <v>Y</v>
      </c>
      <c r="P92" t="str">
        <v>Y</v>
      </c>
    </row>
    <row r="93" ht="14.25" customHeight="1">
      <c r="A93">
        <v>30</v>
      </c>
      <c r="B93" t="str">
        <v xml:space="preserve">Include slip-type head joints, per specifications </v>
      </c>
      <c r="C93" t="str">
        <v>Y</v>
      </c>
      <c r="I93" s="8">
        <f>H93*F93</f>
        <v>0</v>
      </c>
      <c r="J93" t="str">
        <v>Y</v>
      </c>
      <c r="M93" t="str">
        <v>Y</v>
      </c>
      <c r="P93" t="str">
        <v>Y</v>
      </c>
    </row>
    <row r="94" ht="14.25" customHeight="1">
      <c r="A94">
        <v>31</v>
      </c>
    </row>
    <row r="95" ht="14.25" customHeight="1">
      <c r="A95">
        <v>32</v>
      </c>
      <c r="B95" t="str">
        <v xml:space="preserve">Gypsum Board: </v>
      </c>
    </row>
    <row r="96" ht="14.25" customHeight="1">
      <c r="A96">
        <v>33</v>
      </c>
      <c r="B96" t="str">
        <v>Furnish &amp; install gypsum board at all interior partitions, perimeter walls/column covers, ceilings, soffits, bulkheads, light coves, etc to include fire rated, impact-resistant, moisture-resistant &amp; shaft liner as applicable per the scheduled Partition Types and as inferrable from the plans</v>
      </c>
      <c r="C96" t="str">
        <v>Y</v>
      </c>
      <c r="I96" s="8">
        <f>H96*F96</f>
        <v>0</v>
      </c>
      <c r="J96" t="str">
        <v>Y</v>
      </c>
      <c r="M96" t="str">
        <v>Y</v>
      </c>
      <c r="P96" t="str">
        <v>Y</v>
      </c>
    </row>
    <row r="97" ht="14.25" customHeight="1">
      <c r="A97">
        <v>34</v>
      </c>
      <c r="B97" t="str">
        <v xml:space="preserve">Provide isolation at gypsum board surfaces with control joints, where shown on Contract Documents </v>
      </c>
      <c r="C97" t="str">
        <v>Y</v>
      </c>
      <c r="I97" s="8">
        <f>H97*F97</f>
        <v>0</v>
      </c>
      <c r="J97" t="str">
        <v>Y</v>
      </c>
      <c r="M97" t="str">
        <v>Y</v>
      </c>
      <c r="P97" t="str">
        <v>Y</v>
      </c>
    </row>
    <row r="98" ht="14.25" customHeight="1">
      <c r="A98">
        <v>35</v>
      </c>
      <c r="B98" t="str">
        <v>Partitions at perimeter &amp; exterior side</v>
      </c>
      <c r="C98" t="str">
        <v>Y</v>
      </c>
      <c r="I98" s="8">
        <f>H98*F98</f>
        <v>0</v>
      </c>
      <c r="J98" t="str">
        <v>Y</v>
      </c>
      <c r="M98" t="str">
        <v>Y</v>
      </c>
      <c r="P98" t="str">
        <v>Y</v>
      </c>
    </row>
    <row r="99" ht="14.25" customHeight="1">
      <c r="A99">
        <v>36</v>
      </c>
      <c r="B99" t="str">
        <v xml:space="preserve">Include rated duct enclosure assemblies indicated on Architectural and Mechanical drawings </v>
      </c>
      <c r="C99" t="str">
        <v>Y</v>
      </c>
      <c r="I99" s="8">
        <f>H99*F99</f>
        <v>0</v>
      </c>
      <c r="J99" t="str">
        <v>Y</v>
      </c>
      <c r="M99" t="str">
        <v>Y</v>
      </c>
      <c r="P99" t="str">
        <v>Y</v>
      </c>
    </row>
    <row r="100" ht="14.25" customHeight="1">
      <c r="A100">
        <v>37</v>
      </c>
      <c r="B100" t="str">
        <v xml:space="preserve">Include sound attenuation blanket as scheduled/inferrable </v>
      </c>
      <c r="C100" t="str">
        <v>Y</v>
      </c>
      <c r="I100" s="8">
        <f>H100*F100</f>
        <v>0</v>
      </c>
      <c r="J100" t="str">
        <v>Y</v>
      </c>
      <c r="M100" t="str">
        <v>Y</v>
      </c>
      <c r="P100" t="str">
        <v>Y</v>
      </c>
    </row>
    <row r="101" ht="14.25" customHeight="1">
      <c r="A101">
        <v>38</v>
      </c>
      <c r="B101" t="str">
        <v xml:space="preserve">Include acoustical sealant at tops and bottoms of partitions </v>
      </c>
      <c r="C101" t="str">
        <v>Y</v>
      </c>
      <c r="I101" s="8">
        <f>H101*F101</f>
        <v>0</v>
      </c>
      <c r="J101" t="str">
        <v>Y</v>
      </c>
      <c r="M101" t="str">
        <v>Y</v>
      </c>
      <c r="P101" t="str">
        <v>Y</v>
      </c>
    </row>
    <row r="102" ht="14.25" customHeight="1">
      <c r="A102">
        <v>39</v>
      </c>
      <c r="B102" t="str">
        <v>Include sealant for partition assembly as noted. Sealing of penetrations in your Work created by others in by that trade.</v>
      </c>
      <c r="C102" t="str">
        <v>Y</v>
      </c>
      <c r="I102" s="8">
        <f>H102*F102</f>
        <v>0</v>
      </c>
      <c r="J102" t="str">
        <v>Y</v>
      </c>
      <c r="M102" t="str">
        <v>Y</v>
      </c>
      <c r="P102" t="str">
        <v>Y</v>
      </c>
    </row>
    <row r="103" ht="14.25" customHeight="1">
      <c r="A103">
        <v>40</v>
      </c>
      <c r="B103" t="str">
        <v xml:space="preserve">Include can't boards at elevator shafts </v>
      </c>
      <c r="C103" t="str">
        <v>Y</v>
      </c>
      <c r="I103" s="8">
        <f>H103*F103</f>
        <v>0</v>
      </c>
      <c r="J103" t="str">
        <v>Y</v>
      </c>
      <c r="M103" t="str">
        <v>Y</v>
      </c>
      <c r="P103" t="str">
        <v>Y</v>
      </c>
    </row>
    <row r="104" ht="14.25" customHeight="1">
      <c r="A104">
        <v>41</v>
      </c>
      <c r="B104" t="str">
        <v xml:space="preserve">Tape, spackle &amp; sand all joints for assemblies scheduled to receive a finish </v>
      </c>
      <c r="C104" t="str">
        <v>Y</v>
      </c>
      <c r="I104" s="8">
        <f>H104*F104</f>
        <v>0</v>
      </c>
      <c r="J104" t="str">
        <v>Y</v>
      </c>
      <c r="M104" t="str">
        <v>Y</v>
      </c>
      <c r="P104" t="str">
        <v>Y</v>
      </c>
    </row>
    <row r="105" ht="14.25" customHeight="1">
      <c r="A105">
        <v>42</v>
      </c>
      <c r="B105" t="str">
        <v xml:space="preserve">Smooth skim coats finishes </v>
      </c>
      <c r="C105" t="str">
        <v>Y</v>
      </c>
      <c r="I105" s="8">
        <f>H105*F105</f>
        <v>0</v>
      </c>
      <c r="J105" t="str">
        <v>Y</v>
      </c>
      <c r="M105" t="str">
        <v>Y</v>
      </c>
      <c r="P105" t="str">
        <v>Y</v>
      </c>
    </row>
    <row r="106" ht="14.25" customHeight="1">
      <c r="A106">
        <v>43</v>
      </c>
      <c r="B106" t="str">
        <v xml:space="preserve">Provide a level 4 finish at all walls scheduled to receive graphics </v>
      </c>
      <c r="C106" t="str">
        <v>Y</v>
      </c>
      <c r="I106" s="8">
        <f>H106*F106</f>
        <v>0</v>
      </c>
      <c r="J106" t="str">
        <v>Y</v>
      </c>
      <c r="M106" t="str">
        <v>Y</v>
      </c>
      <c r="P106" t="str">
        <v>Y</v>
      </c>
    </row>
    <row r="107" ht="14.25" customHeight="1">
      <c r="A107">
        <v>44</v>
      </c>
    </row>
    <row r="108" ht="14.25" customHeight="1">
      <c r="A108">
        <v>45</v>
      </c>
      <c r="B108" t="str">
        <v xml:space="preserve">Acoustical Ceilings and Acoustical Treatments: </v>
      </c>
      <c r="C108" t="str">
        <v>Y</v>
      </c>
      <c r="M108" t="str">
        <v>Y</v>
      </c>
    </row>
    <row r="109" ht="14.25" customHeight="1">
      <c r="A109">
        <v>46</v>
      </c>
      <c r="B109" t="str">
        <v xml:space="preserve">Furnish &amp; install acoustical tile ceilings per the specifications, Finish Schedule and RCP's </v>
      </c>
      <c r="C109" t="str">
        <v>Y</v>
      </c>
      <c r="I109" s="8">
        <f>H109*F109</f>
        <v>0</v>
      </c>
      <c r="J109" t="str">
        <v>Y</v>
      </c>
      <c r="M109" t="str">
        <v>Y</v>
      </c>
      <c r="P109" t="str">
        <v>Y</v>
      </c>
    </row>
    <row r="110" ht="14.25" customHeight="1">
      <c r="A110">
        <v>47</v>
      </c>
      <c r="B110" t="str">
        <v xml:space="preserve">Furnish &amp; install standard ceiling tile [ACP-01] BOD [Armstrong - Ultima 1912LEC, 9/16 Beveled Tegular - Bright White] </v>
      </c>
      <c r="C110" t="str">
        <v>Y</v>
      </c>
      <c r="I110" s="8">
        <f>H110*F110</f>
        <v>0</v>
      </c>
      <c r="J110" t="str">
        <v>Y</v>
      </c>
      <c r="M110" t="str">
        <v>Y</v>
      </c>
      <c r="P110" t="str">
        <v>Y</v>
      </c>
    </row>
    <row r="111" ht="14.25" customHeight="1">
      <c r="A111">
        <v>48</v>
      </c>
      <c r="B111" t="str">
        <v xml:space="preserve">Furnish &amp; install scrubable NSF [ACP-02] BOD [Armstrong - Kitchen Zone Square Lay In 15/16 - Bright White] </v>
      </c>
      <c r="C111" t="str">
        <v>Y</v>
      </c>
      <c r="I111" s="8">
        <f>H111*F111</f>
        <v>0</v>
      </c>
      <c r="J111" t="str">
        <v>Y</v>
      </c>
      <c r="M111" t="str">
        <v>Y</v>
      </c>
      <c r="P111" t="str">
        <v>Y</v>
      </c>
    </row>
    <row r="112" ht="14.25" customHeight="1">
      <c r="A112">
        <v>49</v>
      </c>
      <c r="B112" t="str">
        <v xml:space="preserve">Provide seismec bracing for suspended ceilings or as shown on the drawings </v>
      </c>
      <c r="C112" t="str">
        <v>Y</v>
      </c>
      <c r="I112" s="8">
        <f>H112*F112</f>
        <v>0</v>
      </c>
      <c r="J112" t="str">
        <v>Y</v>
      </c>
      <c r="M112" t="str">
        <v>Y</v>
      </c>
      <c r="P112" t="str">
        <v>Y</v>
      </c>
    </row>
    <row r="113" ht="14.25" customHeight="1">
      <c r="A113">
        <v>50</v>
      </c>
      <c r="B113" t="str">
        <v xml:space="preserve">Include hanger wire and suspended metal grid system </v>
      </c>
      <c r="C113" t="str">
        <v>Y</v>
      </c>
      <c r="I113" s="8">
        <f>H113*F113</f>
        <v>0</v>
      </c>
      <c r="J113" t="str">
        <v>Y</v>
      </c>
      <c r="M113" t="str">
        <v>Y</v>
      </c>
      <c r="P113" t="str">
        <v>Y</v>
      </c>
    </row>
    <row r="114" ht="14.25" customHeight="1">
      <c r="A114">
        <v>51</v>
      </c>
      <c r="B114" t="str">
        <v xml:space="preserve">Deliver 2% unopened carton of above product (or fraction thereof) installed for each type, pattern and color as mentiioned in the specifications </v>
      </c>
      <c r="C114" t="str">
        <v>Y</v>
      </c>
      <c r="I114" s="8">
        <f>H114*F114</f>
        <v>0</v>
      </c>
      <c r="J114" t="str">
        <v>Y</v>
      </c>
      <c r="M114" t="str">
        <v>Y</v>
      </c>
      <c r="P114" t="str">
        <v>Y</v>
      </c>
    </row>
    <row r="115" ht="14.25" customHeight="1">
      <c r="A115">
        <v>52</v>
      </c>
      <c r="B115" t="str">
        <v xml:space="preserve"> </v>
      </c>
      <c r="J115" t="str">
        <v>Y</v>
      </c>
      <c r="M115" t="str">
        <v>Y</v>
      </c>
    </row>
    <row r="116" ht="14.25" customHeight="1">
      <c r="A116">
        <v>53</v>
      </c>
      <c r="B116" t="str">
        <v xml:space="preserve">Sound Absorbing Wall Units - Wall Panels </v>
      </c>
    </row>
    <row r="117" ht="14.25" customHeight="1">
      <c r="A117">
        <v>54</v>
      </c>
      <c r="B117" t="str">
        <v>Furnish &amp; install sound absorbing panels, SAW-01 (Tectum)at locations indicated on the Contract Documents</v>
      </c>
      <c r="C117" t="str">
        <v>Y</v>
      </c>
      <c r="I117" s="8">
        <f>H117*F117</f>
        <v>0</v>
      </c>
      <c r="J117" t="str">
        <v>Y</v>
      </c>
      <c r="M117" t="str">
        <v>Y</v>
      </c>
      <c r="N117" t="str">
        <v>ADD Per Proposal</v>
      </c>
      <c r="O117" s="8">
        <v>48594</v>
      </c>
      <c r="P117" t="str">
        <v>Y</v>
      </c>
    </row>
    <row r="118" ht="14.25" customHeight="1">
      <c r="A118">
        <v>55</v>
      </c>
      <c r="B118" t="str">
        <v>SAW-01: Armstrong - Direct Attach</v>
      </c>
      <c r="C118" t="str">
        <v>Y</v>
      </c>
      <c r="I118" s="8">
        <f>H118*F118</f>
        <v>0</v>
      </c>
      <c r="J118" t="str">
        <v>Y</v>
      </c>
      <c r="M118" t="str">
        <v>Y</v>
      </c>
      <c r="P118" t="str">
        <v>Y</v>
      </c>
    </row>
    <row r="119" ht="14.25" customHeight="1">
      <c r="A119">
        <v>56</v>
      </c>
      <c r="B119" t="str">
        <v>Panels shall be installed in compliance with manufacturer's installation requirements and specification requiremenrs for field-painted panels</v>
      </c>
      <c r="C119" t="str">
        <v>Y</v>
      </c>
      <c r="I119" s="8">
        <v>0</v>
      </c>
      <c r="J119" t="str">
        <v>Y</v>
      </c>
      <c r="M119" t="str">
        <v>Y</v>
      </c>
      <c r="P119" t="str">
        <v>Y</v>
      </c>
    </row>
    <row r="120" ht="14.25" customHeight="1">
      <c r="A120">
        <v>57</v>
      </c>
      <c r="B120" t="str">
        <v>Coordinate with Painting Trade for field application of finish, including required surface preparation</v>
      </c>
      <c r="C120" t="str">
        <v>Y</v>
      </c>
      <c r="I120" s="8">
        <v>0</v>
      </c>
      <c r="J120" t="str">
        <v>Y</v>
      </c>
      <c r="M120" t="str">
        <v>Y</v>
      </c>
      <c r="P120" t="str">
        <v>Y</v>
      </c>
    </row>
    <row r="121" ht="14.25" customHeight="1">
      <c r="A121">
        <v>58</v>
      </c>
      <c r="B121" t="str">
        <v xml:space="preserve">Include all substrate preparation, layout, field measuring,cutting, trimming, and coordination with adjacent finishes </v>
      </c>
      <c r="C121" t="str">
        <v>Y</v>
      </c>
      <c r="I121" s="8">
        <v>0</v>
      </c>
      <c r="J121" t="str">
        <v>Y</v>
      </c>
      <c r="M121" t="str">
        <v>Y</v>
      </c>
      <c r="P121" t="str">
        <v>Y</v>
      </c>
    </row>
    <row r="122" ht="14.25" customHeight="1">
      <c r="A122">
        <v>59</v>
      </c>
      <c r="B122" t="str">
        <v xml:space="preserve">Furnish and install all required mounting systems, fasteners, clips, ahesives, and accessories necessary for a complete and secure installation </v>
      </c>
      <c r="C122" t="str">
        <v>Y</v>
      </c>
      <c r="I122" s="8">
        <v>0</v>
      </c>
      <c r="J122" t="str">
        <v>Y</v>
      </c>
      <c r="M122" t="str">
        <v>Y</v>
      </c>
      <c r="P122" t="str">
        <v>Y</v>
      </c>
    </row>
    <row r="123" ht="16.5" customHeight="1">
      <c r="A123">
        <v>60</v>
      </c>
    </row>
    <row r="124" ht="16.5" customHeight="1">
      <c r="A124">
        <v>61</v>
      </c>
      <c r="B124" t="str">
        <v xml:space="preserve">Plastic Paneling - Wall Panels </v>
      </c>
    </row>
    <row r="125" ht="16.5" customHeight="1">
      <c r="A125">
        <v>62</v>
      </c>
      <c r="B125" t="str">
        <v>Furnish &amp; install FRP and acoustic treatments per the Contract Documents:</v>
      </c>
      <c r="C125" t="str">
        <v>Y</v>
      </c>
      <c r="I125" s="8">
        <v>0</v>
      </c>
      <c r="J125" t="str">
        <v>Y</v>
      </c>
      <c r="M125" t="str">
        <v>Y</v>
      </c>
      <c r="P125" t="str">
        <v>Y</v>
      </c>
    </row>
    <row r="126" ht="16.5" customHeight="1">
      <c r="A126">
        <v>63</v>
      </c>
      <c r="B126" t="str">
        <v>Furnish &amp; install Food Service Walls [FRP-01] BOD [Crane Composites - Glassboard Class A- White]</v>
      </c>
      <c r="C126" t="str">
        <v>Y</v>
      </c>
      <c r="I126" s="8">
        <v>0</v>
      </c>
      <c r="J126" t="str">
        <v>Y</v>
      </c>
      <c r="M126" t="str">
        <v>Y</v>
      </c>
      <c r="P126" t="str">
        <v>Y</v>
      </c>
    </row>
    <row r="127" ht="16.5" customHeight="1">
      <c r="A127">
        <v>64</v>
      </c>
      <c r="B127" t="str">
        <v xml:space="preserve">Include all necessary accessories and tracks required for proper installation </v>
      </c>
      <c r="C127" t="str">
        <v>Y</v>
      </c>
      <c r="I127" s="8">
        <v>0</v>
      </c>
      <c r="J127" t="str">
        <v>Y</v>
      </c>
      <c r="M127" t="str">
        <v>Y</v>
      </c>
      <c r="P127" t="str">
        <v>Y</v>
      </c>
    </row>
    <row r="128" ht="16.5" customHeight="1">
      <c r="A128">
        <v>65</v>
      </c>
    </row>
    <row r="129" ht="16.5" customHeight="1">
      <c r="A129">
        <v>66</v>
      </c>
      <c r="B129" t="str">
        <v xml:space="preserve">Wall and Door Protection </v>
      </c>
    </row>
    <row r="130" ht="16.5" customHeight="1">
      <c r="A130">
        <v>67</v>
      </c>
      <c r="B130" t="str">
        <v xml:space="preserve">Furnish &amp; install corner guards according to the Contract Documents: </v>
      </c>
      <c r="C130" t="str">
        <v>Y</v>
      </c>
      <c r="J130" t="str">
        <v>N</v>
      </c>
      <c r="K130" t="str">
        <v>W/Div 10</v>
      </c>
      <c r="M130" t="str">
        <v>N</v>
      </c>
      <c r="N130" t="str">
        <v>W/Div 10</v>
      </c>
      <c r="P130" t="str">
        <v>N</v>
      </c>
      <c r="Q130" t="str">
        <v>W/Div 10</v>
      </c>
    </row>
    <row r="131" ht="16.5" customHeight="1">
      <c r="A131">
        <v>68</v>
      </c>
      <c r="B131" t="str">
        <v xml:space="preserve">CGD-01: Corner Guards, Inpro, 3/4", surface mounted </v>
      </c>
      <c r="C131" t="str">
        <v>Y</v>
      </c>
      <c r="J131" t="str">
        <v>N</v>
      </c>
      <c r="K131" t="str">
        <v>W/Div 10</v>
      </c>
      <c r="M131" t="str">
        <v>N</v>
      </c>
      <c r="N131" t="str">
        <v>w/Div 10</v>
      </c>
      <c r="P131" t="str">
        <v>N</v>
      </c>
      <c r="Q131" t="str">
        <v>W/Div 10</v>
      </c>
    </row>
    <row r="132" ht="16.5" customHeight="1">
      <c r="A132">
        <v>69</v>
      </c>
    </row>
    <row r="133" ht="16.5" customHeight="1">
      <c r="A133">
        <v>70</v>
      </c>
      <c r="B133" t="str">
        <v>Rough Carpentry</v>
      </c>
    </row>
    <row r="134" ht="16.5" customHeight="1">
      <c r="A134">
        <v>71</v>
      </c>
      <c r="B134" t="str">
        <v xml:space="preserve">Provide all in wall blocking as required as stated in the Contract Documents </v>
      </c>
      <c r="C134" t="str">
        <v>Y</v>
      </c>
      <c r="I134" s="8">
        <v>0</v>
      </c>
      <c r="J134" t="str">
        <v>Y</v>
      </c>
    </row>
    <row r="135" ht="16.5" customHeight="1">
      <c r="A135">
        <v>72</v>
      </c>
      <c r="B135" t="str">
        <v xml:space="preserve">Wood or sheet metal In-wall blocking, including but not limited to the following: </v>
      </c>
      <c r="C135" t="str">
        <v>Y</v>
      </c>
      <c r="I135" s="8">
        <v>0</v>
      </c>
      <c r="J135" t="str">
        <v>Y</v>
      </c>
    </row>
    <row r="136" ht="16.5" customHeight="1">
      <c r="A136">
        <v>73</v>
      </c>
      <c r="B136" t="str">
        <v xml:space="preserve">- Fire-treated wood blocking </v>
      </c>
      <c r="C136" t="str">
        <v>Y</v>
      </c>
      <c r="I136" s="8">
        <v>0</v>
      </c>
      <c r="J136" t="str">
        <v>Y</v>
      </c>
    </row>
    <row r="137" ht="16.5" customHeight="1">
      <c r="A137">
        <v>74</v>
      </c>
      <c r="B137" t="str">
        <v xml:space="preserve">- At wall mounted handrails </v>
      </c>
      <c r="C137" t="str">
        <v>Y</v>
      </c>
      <c r="I137" s="8">
        <v>0</v>
      </c>
      <c r="J137" t="str">
        <v>Y</v>
      </c>
    </row>
    <row r="138" ht="16.5" customHeight="1">
      <c r="A138">
        <v>75</v>
      </c>
      <c r="B138" t="str">
        <v xml:space="preserve">- At wall mounted cabinetry (base and wall cabinets; countertops) </v>
      </c>
      <c r="C138" t="str">
        <v>Y</v>
      </c>
      <c r="I138" s="8">
        <v>0</v>
      </c>
      <c r="J138" t="str">
        <v>Y</v>
      </c>
    </row>
    <row r="139" ht="15.75" customHeight="1">
      <c r="A139">
        <v>76</v>
      </c>
      <c r="B139" t="str">
        <v xml:space="preserve">- At toilet accessories </v>
      </c>
      <c r="C139" t="str">
        <v>Y</v>
      </c>
      <c r="I139" s="8">
        <v>0</v>
      </c>
      <c r="J139" t="str">
        <v>Y</v>
      </c>
    </row>
    <row r="140" ht="15.75" customHeight="1">
      <c r="A140">
        <v>77</v>
      </c>
      <c r="B140" t="str">
        <v xml:space="preserve">- At wall corner guards </v>
      </c>
      <c r="C140" t="str">
        <v>Y</v>
      </c>
      <c r="I140" s="8">
        <v>0</v>
      </c>
      <c r="J140" t="str">
        <v>N</v>
      </c>
      <c r="K140" t="str">
        <v>Not needed</v>
      </c>
    </row>
    <row r="141" ht="15.75" customHeight="1">
      <c r="A141">
        <v>78</v>
      </c>
      <c r="B141" t="str">
        <v xml:space="preserve">- At Parapet </v>
      </c>
      <c r="C141" t="str">
        <v>Y</v>
      </c>
      <c r="I141" s="8">
        <v>0</v>
      </c>
      <c r="J141" t="str">
        <v>Y</v>
      </c>
      <c r="M141" t="str">
        <v>Y</v>
      </c>
      <c r="N141" t="str">
        <v>ADD Per Proposal</v>
      </c>
      <c r="O141" s="8">
        <v>27782</v>
      </c>
    </row>
    <row r="142" ht="15.75" customHeight="1">
      <c r="A142">
        <v>79</v>
      </c>
      <c r="B142" t="str">
        <v xml:space="preserve">Receive, Unload, Catalogue, Store, and Install Only the following items: </v>
      </c>
      <c r="C142" t="str">
        <v>Y</v>
      </c>
      <c r="I142" s="8">
        <v>0</v>
      </c>
    </row>
    <row r="143" ht="15.75" customHeight="1">
      <c r="A143">
        <v>80</v>
      </c>
      <c r="B143" t="str">
        <v>- Hollow metal frames</v>
      </c>
      <c r="C143" t="str">
        <v>Y</v>
      </c>
      <c r="I143" s="8">
        <v>0</v>
      </c>
      <c r="J143" t="str">
        <v>Y</v>
      </c>
      <c r="M143" t="str">
        <v>Y</v>
      </c>
      <c r="N143" t="str">
        <v>ADD</v>
      </c>
      <c r="O143" s="8">
        <v>36985</v>
      </c>
      <c r="P143" t="str">
        <v>Y</v>
      </c>
    </row>
    <row r="144" ht="15.75" customHeight="1">
      <c r="A144">
        <v>81</v>
      </c>
      <c r="B144" t="str">
        <v>- Hollow metal doors</v>
      </c>
      <c r="C144" t="str">
        <v>Y</v>
      </c>
      <c r="I144" s="8">
        <v>0</v>
      </c>
      <c r="J144" t="str">
        <v>Y</v>
      </c>
      <c r="M144" t="str">
        <v>Y</v>
      </c>
      <c r="N144" t="str">
        <v>Incl</v>
      </c>
      <c r="P144" t="str">
        <v>Y</v>
      </c>
    </row>
    <row r="145" ht="15.75" customHeight="1">
      <c r="A145">
        <v>82</v>
      </c>
      <c r="B145" t="str">
        <v>- Wood doors</v>
      </c>
      <c r="C145" t="str">
        <v>Y</v>
      </c>
      <c r="I145" s="8">
        <v>0</v>
      </c>
      <c r="J145" t="str">
        <v>Y</v>
      </c>
      <c r="M145" t="str">
        <v>Y</v>
      </c>
      <c r="N145" t="str">
        <v>Incl</v>
      </c>
      <c r="P145" t="str">
        <v>Y</v>
      </c>
    </row>
    <row r="146" ht="15.75" customHeight="1">
      <c r="A146">
        <v>83</v>
      </c>
      <c r="B146" t="str">
        <v xml:space="preserve">- Door hardware sets </v>
      </c>
      <c r="C146" t="str">
        <v>Y</v>
      </c>
      <c r="I146" s="8">
        <v>0</v>
      </c>
      <c r="J146" t="str">
        <v>Y</v>
      </c>
      <c r="M146" t="str">
        <v>Y</v>
      </c>
      <c r="N146" t="str">
        <v>Incl</v>
      </c>
      <c r="P146" t="str">
        <v>Y</v>
      </c>
    </row>
    <row r="147" ht="15.75" customHeight="1">
      <c r="A147">
        <v>84</v>
      </c>
      <c r="B147" t="str">
        <v>- Louvers</v>
      </c>
      <c r="C147" t="str">
        <v>Y</v>
      </c>
      <c r="I147" s="8">
        <v>0</v>
      </c>
      <c r="J147" t="str">
        <v>N/A</v>
      </c>
      <c r="M147" t="str">
        <v>N/A</v>
      </c>
      <c r="P147" t="str">
        <v>N/A</v>
      </c>
    </row>
    <row r="148" ht="15.75" customHeight="1">
      <c r="A148">
        <v>85</v>
      </c>
      <c r="B148" t="str">
        <v xml:space="preserve">- Fire extinguisher cabinets </v>
      </c>
      <c r="C148" t="str">
        <v>Y</v>
      </c>
      <c r="I148" s="8">
        <v>0</v>
      </c>
      <c r="J148" t="str">
        <v>Y</v>
      </c>
      <c r="M148" t="str">
        <v>Y</v>
      </c>
      <c r="N148" t="str">
        <v>ADD Per Proposal</v>
      </c>
      <c r="O148" s="8">
        <v>2700</v>
      </c>
      <c r="P148" t="str">
        <v>Y</v>
      </c>
    </row>
    <row r="149" ht="15.75" customHeight="1">
      <c r="A149">
        <v>86</v>
      </c>
      <c r="B149" t="str">
        <v xml:space="preserve">- Toilet Accessories &amp; Partitions </v>
      </c>
      <c r="C149" t="str">
        <v>Y</v>
      </c>
      <c r="I149" s="8">
        <v>0</v>
      </c>
      <c r="J149" t="str">
        <v>Y</v>
      </c>
      <c r="M149" t="str">
        <v>Y</v>
      </c>
      <c r="N149" t="str">
        <v>ADD Per Proposal</v>
      </c>
      <c r="O149" s="8">
        <v>4860</v>
      </c>
      <c r="P149" t="str">
        <v>Y</v>
      </c>
    </row>
    <row r="150" ht="15.75" customHeight="1">
      <c r="A150">
        <v>87</v>
      </c>
      <c r="B150" t="str">
        <v>- Markerboards, tackboards</v>
      </c>
      <c r="C150" t="str">
        <v>Y</v>
      </c>
      <c r="I150" s="8">
        <v>0</v>
      </c>
      <c r="J150" t="str">
        <v>N</v>
      </c>
      <c r="K150" t="str">
        <v>W/Div 10</v>
      </c>
      <c r="M150" t="str">
        <v>Y</v>
      </c>
      <c r="N150" t="str">
        <v xml:space="preserve">W/Div 10 </v>
      </c>
      <c r="O150" s="8">
        <v>0</v>
      </c>
      <c r="P150" t="str">
        <v>N</v>
      </c>
      <c r="Q150" t="str">
        <v>W/Div 10</v>
      </c>
    </row>
    <row r="151" ht="14.25" customHeight="1">
      <c r="A151">
        <v>88</v>
      </c>
      <c r="B151" t="str">
        <v xml:space="preserve">Standard/General Scope of Work </v>
      </c>
    </row>
    <row r="152" ht="14.25" customHeight="1">
      <c r="A152">
        <v>89</v>
      </c>
      <c r="B152" t="str">
        <v>Include all material, tools, equipment, hoisting, supervision, etc for this work</v>
      </c>
      <c r="C152" t="str">
        <v>Y</v>
      </c>
      <c r="I152" s="8">
        <f>H152*F152</f>
        <v>0</v>
      </c>
    </row>
    <row r="153" ht="14.25" customHeight="1">
      <c r="A153">
        <v>90</v>
      </c>
      <c r="B153" t="str">
        <v>Assume free use of General Contractor's material hoist [confirm with GC's]</v>
      </c>
      <c r="C153" t="str">
        <v>Y</v>
      </c>
      <c r="I153" s="8">
        <f>H153*F153</f>
        <v>0</v>
      </c>
    </row>
    <row r="154" ht="14.25" customHeight="1">
      <c r="A154">
        <v>91</v>
      </c>
      <c r="B154" t="str">
        <v>Field cutting &amp; frame out to accommodate work of other trades to include windows, doors, lites, FEC's, toilet accessories, MEP/sprinkler penetrations, etc.</v>
      </c>
      <c r="C154" t="str">
        <v>Y</v>
      </c>
      <c r="I154" s="8">
        <f>H154*F154</f>
        <v>0</v>
      </c>
    </row>
    <row r="155" ht="14.25" customHeight="1">
      <c r="A155">
        <v>92</v>
      </c>
      <c r="B155" t="str">
        <v>Coordinate stud/ceiling layout with MEP trades - penetrations &amp; potential spatial conflicts; verify inspections prior to wall/ceiling close-ins</v>
      </c>
      <c r="C155" t="str">
        <v>Y</v>
      </c>
      <c r="I155" s="8">
        <f>H155*F155</f>
        <v>0</v>
      </c>
    </row>
    <row r="156" ht="14.25" customHeight="1">
      <c r="A156">
        <v>93</v>
      </c>
      <c r="B156" t="str">
        <v>Include all supplemental framing, bridging, bracing &amp; kickers necessary</v>
      </c>
      <c r="C156" t="str">
        <v>Y</v>
      </c>
      <c r="I156" s="8">
        <f>H156*F156</f>
        <v>0</v>
      </c>
    </row>
    <row r="157" ht="14.25" customHeight="1">
      <c r="A157">
        <v>94</v>
      </c>
      <c r="B157" t="str">
        <v>Include installation of access doors in drywall (furnished by others)</v>
      </c>
      <c r="C157" t="str">
        <v>Y</v>
      </c>
      <c r="I157" s="8">
        <f>H157*F157</f>
        <v>0</v>
      </c>
    </row>
    <row r="158" ht="14.25" customHeight="1">
      <c r="A158">
        <v>95</v>
      </c>
      <c r="B158" t="str">
        <v>Accessories to include corner/casing beads, trim, primers, tapes, adhesives, sealants, shims, gaskets, screws/anchors/fasteners, etc</v>
      </c>
      <c r="C158" t="str">
        <v>Y</v>
      </c>
      <c r="I158" s="8">
        <f>H158*F158</f>
        <v>0</v>
      </c>
    </row>
    <row r="159" ht="14.25" customHeight="1">
      <c r="A159">
        <v>96</v>
      </c>
      <c r="B159" t="str">
        <v xml:space="preserve">Include extra stock per Specifications </v>
      </c>
      <c r="C159" t="str">
        <v>Y</v>
      </c>
      <c r="I159" s="8">
        <v>0</v>
      </c>
    </row>
    <row r="160" ht="14.25" customHeight="1">
      <c r="A160">
        <v>97</v>
      </c>
      <c r="B160" t="str">
        <v>Layout from GC control lines and benchmarks</v>
      </c>
      <c r="C160" t="str">
        <v>Y</v>
      </c>
      <c r="I160" s="8">
        <f>H160*F160</f>
        <v>0</v>
      </c>
      <c r="M160" t="str">
        <v>Y</v>
      </c>
    </row>
    <row r="161" ht="14.25" customHeight="1">
      <c r="A161">
        <v>98</v>
      </c>
      <c r="B161" t="str">
        <v>Clean up to MCN dumpster</v>
      </c>
      <c r="C161" t="str">
        <v>Y</v>
      </c>
      <c r="I161" s="8">
        <f>H161*F161</f>
        <v>0</v>
      </c>
      <c r="M161" t="str">
        <v>Y</v>
      </c>
    </row>
    <row r="162" ht="14.25" customHeight="1">
      <c r="A162">
        <v>99</v>
      </c>
      <c r="B162" t="str">
        <v>Shop dwgs, samples, product data, certs, etc</v>
      </c>
      <c r="C162" t="str">
        <v>Y</v>
      </c>
      <c r="I162" s="8">
        <f>H162*F162</f>
        <v>0</v>
      </c>
    </row>
    <row r="163" ht="14.25" customHeight="1">
      <c r="A163">
        <v>100</v>
      </c>
      <c r="B163" t="str">
        <v>Provide all mockups required by the Contract Documents</v>
      </c>
      <c r="C163" t="str">
        <v>Y</v>
      </c>
      <c r="I163" s="8">
        <f>H163*F163</f>
        <v>0</v>
      </c>
    </row>
    <row r="164" ht="14.25" customHeight="1">
      <c r="A164">
        <v>101</v>
      </c>
      <c r="B164" t="str">
        <v xml:space="preserve">Provide all manufacturer's standards warranties for materials incorporated into the Work </v>
      </c>
      <c r="C164" t="str">
        <v>Y</v>
      </c>
      <c r="I164" s="8">
        <v>0</v>
      </c>
    </row>
    <row r="165" ht="14.25" customHeight="1">
      <c r="A165">
        <v>102</v>
      </c>
      <c r="B165" t="str">
        <v xml:space="preserve">Provide all mobilizations necessary to perform the Work included in the Drywall Scope, across all applicable specification sections, in accordance with the Contract Documents and project schedule </v>
      </c>
      <c r="C165" t="str">
        <v>Y</v>
      </c>
      <c r="I165" s="8">
        <v>0</v>
      </c>
    </row>
    <row r="166" ht="14.25" customHeight="1">
      <c r="A166">
        <v>103</v>
      </c>
      <c r="B166" t="str">
        <v xml:space="preserve">Provide all labor, materials, equipment, test samples, and documentation necessary to support required testing and inspections </v>
      </c>
      <c r="C166" t="str">
        <v>Y</v>
      </c>
      <c r="I166" s="8">
        <v>0</v>
      </c>
    </row>
    <row r="167" ht="14.25" customHeight="1">
      <c r="A167" t="str">
        <v>C</v>
      </c>
      <c r="B167" t="str">
        <v>Exclusions</v>
      </c>
    </row>
    <row r="168" ht="14.25" customHeight="1">
      <c r="A168">
        <v>1</v>
      </c>
      <c r="B168" t="str">
        <v>Fire safing at curtainwall slab edges</v>
      </c>
      <c r="C168" t="str">
        <v>N</v>
      </c>
      <c r="D168" t="str">
        <v xml:space="preserve">By Others </v>
      </c>
      <c r="J168" t="str">
        <v>N</v>
      </c>
    </row>
    <row r="169" ht="14.25" customHeight="1">
      <c r="A169">
        <f>A168+1</f>
        <v>2</v>
      </c>
      <c r="B169" t="str">
        <v>Fire stopping of penetrations through drywall</v>
      </c>
      <c r="C169" t="str">
        <v>N</v>
      </c>
      <c r="D169" t="str">
        <v>By MEP Subcontractor</v>
      </c>
      <c r="J169" t="str">
        <v>N</v>
      </c>
    </row>
    <row r="170" ht="14.25" customHeight="1">
      <c r="A170" t="str">
        <v>D</v>
      </c>
      <c r="B170" t="str">
        <v>Schedule</v>
      </c>
    </row>
    <row r="171" ht="14.25" customHeight="1">
      <c r="A171">
        <v>1</v>
      </c>
      <c r="B171" t="str">
        <v>Meet MCN Schedule</v>
      </c>
      <c r="C171" t="str">
        <v>Y</v>
      </c>
    </row>
    <row r="172" ht="14.25" customHeight="1">
      <c r="A172">
        <f>A171+1</f>
        <v>2</v>
      </c>
      <c r="B172" t="str">
        <v>Advise of Durations</v>
      </c>
    </row>
    <row r="173" ht="14.25" customHeight="1">
      <c r="A173">
        <f>A172+1</f>
        <v>3</v>
      </c>
      <c r="B173" t="str">
        <v xml:space="preserve">Framing/Partitions </v>
      </c>
      <c r="C173" t="str">
        <v>---&gt;</v>
      </c>
    </row>
    <row r="174" ht="14.25" customHeight="1">
      <c r="A174">
        <f>A173+1</f>
        <v>4</v>
      </c>
      <c r="B174" t="str">
        <v xml:space="preserve">Drywall Board </v>
      </c>
      <c r="C174" t="str">
        <v>---&gt;</v>
      </c>
    </row>
    <row r="175" ht="14.25" customHeight="1">
      <c r="A175">
        <f>A174+1</f>
        <v>5</v>
      </c>
      <c r="B175" t="str">
        <v xml:space="preserve">Ceiling </v>
      </c>
      <c r="C175" t="str">
        <v>---&gt;</v>
      </c>
    </row>
    <row r="176" ht="14.25" customHeight="1">
      <c r="A176">
        <f>A175+1</f>
        <v>6</v>
      </c>
      <c r="B176" t="str">
        <v>Submittals and Shop Drawings</v>
      </c>
      <c r="C176" t="str">
        <v>---&gt;</v>
      </c>
    </row>
    <row r="177" ht="14.25" customHeight="1">
      <c r="A177">
        <f>A176+1</f>
        <v>7</v>
      </c>
      <c r="B177" t="str">
        <v>Advise of Lead Times:</v>
      </c>
    </row>
    <row r="178" ht="14.25" customHeight="1">
      <c r="A178">
        <f>A177+1</f>
        <v>8</v>
      </c>
      <c r="B178" t="str">
        <v>Installation</v>
      </c>
      <c r="C178" t="str">
        <v>---&gt;</v>
      </c>
    </row>
    <row r="179" ht="14.25" customHeight="1">
      <c r="A179">
        <f>A178+1</f>
        <v>9</v>
      </c>
      <c r="B179" t="str">
        <v xml:space="preserve">ACT Ceiling </v>
      </c>
      <c r="C179" t="str">
        <v>---&gt;</v>
      </c>
    </row>
    <row r="180" ht="14.25" customHeight="1"/>
    <row r="181" ht="14.25" customHeight="1">
      <c r="B181" t="str">
        <v>Allowances</v>
      </c>
    </row>
    <row r="182" ht="14.25" customHeight="1">
      <c r="A182">
        <v>1</v>
      </c>
    </row>
    <row r="183" ht="14.25" customHeight="1">
      <c r="A183">
        <f>A182+1</f>
        <v>2</v>
      </c>
    </row>
    <row r="184" ht="14.25" customHeight="1">
      <c r="A184">
        <f>A183+1</f>
        <v>3</v>
      </c>
    </row>
    <row r="185" ht="14.25" customHeight="1">
      <c r="A185">
        <f>A184+1</f>
        <v>4</v>
      </c>
    </row>
    <row r="186" ht="14.25" customHeight="1"/>
    <row r="187" ht="14.25" customHeight="1"/>
    <row r="188" ht="14.25" customHeight="1">
      <c r="B188" t="str">
        <v>Alternates</v>
      </c>
    </row>
    <row r="189" ht="14.25" customHeight="1">
      <c r="A189">
        <v>1</v>
      </c>
      <c r="B189" t="str">
        <v xml:space="preserve">Deduct/ADD #1 - BO pricing for installation of brick ties </v>
      </c>
      <c r="C189" t="str">
        <v>#</v>
      </c>
      <c r="M189" t="str">
        <v>Y</v>
      </c>
      <c r="N189" t="str">
        <v>ADD - $22,767</v>
      </c>
      <c r="P189" t="str">
        <v>Y</v>
      </c>
      <c r="Q189" t="str">
        <v>Deduct - $63,000</v>
      </c>
    </row>
    <row r="190" ht="14.25" customHeight="1">
      <c r="A190">
        <f>A189+1</f>
        <v>2</v>
      </c>
      <c r="B190" t="str">
        <v xml:space="preserve">Add Alternate #1 - BO pricing for installation only of corner guards </v>
      </c>
      <c r="C190" t="str">
        <v>#</v>
      </c>
      <c r="P190" t="str">
        <v>Y</v>
      </c>
      <c r="Q190" t="str">
        <v>ADD - $623.18</v>
      </c>
    </row>
    <row r="191" ht="14.25" customHeight="1">
      <c r="A191">
        <f>A190+1</f>
        <v>3</v>
      </c>
      <c r="B191" t="str">
        <v xml:space="preserve">Add Alternate #2 - BO pricing for furnishing and installing corner guards </v>
      </c>
      <c r="C191" t="str">
        <v>#</v>
      </c>
      <c r="P191" t="str">
        <v>Y</v>
      </c>
      <c r="Q191" t="str">
        <v>ADD - $1,871</v>
      </c>
    </row>
    <row r="192" ht="14.25" customHeight="1">
      <c r="A192">
        <f>A191+1</f>
        <v>4</v>
      </c>
      <c r="B192" t="str">
        <v>Add Alternate #3 - BO pricing for installation of visual display boards</v>
      </c>
      <c r="C192" t="str">
        <v>#</v>
      </c>
      <c r="M192" t="str">
        <v>Y</v>
      </c>
      <c r="N192" t="str">
        <v>ADD - $6,708</v>
      </c>
      <c r="P192" t="str">
        <v>Y</v>
      </c>
      <c r="Q192" t="str">
        <v>ADD - $9,748</v>
      </c>
    </row>
    <row r="193" ht="14.25" customHeight="1">
      <c r="C193" t="str">
        <v>#</v>
      </c>
    </row>
    <row r="194" ht="14.25" customHeight="1">
      <c r="B194" t="str">
        <v>Unit Prices</v>
      </c>
    </row>
    <row r="195" ht="14.25" customHeight="1">
      <c r="A195">
        <v>1</v>
      </c>
      <c r="C195" t="str">
        <v>#</v>
      </c>
    </row>
    <row r="196" ht="14.25" customHeight="1">
      <c r="A196">
        <f>A195+1</f>
        <v>2</v>
      </c>
      <c r="C196" t="str">
        <v>#</v>
      </c>
    </row>
    <row r="197" ht="14.25" customHeight="1">
      <c r="A197">
        <f>A196+1</f>
        <v>3</v>
      </c>
      <c r="C197" t="str">
        <v>#</v>
      </c>
    </row>
    <row r="198" ht="14.25" customHeight="1">
      <c r="A198">
        <f>A197+1</f>
        <v>4</v>
      </c>
      <c r="C198" t="str">
        <v>#</v>
      </c>
    </row>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2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 xml:space="preserve">Floors Etc </v>
      </c>
      <c r="N1" t="str">
        <v>Admiral</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Ata Rad</v>
      </c>
      <c r="N2" t="str">
        <v xml:space="preserve">Fred Nustray </v>
      </c>
      <c r="Q2" t="str">
        <v>Name</v>
      </c>
      <c r="T2" t="str">
        <v>Name</v>
      </c>
      <c r="W2" t="str">
        <v>Name</v>
      </c>
      <c r="Z2" t="str">
        <v>Name</v>
      </c>
      <c r="AC2" t="str">
        <v>Name</v>
      </c>
      <c r="AH2" t="str">
        <v>MCN</v>
      </c>
      <c r="AM2" s="8">
        <f>I9</f>
        <v>0</v>
      </c>
    </row>
    <row r="3" ht="14.25" customHeight="1" outlineLevel="1">
      <c r="I3" t="str">
        <v>Email:</v>
      </c>
      <c r="K3" t="str">
        <v>arad@floors-etc.com</v>
      </c>
      <c r="N3" t="str">
        <v>fred@admiraldc.com</v>
      </c>
      <c r="Q3" t="str">
        <v>Email</v>
      </c>
      <c r="T3" t="str">
        <v>Email</v>
      </c>
      <c r="W3" t="str">
        <v>Email</v>
      </c>
      <c r="Z3" t="str">
        <v>Email</v>
      </c>
      <c r="AC3" t="str">
        <v>Email</v>
      </c>
      <c r="AH3">
        <v>1</v>
      </c>
      <c r="AI3" t="str">
        <f>IFNA(INDEX($K$1:$AE$1,1,MATCH($AH3,$K$10:$AE$10,0)),"")</f>
        <v xml:space="preserve">Floors Etc </v>
      </c>
      <c r="AJ3" s="3">
        <f t="array" ref="AJ3">IFNA(INDEX($K$6:$AE$6,1,MATCH($AH3,$K$10:$AE$10,0)+1),"")</f>
        <v>60049</v>
      </c>
      <c r="AK3" s="3">
        <f t="array" ref="AK3">IFNA(INDEX($K$7:$AE$7,1,MATCH($AH3,$K$10:$AE$10,0)+1),"")</f>
        <v>4715</v>
      </c>
      <c r="AL3" s="3">
        <f t="array" ref="AL3">IFNA(INDEX($K$8:$AE$8,1,MATCH($AH3,$K$10:$AE$10,0)+1),"")</f>
        <v>1295.28</v>
      </c>
      <c r="AM3" s="3">
        <f t="array" ref="AM3">IFNA(INDEX($K$9:$AE$9,1,MATCH($AH3,$K$10:$AE$10,0)+1),"")</f>
        <v>66059.28</v>
      </c>
      <c r="AO3" s="9">
        <f>IFERROR(AN3*AM3,0)</f>
        <v>0</v>
      </c>
    </row>
    <row r="4" ht="14.25" customHeight="1" outlineLevel="1">
      <c r="A4" t="str">
        <v>Trade:</v>
      </c>
      <c r="B4" t="str">
        <v>09 - TILE</v>
      </c>
      <c r="I4" t="str">
        <v>Phone:</v>
      </c>
      <c r="K4" t="str">
        <v>410-329-9680</v>
      </c>
      <c r="N4" t="str">
        <v>301-789-6393</v>
      </c>
      <c r="Q4" t="str">
        <v>Number</v>
      </c>
      <c r="T4" t="str">
        <v>Number</v>
      </c>
      <c r="W4" t="str">
        <v>Number</v>
      </c>
      <c r="Z4" t="str">
        <v>Number</v>
      </c>
      <c r="AC4" t="str">
        <v>Number</v>
      </c>
      <c r="AH4">
        <v>2</v>
      </c>
      <c r="AI4" t="str">
        <f>IFNA(INDEX($K$1:$AE$1,1,MATCH($AH4,$K$10:$AE$10,0)),"")</f>
        <v>Admiral</v>
      </c>
      <c r="AJ4" s="3">
        <f t="array" ref="AJ4">IFNA(INDEX($K$6:$AE$6,1,MATCH($AH4,$K$10:$AE$10,0)+1),"")</f>
        <v>100000</v>
      </c>
      <c r="AK4" s="3">
        <f t="array" ref="AK4">IFNA(INDEX($K$7:$AE$7,1,MATCH($AH4,$K$10:$AE$10,0)+1),"")</f>
        <v>0</v>
      </c>
      <c r="AL4" s="3">
        <f t="array" ref="AL4">IFNA(INDEX($K$8:$AE$8,1,MATCH($AH4,$K$10:$AE$10,0)+1),"")</f>
        <v>2000</v>
      </c>
      <c r="AM4" s="3">
        <f t="array" ref="AM4">IFNA(INDEX($K$9:$AE$9,1,MATCH($AH4,$K$10:$AE$10,0)+1),"")</f>
        <v>102000</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60049</v>
      </c>
      <c r="N6" t="str">
        <v>Base Bid:</v>
      </c>
      <c r="O6" s="4">
        <v>100000</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Nija Thomas </v>
      </c>
      <c r="C7" t="str">
        <v>Contact:</v>
      </c>
      <c r="G7" s="8" t="str">
        <v>| MCN Budget</v>
      </c>
      <c r="I7" s="8">
        <f>SUM(I20:I101,I13:I18)</f>
        <v>0</v>
      </c>
      <c r="K7" t="str">
        <v>Adjustments:</v>
      </c>
      <c r="L7" s="4">
        <f>SUM(L13:L18,L20:L101)</f>
        <v>4715</v>
      </c>
      <c r="N7" t="str">
        <v>Adjustments:</v>
      </c>
      <c r="O7" s="4">
        <f>SUM(O13:O18,O20:O101)</f>
        <v>0</v>
      </c>
      <c r="Q7" t="str">
        <v>Adjustments:</v>
      </c>
      <c r="R7" s="4">
        <f>SUM(R13:R18,R20:R101)</f>
        <v>0</v>
      </c>
      <c r="T7" t="str">
        <v>Adjustments:</v>
      </c>
      <c r="U7" s="4">
        <f>SUM(U13:U18,U20:U101)</f>
        <v>0</v>
      </c>
      <c r="W7" t="str">
        <v>Adjustments:</v>
      </c>
      <c r="X7" s="4">
        <f>SUM(X13:X18,X20:X101)</f>
        <v>0</v>
      </c>
      <c r="Z7" t="str">
        <v>Adjustments:</v>
      </c>
      <c r="AA7" s="4">
        <f>SUM(AA13:AA18,AA20:AA101)</f>
        <v>0</v>
      </c>
      <c r="AC7" t="str">
        <v>Adjustments:</v>
      </c>
      <c r="AD7" s="4">
        <f>SUM(AD13:AD18,AD20:AD101)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 xml:space="preserve">nija.thomas@mcnbuild.com </v>
      </c>
      <c r="C8" t="str">
        <v>Email:</v>
      </c>
      <c r="F8" s="10">
        <v>0.02</v>
      </c>
      <c r="G8" s="8" t="str">
        <v>| Bond</v>
      </c>
      <c r="I8" s="8">
        <f>F8*I7</f>
        <v>0</v>
      </c>
      <c r="J8" s="10">
        <v>0.02</v>
      </c>
      <c r="K8" t="str">
        <v>Bond:</v>
      </c>
      <c r="L8" s="4">
        <f>J8*SUM(L6:L7)</f>
        <v>1295.28</v>
      </c>
      <c r="M8" s="10">
        <v>0.02</v>
      </c>
      <c r="N8" t="str">
        <v>Bond:</v>
      </c>
      <c r="O8" s="4">
        <f>M8*SUM(O6:O7)</f>
        <v>2000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 xml:space="preserve">202-710-7534 </v>
      </c>
      <c r="C9" t="str">
        <v>Phone:</v>
      </c>
      <c r="G9" t="str">
        <v>-----</v>
      </c>
      <c r="H9" s="8" t="str">
        <v xml:space="preserve">  --------&gt;</v>
      </c>
      <c r="I9" s="8">
        <f>SUM(I7:I8)</f>
        <v>0</v>
      </c>
      <c r="K9" t="str">
        <v>Total Bid:</v>
      </c>
      <c r="L9" s="4">
        <f>IF(L5="FULL SCOPE",SUM(L6:L8),"not level")</f>
        <v>66059.28</v>
      </c>
      <c r="N9" t="str">
        <v>Total Bid:</v>
      </c>
      <c r="O9" s="4">
        <f>IF(O5="FULL SCOPE",SUM(O6:O8),"not level")</f>
        <v>102000</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J19" t="str">
        <v>Y</v>
      </c>
      <c r="K19" t="str">
        <v>Sales Tax Exclu</v>
      </c>
      <c r="L19" s="8">
        <v>58359</v>
      </c>
      <c r="M19" t="str">
        <v>Y</v>
      </c>
      <c r="N19" t="str">
        <v>Sales Tax Excl</v>
      </c>
      <c r="O19" s="8">
        <v>100000</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row>
    <row r="22" ht="14.25" customHeight="1">
      <c r="A22">
        <f>A21+1</f>
        <v>4</v>
      </c>
      <c r="B22" t="str">
        <v xml:space="preserve">Ceramic Tiling </v>
      </c>
      <c r="C22" t="str">
        <v>#</v>
      </c>
      <c r="D22" t="str">
        <v>$</v>
      </c>
      <c r="I22" s="8">
        <f>H22*F22</f>
        <v>0</v>
      </c>
      <c r="M22" t="str">
        <v>Y</v>
      </c>
    </row>
    <row r="23" ht="14.25" customHeight="1">
      <c r="A23">
        <v>5</v>
      </c>
      <c r="B23" t="str">
        <v xml:space="preserve">Quarry Tiling </v>
      </c>
      <c r="C23" t="str">
        <v>#</v>
      </c>
      <c r="D23" t="str">
        <v>$</v>
      </c>
      <c r="I23" s="8">
        <v>0</v>
      </c>
      <c r="M23" t="str">
        <v>Y</v>
      </c>
    </row>
    <row r="24" ht="14.25" customHeight="1">
      <c r="A24">
        <f>A23+1</f>
        <v>6</v>
      </c>
      <c r="B24" t="str">
        <v>Key Quantity Breakdown</v>
      </c>
    </row>
    <row r="25" ht="14.25" customHeight="1">
      <c r="A25">
        <f>A24+1</f>
        <v>7</v>
      </c>
      <c r="B25" t="str">
        <v xml:space="preserve">Ceramic Tiling </v>
      </c>
      <c r="C25" t="str">
        <v>#</v>
      </c>
      <c r="D25" t="str">
        <v>SF</v>
      </c>
      <c r="I25" s="8">
        <f>H25*F25</f>
        <v>0</v>
      </c>
      <c r="M25" t="str">
        <v>Y</v>
      </c>
    </row>
    <row r="26" ht="14.25" customHeight="1">
      <c r="A26">
        <v>8</v>
      </c>
      <c r="B26" t="str">
        <v xml:space="preserve">Quarry Tiling </v>
      </c>
      <c r="C26" t="str">
        <v>#</v>
      </c>
      <c r="D26" t="str">
        <v>SF</v>
      </c>
      <c r="I26" s="8">
        <v>0</v>
      </c>
      <c r="M26" t="str">
        <v>Y</v>
      </c>
    </row>
    <row r="27" ht="14.25" customHeight="1">
      <c r="B27" t="str">
        <v>Section 3 - Scope of Work</v>
      </c>
    </row>
    <row r="28" ht="14.25" customHeight="1">
      <c r="B28" t="str">
        <v xml:space="preserve">Furnish and Install All Items UON (Unless Otherwise Noted) </v>
      </c>
      <c r="C28" t="str">
        <v>Y</v>
      </c>
      <c r="J28" t="str">
        <v>Y</v>
      </c>
      <c r="M28" t="str">
        <v>Y</v>
      </c>
    </row>
    <row r="29" ht="14.25" customHeight="1">
      <c r="A29" t="str">
        <v>A</v>
      </c>
      <c r="B29" t="str">
        <v>Specifications</v>
      </c>
    </row>
    <row r="30" ht="14.25" customHeight="1">
      <c r="B30" t="str">
        <v xml:space="preserve">Division 01 - General Requirements (as applicable to this Bid Package) </v>
      </c>
      <c r="C30" t="str">
        <v>Y</v>
      </c>
      <c r="J30" t="str">
        <v>Y</v>
      </c>
      <c r="M30" t="str">
        <v>Y</v>
      </c>
    </row>
    <row r="31" ht="14.25" customHeight="1">
      <c r="B31" t="str">
        <v xml:space="preserve">07 92 00 - Joint Sealants (as applicable to this Bid Package) </v>
      </c>
      <c r="C31" t="str">
        <v>Y</v>
      </c>
      <c r="M31" t="str">
        <v>Y</v>
      </c>
    </row>
    <row r="32" ht="14.25" customHeight="1">
      <c r="B32" t="str">
        <v xml:space="preserve">09 30 13 - Ceramic Tiling </v>
      </c>
      <c r="C32" t="str">
        <v>Y</v>
      </c>
      <c r="J32" t="str">
        <v>Y</v>
      </c>
      <c r="M32" t="str">
        <v>Y</v>
      </c>
    </row>
    <row r="33" ht="14.25" customHeight="1">
      <c r="A33" t="str">
        <v>B</v>
      </c>
      <c r="B33" t="str">
        <v>Inclusions</v>
      </c>
    </row>
    <row r="34" ht="14.25" customHeight="1">
      <c r="A34">
        <v>1</v>
      </c>
      <c r="B34" t="str">
        <v>SPECIFIC SCOPE ITEMS</v>
      </c>
      <c r="C34" t="str">
        <v>Y</v>
      </c>
      <c r="I34" s="8">
        <f>H34*F34</f>
        <v>0</v>
      </c>
      <c r="J34" t="str">
        <v>Y</v>
      </c>
      <c r="M34" t="str">
        <v>Y</v>
      </c>
    </row>
    <row r="35" ht="14.25" customHeight="1">
      <c r="A35">
        <v>2</v>
      </c>
      <c r="B35" t="str">
        <v>Porcelain Tile</v>
      </c>
    </row>
    <row r="36" ht="14.25" customHeight="1">
      <c r="A36">
        <v>3</v>
      </c>
      <c r="B36" t="str">
        <v>Floor tile as scheduled:</v>
      </c>
      <c r="C36" t="str">
        <v>Y</v>
      </c>
      <c r="I36" s="8">
        <f>H36*F36</f>
        <v>0</v>
      </c>
      <c r="J36" t="str">
        <v>Y</v>
      </c>
      <c r="M36" t="str">
        <v>Y</v>
      </c>
    </row>
    <row r="37" ht="14.25" customHeight="1">
      <c r="A37">
        <v>4</v>
      </c>
      <c r="B37" t="str">
        <v xml:space="preserve">Provide tile type/color as per schedule at the locations specified on the drawings: </v>
      </c>
      <c r="C37" t="str">
        <v>Y</v>
      </c>
      <c r="I37" s="8">
        <f>H37*F37</f>
        <v>0</v>
      </c>
      <c r="J37" t="str">
        <v>Y</v>
      </c>
      <c r="M37" t="str">
        <v>Y</v>
      </c>
    </row>
    <row r="38" ht="14.25" customHeight="1">
      <c r="A38">
        <v>5</v>
      </c>
      <c r="B38" t="str">
        <v>Furnish and Install (FT-01)  BOD [TileBar - Nashville - Taupe, Matte Finish]</v>
      </c>
      <c r="C38" t="str">
        <v>Y</v>
      </c>
      <c r="I38" s="8">
        <v>0</v>
      </c>
      <c r="J38" t="str">
        <v>Y</v>
      </c>
      <c r="M38" t="str">
        <v>Y</v>
      </c>
    </row>
    <row r="39" ht="14.25" customHeight="1">
      <c r="A39">
        <v>6</v>
      </c>
      <c r="B39" t="str">
        <v>Furnish and Install (FT-02) BOD [TileBar - Nashville - Taupe, Matte Finish]</v>
      </c>
      <c r="C39" t="str">
        <v>Y</v>
      </c>
      <c r="I39" s="8">
        <v>0</v>
      </c>
      <c r="J39" t="str">
        <v>Y</v>
      </c>
      <c r="M39" t="str">
        <v>Y</v>
      </c>
    </row>
    <row r="40" ht="14.25" customHeight="1">
      <c r="A40">
        <v>7</v>
      </c>
    </row>
    <row r="41" ht="14.25" customHeight="1">
      <c r="A41">
        <v>8</v>
      </c>
      <c r="B41" t="str">
        <v>Wall Tile</v>
      </c>
    </row>
    <row r="42" ht="14.25" customHeight="1">
      <c r="A42">
        <v>9</v>
      </c>
      <c r="B42" t="str">
        <v xml:space="preserve">Provide tile type/color as per schedule at the locations specified on the drawings: </v>
      </c>
      <c r="C42" t="str">
        <v>Y</v>
      </c>
      <c r="I42" s="8">
        <v>0</v>
      </c>
      <c r="J42" t="str">
        <v>Y</v>
      </c>
      <c r="M42" t="str">
        <v>Y</v>
      </c>
    </row>
    <row r="43" ht="14.25" customHeight="1">
      <c r="A43">
        <v>10</v>
      </c>
      <c r="B43" t="str">
        <v>Furnish and Install (WT-01) BOD [TileBar - Nashville - Beige, Matte Finish]</v>
      </c>
      <c r="C43" t="str">
        <v>Y</v>
      </c>
      <c r="I43" s="8">
        <v>0</v>
      </c>
      <c r="J43" t="str">
        <v>Y</v>
      </c>
      <c r="M43" t="str">
        <v>Y</v>
      </c>
    </row>
    <row r="44" ht="14.25" customHeight="1">
      <c r="A44">
        <v>11</v>
      </c>
      <c r="B44" t="str">
        <v xml:space="preserve">Furnish and Install (WT-02) [TileBar - Nashville - Beige, Matte Finish] </v>
      </c>
      <c r="C44" t="str">
        <v>Y</v>
      </c>
      <c r="I44" s="8">
        <v>0</v>
      </c>
      <c r="J44" t="str">
        <v>Y</v>
      </c>
      <c r="M44" t="str">
        <v>Y</v>
      </c>
    </row>
    <row r="45" ht="14.25" customHeight="1">
      <c r="A45">
        <v>12</v>
      </c>
    </row>
    <row r="46" ht="14.25" customHeight="1">
      <c r="A46">
        <v>13</v>
      </c>
      <c r="B46" t="str">
        <v xml:space="preserve">Quarry Tile </v>
      </c>
    </row>
    <row r="47" ht="14.25" customHeight="1">
      <c r="A47">
        <v>14</v>
      </c>
      <c r="B47" t="str">
        <v xml:space="preserve">Provide tile type/color as per schedule at the locations specified on the drawings: </v>
      </c>
      <c r="C47" t="str">
        <v>Y</v>
      </c>
      <c r="I47" s="8">
        <v>0</v>
      </c>
      <c r="J47" t="str">
        <v>Y</v>
      </c>
      <c r="M47" t="str">
        <v>Y</v>
      </c>
    </row>
    <row r="48" ht="14.25" customHeight="1">
      <c r="A48">
        <v>15</v>
      </c>
      <c r="B48" t="str">
        <v xml:space="preserve">Furnish and Install (QT-01) BOD [Daltile - Quarry Tile - Ahen Grey, Abrasive] </v>
      </c>
      <c r="C48" t="str">
        <v>Y</v>
      </c>
      <c r="I48" s="8">
        <v>0</v>
      </c>
      <c r="J48" t="str">
        <v>Y</v>
      </c>
      <c r="M48" t="str">
        <v>Y</v>
      </c>
    </row>
    <row r="49" ht="14.25" customHeight="1">
      <c r="A49">
        <v>16</v>
      </c>
    </row>
    <row r="50" ht="14.25" customHeight="1">
      <c r="A50">
        <v>17</v>
      </c>
      <c r="B50" t="str">
        <v xml:space="preserve">Base </v>
      </c>
    </row>
    <row r="51" ht="14.25" customHeight="1">
      <c r="A51">
        <v>18</v>
      </c>
      <c r="B51" t="str">
        <v xml:space="preserve">Provide tile type/color as per schedule at the locations specified on the drawings: </v>
      </c>
      <c r="C51" t="str">
        <v>Y</v>
      </c>
      <c r="I51" s="8">
        <v>0</v>
      </c>
      <c r="J51" t="str">
        <v>Y</v>
      </c>
      <c r="M51" t="str">
        <v>Y</v>
      </c>
    </row>
    <row r="52" ht="14.25" customHeight="1">
      <c r="A52">
        <v>19</v>
      </c>
      <c r="B52" t="str">
        <v>Furnish and Install (TB-01) BOD [TileBar - Nashville - Beige, Matte Finish]</v>
      </c>
      <c r="C52" t="str">
        <v>Y</v>
      </c>
      <c r="I52" s="8">
        <v>0</v>
      </c>
      <c r="J52" t="str">
        <v>Y</v>
      </c>
    </row>
    <row r="53" ht="14.25" customHeight="1">
      <c r="A53">
        <v>20</v>
      </c>
      <c r="B53" t="str">
        <v xml:space="preserve">Furnish and Install (TB-02) BOD [Daltile - Quarry Tile Round Top Cove Base Q3565 - Beige, Matte Finish] </v>
      </c>
      <c r="C53" t="str">
        <v>Y</v>
      </c>
      <c r="I53" s="8">
        <v>0</v>
      </c>
      <c r="J53" t="str">
        <v>Y</v>
      </c>
      <c r="M53" t="str">
        <v>Y</v>
      </c>
    </row>
    <row r="54" ht="14.25" customHeight="1">
      <c r="A54">
        <v>21</v>
      </c>
    </row>
    <row r="55" ht="14.25" customHeight="1">
      <c r="A55">
        <v>22</v>
      </c>
      <c r="B55" t="str">
        <v xml:space="preserve">Standard/General Scope </v>
      </c>
    </row>
    <row r="56" ht="14.25" customHeight="1">
      <c r="A56">
        <v>23</v>
      </c>
      <c r="B56" t="str">
        <v>Include all material, tools, equipment, hoisting, supervision, etc for this work</v>
      </c>
      <c r="C56" t="str">
        <v>Y</v>
      </c>
      <c r="I56" s="8">
        <f>H56*F56</f>
        <v>0</v>
      </c>
      <c r="J56" t="str">
        <v>Y</v>
      </c>
    </row>
    <row r="57" ht="14.25" customHeight="1">
      <c r="A57">
        <v>24</v>
      </c>
      <c r="B57" t="str">
        <v xml:space="preserve">Leveling compound for slope is by this Subcontractor </v>
      </c>
      <c r="C57" t="str">
        <v>Y</v>
      </c>
      <c r="I57" s="8">
        <f>H57*F57</f>
        <v>0</v>
      </c>
      <c r="J57" t="str">
        <v>Y</v>
      </c>
    </row>
    <row r="58" ht="14.25" customHeight="1">
      <c r="A58">
        <v>25</v>
      </c>
      <c r="B58" t="str">
        <v xml:space="preserve">Include all grouting required for a complete and finished installation </v>
      </c>
      <c r="C58" t="str">
        <v>Y</v>
      </c>
      <c r="I58" s="8">
        <v>0</v>
      </c>
      <c r="J58" t="str">
        <v>Y</v>
      </c>
    </row>
    <row r="59" ht="14.25" customHeight="1">
      <c r="A59">
        <v>26</v>
      </c>
      <c r="B59" t="str">
        <v>Include all required metal edge strips</v>
      </c>
      <c r="C59" t="str">
        <v>Y</v>
      </c>
      <c r="I59" s="8">
        <v>0</v>
      </c>
      <c r="J59" t="str">
        <v>Y</v>
      </c>
    </row>
    <row r="60" ht="14.25" customHeight="1">
      <c r="A60">
        <v>27</v>
      </c>
      <c r="B60" t="str">
        <v>Include application of floor sealer, including all required surface preparation, number of coats, curing time, and compatibility with specified flooring materials, in accordance with manufacturer requirements and project specifications.</v>
      </c>
      <c r="C60" t="str">
        <v>Y</v>
      </c>
      <c r="I60" s="8">
        <v>0</v>
      </c>
      <c r="J60" t="str">
        <v>N/A</v>
      </c>
    </row>
    <row r="61" ht="14.25" customHeight="1">
      <c r="A61">
        <v>28</v>
      </c>
      <c r="B61" t="str">
        <v xml:space="preserve">Include trowelable underlayments and patching compounds </v>
      </c>
      <c r="J61" t="str">
        <v>Y</v>
      </c>
      <c r="K61" t="str">
        <v>Minor prep only</v>
      </c>
    </row>
    <row r="62" ht="14.25" customHeight="1">
      <c r="A62">
        <v>29</v>
      </c>
      <c r="B62" t="str">
        <v xml:space="preserve">Accessories to include primers, adhesives, trim pieces, etc. </v>
      </c>
      <c r="C62" t="str">
        <v>Y</v>
      </c>
      <c r="I62" s="8">
        <f>H62*F62</f>
        <v>0</v>
      </c>
      <c r="J62" t="str">
        <v>Y</v>
      </c>
    </row>
    <row r="63" ht="14.25" customHeight="1">
      <c r="A63">
        <v>30</v>
      </c>
      <c r="B63" t="str">
        <v xml:space="preserve">Clean up to MCN dumpster </v>
      </c>
      <c r="C63" t="str">
        <v>Y</v>
      </c>
      <c r="I63" s="8">
        <f>H63*F63</f>
        <v>0</v>
      </c>
      <c r="J63" t="str">
        <v>Y</v>
      </c>
    </row>
    <row r="64" ht="14.25" customHeight="1">
      <c r="A64">
        <v>31</v>
      </c>
      <c r="B64" t="str">
        <v xml:space="preserve">Skim coat and minor surface prep as required </v>
      </c>
      <c r="C64" t="str">
        <v>Y</v>
      </c>
      <c r="I64" s="8">
        <f>H64*F64</f>
        <v>0</v>
      </c>
      <c r="J64" t="str">
        <v>Y</v>
      </c>
      <c r="K64" t="str">
        <v>Minor prep only</v>
      </c>
    </row>
    <row r="65" ht="14.25" customHeight="1">
      <c r="A65">
        <v>32</v>
      </c>
      <c r="B65" t="str">
        <v xml:space="preserve">Include divider and transition strips </v>
      </c>
      <c r="C65" t="str">
        <v>Y</v>
      </c>
      <c r="I65" s="8">
        <f>H65*F65</f>
        <v>0</v>
      </c>
      <c r="J65" t="str">
        <v>Y</v>
      </c>
      <c r="M65" t="str">
        <v>Y</v>
      </c>
    </row>
    <row r="66" ht="14.25" customHeight="1">
      <c r="A66">
        <v>33</v>
      </c>
      <c r="B66" t="str">
        <v xml:space="preserve">Schluter strips at all tile edges and corners </v>
      </c>
      <c r="C66" t="str">
        <v>Y</v>
      </c>
      <c r="I66" s="8">
        <f>H66*F66</f>
        <v>0</v>
      </c>
      <c r="J66" t="str">
        <v>Y</v>
      </c>
    </row>
    <row r="67" ht="14.25" customHeight="1">
      <c r="A67">
        <v>34</v>
      </c>
      <c r="B67" t="str">
        <v xml:space="preserve">Application of specified sealer prior to installation of finish materials </v>
      </c>
      <c r="C67" t="str">
        <v>Y</v>
      </c>
      <c r="I67" s="8">
        <f>H67*F67</f>
        <v>0</v>
      </c>
      <c r="J67" t="str">
        <v>Y</v>
      </c>
    </row>
    <row r="68" ht="14.25" customHeight="1">
      <c r="A68">
        <v>35</v>
      </c>
      <c r="B68" t="str">
        <v xml:space="preserve">Mulitple mobilizations required for the schedule </v>
      </c>
      <c r="C68" t="str">
        <v>Y</v>
      </c>
      <c r="I68" s="8">
        <f>H68*F68</f>
        <v>0</v>
      </c>
      <c r="J68" t="str">
        <v>Y</v>
      </c>
    </row>
    <row r="69" ht="14.25" customHeight="1">
      <c r="A69">
        <v>36</v>
      </c>
      <c r="B69" t="str">
        <v xml:space="preserve">Waterproofing membranes as required </v>
      </c>
      <c r="C69" t="str">
        <v>Y</v>
      </c>
      <c r="I69" s="8">
        <f>H69*F69</f>
        <v>0</v>
      </c>
      <c r="J69" t="str">
        <v>Y</v>
      </c>
      <c r="K69" t="str">
        <v>See ADD ALT</v>
      </c>
    </row>
    <row r="70" ht="14.25" customHeight="1">
      <c r="A70">
        <v>37</v>
      </c>
      <c r="B70" t="str">
        <v xml:space="preserve">Crack isolation membranes as required </v>
      </c>
      <c r="C70" t="str">
        <v>Y</v>
      </c>
      <c r="I70" s="8">
        <f>H70*F70</f>
        <v>0</v>
      </c>
      <c r="J70" t="str">
        <v>Y</v>
      </c>
      <c r="K70" t="str">
        <v>See ADD ALT</v>
      </c>
    </row>
    <row r="71" ht="14.25" customHeight="1">
      <c r="A71">
        <v>38</v>
      </c>
      <c r="B71" t="str">
        <v xml:space="preserve">All related sealants at tile joints  </v>
      </c>
      <c r="C71" t="str">
        <v>Y</v>
      </c>
      <c r="I71" s="8">
        <f>H71*F71</f>
        <v>0</v>
      </c>
      <c r="J71" t="str">
        <v>Y</v>
      </c>
    </row>
    <row r="72" ht="14.25" customHeight="1">
      <c r="A72">
        <v>39</v>
      </c>
      <c r="B72" t="str">
        <v xml:space="preserve">Stone and/or solid surface thresholds as indicated </v>
      </c>
      <c r="C72" t="str">
        <v>Y</v>
      </c>
      <c r="I72" s="8">
        <f>H72*F72</f>
        <v>0</v>
      </c>
      <c r="J72" t="str">
        <v>Y</v>
      </c>
    </row>
    <row r="73" ht="14.25" customHeight="1">
      <c r="A73">
        <v>40</v>
      </c>
      <c r="B73" t="str">
        <v xml:space="preserve">Layout fron GC control lines and benchmarks </v>
      </c>
      <c r="C73" t="str">
        <v>Y</v>
      </c>
      <c r="I73" s="8">
        <f>H73*F73</f>
        <v>0</v>
      </c>
      <c r="J73" t="str">
        <v>Y</v>
      </c>
    </row>
    <row r="74" ht="14.25" customHeight="1">
      <c r="A74">
        <v>41</v>
      </c>
      <c r="B74" t="str">
        <v xml:space="preserve">Attic stock </v>
      </c>
      <c r="C74" t="str">
        <v>Y</v>
      </c>
      <c r="I74" s="8">
        <f>H74*F74</f>
        <v>0</v>
      </c>
      <c r="J74" t="str">
        <v>Y</v>
      </c>
    </row>
    <row r="75" ht="14.25" customHeight="1">
      <c r="A75">
        <v>42</v>
      </c>
      <c r="B75" t="str">
        <v xml:space="preserve">Include all necessary field cutting to fit and at penetrations through tile </v>
      </c>
      <c r="C75" t="str">
        <v>Y</v>
      </c>
      <c r="I75" s="8">
        <f>H75*F75</f>
        <v>0</v>
      </c>
      <c r="J75" t="str">
        <v>Y</v>
      </c>
    </row>
    <row r="76" ht="14.25" customHeight="1">
      <c r="A76">
        <v>43</v>
      </c>
      <c r="B76" t="str">
        <v xml:space="preserve">Clean tile after installation </v>
      </c>
      <c r="C76" t="str">
        <v>Y</v>
      </c>
      <c r="I76" s="8">
        <f>H76*F76</f>
        <v>0</v>
      </c>
      <c r="J76" t="str">
        <v>Y</v>
      </c>
    </row>
    <row r="77" ht="14.25" customHeight="1">
      <c r="A77">
        <v>44</v>
      </c>
      <c r="B77" t="str">
        <v xml:space="preserve">Accessories to include adhesives, mortar, grout, sealers, metal edge strips, etc. as detailed in specifications </v>
      </c>
      <c r="C77" t="str">
        <v>Y</v>
      </c>
      <c r="I77" s="8">
        <v>0</v>
      </c>
      <c r="J77" t="str">
        <v>Y</v>
      </c>
    </row>
    <row r="78" ht="14.25" customHeight="1"/>
    <row r="79" ht="14.25" customHeight="1">
      <c r="A79" t="str">
        <v>C</v>
      </c>
      <c r="B79" t="str">
        <v>Exclusions</v>
      </c>
    </row>
    <row r="80" ht="14.25" customHeight="1">
      <c r="A80">
        <v>1</v>
      </c>
      <c r="B80" t="str">
        <v>Plywood substrate at vanity tops</v>
      </c>
      <c r="C80" t="str">
        <v>N</v>
      </c>
      <c r="D80" t="str">
        <v>By Carpentry</v>
      </c>
      <c r="J80" t="str">
        <v>N</v>
      </c>
    </row>
    <row r="81" ht="14.25" customHeight="1">
      <c r="A81">
        <v>2</v>
      </c>
      <c r="B81" t="str">
        <v xml:space="preserve">Cementitious backer boards </v>
      </c>
      <c r="C81" t="str">
        <v>N</v>
      </c>
      <c r="D81" t="str">
        <v xml:space="preserve">By Drywall </v>
      </c>
      <c r="J81" t="str">
        <v>N</v>
      </c>
    </row>
    <row r="82" ht="14.25" customHeight="1"/>
    <row r="83" ht="14.25" customHeight="1">
      <c r="A83" t="str">
        <v>D</v>
      </c>
      <c r="B83" t="str">
        <v>Schedule</v>
      </c>
    </row>
    <row r="84" ht="14.25" customHeight="1">
      <c r="A84">
        <v>1</v>
      </c>
      <c r="B84" t="str">
        <v>Meet MCN Schedule</v>
      </c>
      <c r="C84" t="str">
        <v>Y</v>
      </c>
    </row>
    <row r="85" ht="14.25" customHeight="1">
      <c r="A85">
        <f>A84+1</f>
        <v>2</v>
      </c>
      <c r="B85" t="str">
        <v>Advise of Durations</v>
      </c>
    </row>
    <row r="86" ht="14.25" customHeight="1">
      <c r="A86">
        <f>A85+1</f>
        <v>3</v>
      </c>
      <c r="B86" t="str">
        <v xml:space="preserve">Shop Drawings </v>
      </c>
      <c r="C86" t="str">
        <v>---&gt;</v>
      </c>
    </row>
    <row r="87" ht="14.25" customHeight="1">
      <c r="A87">
        <f>A86+1</f>
        <v>4</v>
      </c>
      <c r="B87" t="str">
        <v xml:space="preserve">Submittals </v>
      </c>
      <c r="C87" t="str">
        <v>---&gt;</v>
      </c>
    </row>
    <row r="88" ht="14.25" customHeight="1">
      <c r="A88">
        <v>5</v>
      </c>
      <c r="B88" t="str">
        <v>Advise of Lead Times</v>
      </c>
    </row>
    <row r="89" ht="14.25" customHeight="1">
      <c r="A89">
        <f>A88+1</f>
        <v>6</v>
      </c>
      <c r="B89" t="str">
        <v xml:space="preserve">Porcelain Tile </v>
      </c>
      <c r="C89" t="str">
        <v>---&gt;</v>
      </c>
    </row>
    <row r="90" ht="14.25" customHeight="1">
      <c r="A90">
        <f>A89+1</f>
        <v>7</v>
      </c>
      <c r="B90" t="str">
        <v xml:space="preserve">Quarry Tile </v>
      </c>
      <c r="C90" t="str">
        <v>---&gt;</v>
      </c>
    </row>
    <row r="91" ht="14.25" customHeight="1"/>
    <row r="92" ht="14.25" customHeight="1"/>
    <row r="93" ht="14.25" customHeight="1">
      <c r="B93" t="str">
        <v>Allowances</v>
      </c>
    </row>
    <row r="94" ht="14.25" customHeight="1">
      <c r="A94">
        <v>1</v>
      </c>
      <c r="B94" t="str">
        <v xml:space="preserve">Add Alternate #1 - Additional skim at carpet tile </v>
      </c>
      <c r="J94" t="str">
        <v>Y</v>
      </c>
      <c r="K94" s="9">
        <v>432</v>
      </c>
      <c r="L94" s="8">
        <v>0</v>
      </c>
    </row>
    <row r="95" ht="14.25" customHeight="1">
      <c r="A95">
        <f>A94+1</f>
        <v>2</v>
      </c>
      <c r="B95" t="str">
        <v xml:space="preserve">Add Alternate #2 - Additional skim at resilient flooring </v>
      </c>
      <c r="J95" t="str">
        <v>Y</v>
      </c>
      <c r="K95" s="9">
        <v>1199</v>
      </c>
      <c r="L95" s="8">
        <v>0</v>
      </c>
    </row>
    <row r="96" ht="14.25" customHeight="1">
      <c r="A96">
        <f>A95+1</f>
        <v>3</v>
      </c>
      <c r="B96" t="str">
        <v xml:space="preserve">Add Alternate #3 - Protect grille with plywood </v>
      </c>
      <c r="J96" t="str">
        <v>Y</v>
      </c>
      <c r="K96" s="9">
        <v>1021</v>
      </c>
      <c r="L96" s="8">
        <v>0</v>
      </c>
    </row>
    <row r="97" ht="14.25" customHeight="1">
      <c r="A97">
        <f>A96+1</f>
        <v>4</v>
      </c>
      <c r="B97" t="str">
        <v xml:space="preserve">Add Alternate #4 - Protect resilient with kraft paper </v>
      </c>
      <c r="J97" t="str">
        <v>Y</v>
      </c>
      <c r="K97" s="9">
        <v>417</v>
      </c>
      <c r="L97" s="8">
        <v>0</v>
      </c>
    </row>
    <row r="98" ht="14.25" customHeight="1">
      <c r="A98">
        <v>5</v>
      </c>
      <c r="B98" t="str">
        <v xml:space="preserve">Add Alternate #5 - Waterproofing at restroom floors </v>
      </c>
      <c r="J98" t="str">
        <v>Y</v>
      </c>
      <c r="K98" s="9">
        <v>2429</v>
      </c>
      <c r="L98" s="8">
        <f>K98</f>
        <v>2429</v>
      </c>
    </row>
    <row r="99" ht="14.25" customHeight="1">
      <c r="A99">
        <v>6</v>
      </c>
      <c r="B99" t="str">
        <v xml:space="preserve">Add Alternate #6 - Waterproofing at shower walls </v>
      </c>
      <c r="J99" t="str">
        <v>Y</v>
      </c>
      <c r="K99" s="9">
        <v>768</v>
      </c>
      <c r="L99" s="8">
        <f>K99</f>
        <v>768</v>
      </c>
    </row>
    <row r="100" ht="14.25" customHeight="1">
      <c r="A100">
        <v>7</v>
      </c>
      <c r="B100" t="str">
        <v xml:space="preserve">Add Alternate #7 - Waterproofing at restroom walls </v>
      </c>
      <c r="J100" t="str">
        <v>Y</v>
      </c>
      <c r="K100" s="9">
        <v>1309</v>
      </c>
      <c r="L100" s="8">
        <f>K100</f>
        <v>1309</v>
      </c>
    </row>
    <row r="101" ht="14.25" customHeight="1">
      <c r="A101">
        <v>8</v>
      </c>
      <c r="B101" t="str">
        <v xml:space="preserve">Add Alternate #8 - Protect tile with kraft paper </v>
      </c>
      <c r="J101" t="str">
        <v>Y</v>
      </c>
      <c r="K101" s="9">
        <v>209</v>
      </c>
      <c r="L101" s="8">
        <f>K101</f>
        <v>209</v>
      </c>
    </row>
    <row r="102" ht="14.25" customHeight="1"/>
    <row r="103" ht="14.25" customHeight="1">
      <c r="B103" t="str">
        <v>Alternates</v>
      </c>
    </row>
    <row r="104" ht="14.25" customHeight="1">
      <c r="A104">
        <v>1</v>
      </c>
      <c r="B104" t="str">
        <v xml:space="preserve">Add Alternate #1 - Additional skim at carpet tile </v>
      </c>
      <c r="C104" t="str">
        <v>#</v>
      </c>
      <c r="I104" s="8">
        <f>H104*F104</f>
        <v>0</v>
      </c>
      <c r="J104" t="str">
        <v>Y</v>
      </c>
      <c r="K104" s="9">
        <v>432</v>
      </c>
      <c r="L104" s="8">
        <v>0</v>
      </c>
      <c r="M104" t="str">
        <v>N</v>
      </c>
    </row>
    <row r="105" ht="14.25" customHeight="1">
      <c r="A105">
        <v>2</v>
      </c>
      <c r="B105" t="str">
        <v xml:space="preserve">Add Alternate #2 - Additional skim at resilient flooring </v>
      </c>
      <c r="C105" t="str">
        <v>#</v>
      </c>
      <c r="I105" s="8">
        <f>H105*F105</f>
        <v>0</v>
      </c>
      <c r="J105" t="str">
        <v>Y</v>
      </c>
      <c r="K105" s="9">
        <v>1199</v>
      </c>
      <c r="L105" s="8">
        <v>0</v>
      </c>
      <c r="M105" t="str">
        <v>N</v>
      </c>
    </row>
    <row r="106" ht="14.25" customHeight="1">
      <c r="A106">
        <v>3</v>
      </c>
      <c r="B106" t="str">
        <v xml:space="preserve">Add Alternate #3 - Protect grille with plywood </v>
      </c>
      <c r="C106" t="str">
        <v>#</v>
      </c>
      <c r="I106" s="8">
        <f>H106*F106</f>
        <v>0</v>
      </c>
      <c r="J106" t="str">
        <v>Y</v>
      </c>
      <c r="K106" s="9">
        <v>1021</v>
      </c>
      <c r="L106" s="8">
        <v>0</v>
      </c>
      <c r="M106" t="str">
        <v>N</v>
      </c>
    </row>
    <row r="107" ht="14.25" customHeight="1">
      <c r="A107">
        <v>4</v>
      </c>
      <c r="B107" t="str">
        <v xml:space="preserve">Add Alternate #4 - Protect resilient with kraft paper </v>
      </c>
      <c r="C107" t="str">
        <v>#</v>
      </c>
      <c r="I107" s="8">
        <v>0</v>
      </c>
      <c r="J107" t="str">
        <v>Y</v>
      </c>
      <c r="K107" s="9">
        <v>417</v>
      </c>
      <c r="L107" s="8">
        <v>0</v>
      </c>
      <c r="M107" t="str">
        <v>N</v>
      </c>
    </row>
    <row r="108" ht="14.25" customHeight="1">
      <c r="A108">
        <v>5</v>
      </c>
      <c r="B108" t="str">
        <v xml:space="preserve">Add Alternate #5 - Waterproofing at restroom floors </v>
      </c>
      <c r="C108" t="str">
        <v>#</v>
      </c>
      <c r="I108" s="8">
        <v>0</v>
      </c>
      <c r="J108" t="str">
        <v>Y</v>
      </c>
      <c r="K108" s="9">
        <v>2429</v>
      </c>
      <c r="L108" s="8">
        <f>K108</f>
        <v>2429</v>
      </c>
      <c r="M108" t="str">
        <v>N</v>
      </c>
      <c r="N108" t="str">
        <v>Incl in Base Bid</v>
      </c>
    </row>
    <row r="109" ht="14.25" customHeight="1">
      <c r="A109">
        <v>6</v>
      </c>
      <c r="B109" t="str">
        <v xml:space="preserve">Add Alternate #6 - Waterproofing at shower walls </v>
      </c>
      <c r="C109" t="str">
        <v>#</v>
      </c>
      <c r="I109" s="8">
        <v>0</v>
      </c>
      <c r="J109" t="str">
        <v>Y</v>
      </c>
      <c r="K109" s="9">
        <v>768</v>
      </c>
      <c r="L109" s="8">
        <f>K109</f>
        <v>768</v>
      </c>
      <c r="M109" t="str">
        <v>N</v>
      </c>
      <c r="N109" t="str">
        <v>Incl in Base Bid</v>
      </c>
    </row>
    <row r="110" ht="14.25" customHeight="1">
      <c r="A110">
        <v>7</v>
      </c>
      <c r="B110" t="str">
        <v xml:space="preserve">Add Alternate #7 - Waterproofing at restroom walls </v>
      </c>
      <c r="C110" t="str">
        <v>#</v>
      </c>
      <c r="I110" s="8">
        <v>0</v>
      </c>
      <c r="J110" t="str">
        <v>Y</v>
      </c>
      <c r="K110" s="9">
        <v>1309</v>
      </c>
      <c r="L110" s="8">
        <f>K110</f>
        <v>1309</v>
      </c>
      <c r="M110" t="str">
        <v>N</v>
      </c>
      <c r="N110" t="str">
        <v>Incl in Base Bid</v>
      </c>
    </row>
    <row r="111" ht="14.25" customHeight="1">
      <c r="A111">
        <v>8</v>
      </c>
      <c r="B111" t="str">
        <v xml:space="preserve">Add Alternate #8 - Protect tile with kraft paper </v>
      </c>
      <c r="C111" t="str">
        <v>#</v>
      </c>
      <c r="I111" s="8">
        <v>0</v>
      </c>
      <c r="J111" t="str">
        <v>Y</v>
      </c>
      <c r="K111" s="9">
        <v>209</v>
      </c>
      <c r="L111" s="8">
        <f>K111</f>
        <v>209</v>
      </c>
      <c r="M111" t="str">
        <v>N</v>
      </c>
      <c r="N111" t="str">
        <v>Incl in Base Bid</v>
      </c>
    </row>
    <row r="112" ht="14.25" customHeight="1">
      <c r="B112" t="str">
        <v>Unit Prices</v>
      </c>
    </row>
    <row r="113" ht="14.25" customHeight="1">
      <c r="A113">
        <v>1</v>
      </c>
      <c r="C113" t="str">
        <v>#</v>
      </c>
    </row>
    <row r="114" ht="14.25" customHeight="1">
      <c r="A114">
        <f>A113+1</f>
        <v>2</v>
      </c>
      <c r="C114" t="str">
        <v>#</v>
      </c>
    </row>
    <row r="115" ht="14.25" customHeight="1">
      <c r="A115">
        <f>A114+1</f>
        <v>3</v>
      </c>
      <c r="C115" t="str">
        <v>#</v>
      </c>
    </row>
    <row r="116" ht="14.25" customHeight="1">
      <c r="A116">
        <f>A115+1</f>
        <v>4</v>
      </c>
      <c r="C116" t="str">
        <v>#</v>
      </c>
    </row>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B8" r:id="rId3"/>
  </hyperlinks>
  <pageMargins left="0.7" right="0.7" top="0.25" bottom="0.75" header="0" footer="0"/>
  <ignoredErrors>
    <ignoredError numberStoredAsText="1" sqref="A1:AO1000"/>
  </ignoredErrors>
</worksheet>
</file>

<file path=xl/worksheets/sheet2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57"/>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 xml:space="preserve">Floors Etc </v>
      </c>
      <c r="N1" t="str">
        <v xml:space="preserve">Admiral </v>
      </c>
      <c r="Q1" t="str">
        <v>Master Care Flooring</v>
      </c>
      <c r="T1" t="str">
        <v xml:space="preserve">Miller Floors </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Ata Rad</v>
      </c>
      <c r="N2" t="str">
        <v>Fred Nustray</v>
      </c>
      <c r="Q2" t="str">
        <v>Ken Ackerson</v>
      </c>
      <c r="T2" t="str">
        <v>Name</v>
      </c>
      <c r="W2" t="str">
        <v>Name</v>
      </c>
      <c r="Z2" t="str">
        <v>Name</v>
      </c>
      <c r="AC2" t="str">
        <v>Name</v>
      </c>
      <c r="AH2" t="str">
        <v>MCN</v>
      </c>
      <c r="AM2" s="8">
        <f>I9</f>
        <v>0</v>
      </c>
    </row>
    <row r="3" ht="14.25" customHeight="1" outlineLevel="1">
      <c r="I3" t="str">
        <v>Email:</v>
      </c>
      <c r="K3" t="str">
        <v>arad@floors-etc.com</v>
      </c>
      <c r="N3" t="str">
        <v>fred@admiraldc.com</v>
      </c>
      <c r="Q3" t="str">
        <v>ken@mastercarefloors.com</v>
      </c>
      <c r="T3" t="str">
        <v>Email</v>
      </c>
      <c r="W3" t="str">
        <v>Email</v>
      </c>
      <c r="Z3" t="str">
        <v>Email</v>
      </c>
      <c r="AC3" t="str">
        <v>Email</v>
      </c>
      <c r="AH3">
        <v>1</v>
      </c>
      <c r="AI3" t="str">
        <f>IFNA(INDEX($K$1:$AE$1,1,MATCH($AH3,$K$10:$AE$10,0)),"")</f>
        <v xml:space="preserve">Admiral </v>
      </c>
      <c r="AJ3" s="3">
        <f t="array" ref="AJ3">IFNA(INDEX($K$6:$AE$6,1,MATCH($AH3,$K$10:$AE$10,0)+1),"")</f>
        <v>75000</v>
      </c>
      <c r="AK3" s="3">
        <f t="array" ref="AK3">IFNA(INDEX($K$7:$AE$7,1,MATCH($AH3,$K$10:$AE$10,0)+1),"")</f>
        <v>142197</v>
      </c>
      <c r="AL3" s="3">
        <f t="array" ref="AL3">IFNA(INDEX($K$8:$AE$8,1,MATCH($AH3,$K$10:$AE$10,0)+1),"")</f>
        <v>4343.94</v>
      </c>
      <c r="AM3" s="3">
        <f t="array" ref="AM3">IFNA(INDEX($K$9:$AE$9,1,MATCH($AH3,$K$10:$AE$10,0)+1),"")</f>
        <v>221540.94</v>
      </c>
      <c r="AO3" s="9">
        <f>IFERROR(AN3*AM3,0)</f>
        <v>0</v>
      </c>
    </row>
    <row r="4" ht="14.25" customHeight="1" outlineLevel="1">
      <c r="A4" t="str">
        <v>Trade:</v>
      </c>
      <c r="B4" t="str">
        <v xml:space="preserve">09 - CARPET, RESILIENT, RUBBER FLOORING </v>
      </c>
      <c r="I4" t="str">
        <v>Phone:</v>
      </c>
      <c r="K4" t="str">
        <v>410-329-9680</v>
      </c>
      <c r="N4" t="str">
        <v>301-789-6393</v>
      </c>
      <c r="Q4" t="str">
        <v>727-424-1243</v>
      </c>
      <c r="T4" t="str">
        <v>Number</v>
      </c>
      <c r="W4" t="str">
        <v>Number</v>
      </c>
      <c r="Z4" t="str">
        <v>Number</v>
      </c>
      <c r="AC4" t="str">
        <v>Number</v>
      </c>
      <c r="AH4">
        <v>2</v>
      </c>
      <c r="AI4" t="str">
        <f>IFNA(INDEX($K$1:$AE$1,1,MATCH($AH4,$K$10:$AE$10,0)),"")</f>
        <v xml:space="preserve">Floors Etc </v>
      </c>
      <c r="AJ4" s="3">
        <f t="array" ref="AJ4">IFNA(INDEX($K$6:$AE$6,1,MATCH($AH4,$K$10:$AE$10,0)+1),"")</f>
        <v>132584</v>
      </c>
      <c r="AK4" s="3">
        <f t="array" ref="AK4">IFNA(INDEX($K$7:$AE$7,1,MATCH($AH4,$K$10:$AE$10,0)+1),"")</f>
        <v>145266</v>
      </c>
      <c r="AL4" s="3">
        <f t="array" ref="AL4">IFNA(INDEX($K$8:$AE$8,1,MATCH($AH4,$K$10:$AE$10,0)+1),"")</f>
        <v>5557</v>
      </c>
      <c r="AM4" s="3">
        <f t="array" ref="AM4">IFNA(INDEX($K$9:$AE$9,1,MATCH($AH4,$K$10:$AE$10,0)+1),"")</f>
        <v>283407</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132584</v>
      </c>
      <c r="N6" t="str">
        <v>Base Bid:</v>
      </c>
      <c r="O6" s="4">
        <v>75000</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Nija Thomas </v>
      </c>
      <c r="C7" t="str">
        <v>Contact:</v>
      </c>
      <c r="G7" s="8" t="str">
        <v>| MCN Budget</v>
      </c>
      <c r="I7" s="8">
        <f>SUM(I20:I111,I13:I18)</f>
        <v>0</v>
      </c>
      <c r="K7" t="str">
        <v>Adjustments:</v>
      </c>
      <c r="L7" s="4">
        <f>SUM(L13:L18,L20:L111)</f>
        <v>145266</v>
      </c>
      <c r="N7" t="str">
        <v>Adjustments:</v>
      </c>
      <c r="O7" s="4">
        <f>SUM(O13:O18,O20:O111)</f>
        <v>142197</v>
      </c>
      <c r="Q7" t="str">
        <v>Adjustments:</v>
      </c>
      <c r="R7" s="4">
        <f>SUM(R13:R18,R20:R111)</f>
        <v>142197</v>
      </c>
      <c r="T7" t="str">
        <v>Adjustments:</v>
      </c>
      <c r="U7" s="4">
        <f>SUM(U13:U18,U20:U111)</f>
        <v>0</v>
      </c>
      <c r="W7" t="str">
        <v>Adjustments:</v>
      </c>
      <c r="X7" s="4">
        <f>SUM(X13:X18,X20:X111)</f>
        <v>0</v>
      </c>
      <c r="Z7" t="str">
        <v>Adjustments:</v>
      </c>
      <c r="AA7" s="4">
        <f>SUM(AA13:AA18,AA20:AA111)</f>
        <v>0</v>
      </c>
      <c r="AC7" t="str">
        <v>Adjustments:</v>
      </c>
      <c r="AD7" s="4">
        <f>SUM(AD13:AD18,AD20:AD111)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5557</v>
      </c>
      <c r="M8" s="10">
        <v>0.02</v>
      </c>
      <c r="N8" t="str">
        <v>Bond:</v>
      </c>
      <c r="O8" s="4">
        <f>M8*SUM(O6:O7)</f>
        <v>4343.94</v>
      </c>
      <c r="P8" s="10">
        <v>0.02</v>
      </c>
      <c r="Q8" t="str">
        <v>Bond:</v>
      </c>
      <c r="R8" s="4">
        <f>P8*SUM(R6:R7)</f>
        <v>2843.94</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283407</v>
      </c>
      <c r="N9" t="str">
        <v>Total Bid:</v>
      </c>
      <c r="O9" s="4">
        <f>IF(O5="FULL SCOPE",SUM(O6:O8),"not level")</f>
        <v>221540.94</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J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J19" t="str">
        <v>Y</v>
      </c>
      <c r="K19" t="str">
        <v>Sales Tax Excl</v>
      </c>
      <c r="L19" s="8">
        <v>132584</v>
      </c>
      <c r="M19" t="str">
        <v>Y</v>
      </c>
      <c r="N19" t="str">
        <v>Sales Tax Excl</v>
      </c>
      <c r="O19" s="8">
        <f>O6</f>
        <v>75000</v>
      </c>
      <c r="P19" t="str">
        <v>Y</v>
      </c>
      <c r="U19" s="8" t="str">
        <f>U6</f>
        <v/>
      </c>
      <c r="X19" s="8" t="str">
        <f>X6</f>
        <v/>
      </c>
      <c r="AA19" s="8" t="str">
        <f>AA6</f>
        <v/>
      </c>
      <c r="AD19" s="8" t="str">
        <f>AD6</f>
        <v/>
      </c>
    </row>
    <row r="20" ht="14.25" customHeight="1">
      <c r="A20">
        <f>A19+1</f>
        <v>2</v>
      </c>
      <c r="I20" s="8">
        <f>H20*F20</f>
        <v>0</v>
      </c>
    </row>
    <row r="21" ht="14.25" customHeight="1">
      <c r="A21">
        <f>A20+1</f>
        <v>3</v>
      </c>
      <c r="B21" t="str">
        <v>Key Cost Breakdown</v>
      </c>
    </row>
    <row r="22" ht="14.25" customHeight="1">
      <c r="A22">
        <f>A21+1</f>
        <v>4</v>
      </c>
      <c r="B22" t="str">
        <v xml:space="preserve">Solid Vinyl Floor Tile (LVT-01, LVT-02, LVT-03) </v>
      </c>
      <c r="C22" t="str">
        <v>#</v>
      </c>
      <c r="D22" t="str">
        <v>$</v>
      </c>
      <c r="I22" s="8">
        <f>H22*F22</f>
        <v>0</v>
      </c>
      <c r="J22" t="str">
        <v>Y</v>
      </c>
      <c r="M22" t="str">
        <v>Y</v>
      </c>
      <c r="P22" t="str">
        <v>N</v>
      </c>
    </row>
    <row r="23" ht="15.75" customHeight="1">
      <c r="A23">
        <v>5</v>
      </c>
      <c r="B23" t="str">
        <v xml:space="preserve">Rubber Sheet Flooring (RF-02) </v>
      </c>
      <c r="C23" t="str">
        <v>#</v>
      </c>
      <c r="D23" t="str">
        <v>$</v>
      </c>
      <c r="I23" s="8">
        <f>H23*F23</f>
        <v>0</v>
      </c>
      <c r="J23" t="str">
        <v>Y</v>
      </c>
      <c r="M23" t="str">
        <v>Y</v>
      </c>
      <c r="P23" t="str">
        <v>N</v>
      </c>
    </row>
    <row r="24" ht="15.75" customHeight="1">
      <c r="A24">
        <v>6</v>
      </c>
      <c r="B24" t="str">
        <v xml:space="preserve">Athletic Sports Flooring (RF-01) </v>
      </c>
      <c r="C24" t="str">
        <v>#</v>
      </c>
      <c r="D24" t="str">
        <v>$</v>
      </c>
      <c r="J24" t="str">
        <v>Y</v>
      </c>
      <c r="K24" t="str">
        <v xml:space="preserve">ADD - Master Flooring </v>
      </c>
      <c r="L24" s="8">
        <v>142197</v>
      </c>
      <c r="M24" t="str">
        <v>Y</v>
      </c>
      <c r="N24" t="str">
        <v xml:space="preserve">ADD - Master Flooring </v>
      </c>
      <c r="O24" s="8">
        <v>142197</v>
      </c>
    </row>
    <row r="25" ht="15.75" customHeight="1">
      <c r="A25">
        <v>7</v>
      </c>
      <c r="B25" t="str">
        <v xml:space="preserve">Tile Carpeting (CPT-01) </v>
      </c>
      <c r="C25" t="str">
        <v>#</v>
      </c>
      <c r="D25" t="str">
        <v>$</v>
      </c>
      <c r="I25" s="8">
        <f>H25*F25</f>
        <v>0</v>
      </c>
      <c r="J25" t="str">
        <v>Y</v>
      </c>
      <c r="M25" t="str">
        <v>Y</v>
      </c>
      <c r="P25" t="str">
        <v>N</v>
      </c>
    </row>
    <row r="26" ht="15.75" customHeight="1">
      <c r="A26">
        <v>8</v>
      </c>
      <c r="B26" t="str">
        <v xml:space="preserve">Rubber Base (WB-01, WB-02, WB-03) </v>
      </c>
      <c r="C26" t="str">
        <v>#</v>
      </c>
      <c r="D26" t="str">
        <v>$</v>
      </c>
      <c r="I26" s="8">
        <v>0</v>
      </c>
      <c r="J26" t="str">
        <v>Y</v>
      </c>
      <c r="M26" t="str">
        <v>Y</v>
      </c>
      <c r="P26" t="str">
        <v>N</v>
      </c>
    </row>
    <row r="27" ht="15.75" customHeight="1">
      <c r="A27">
        <v>9</v>
      </c>
      <c r="B27" t="str">
        <v xml:space="preserve">Vented Wall Base (VWB-01) </v>
      </c>
      <c r="C27" t="str">
        <v>#</v>
      </c>
      <c r="D27" t="str">
        <v>$</v>
      </c>
      <c r="I27" s="8">
        <v>0</v>
      </c>
      <c r="J27" t="str">
        <v>Y</v>
      </c>
      <c r="M27" t="str">
        <v>Y</v>
      </c>
      <c r="P27" t="str">
        <v>N</v>
      </c>
    </row>
    <row r="28" ht="15.75" customHeight="1">
      <c r="A28">
        <v>10</v>
      </c>
      <c r="B28" t="str">
        <v xml:space="preserve">Flooring Protection (Total) </v>
      </c>
      <c r="C28" t="str">
        <v>#</v>
      </c>
      <c r="D28" t="str">
        <v>$</v>
      </c>
      <c r="I28" s="8">
        <v>0</v>
      </c>
      <c r="J28" t="str">
        <v>Y</v>
      </c>
      <c r="K28" t="str">
        <v>See Alt</v>
      </c>
      <c r="M28" t="str">
        <v>Y</v>
      </c>
      <c r="N28" t="str">
        <v>Incl in base bid</v>
      </c>
      <c r="P28" t="str">
        <v>N</v>
      </c>
    </row>
    <row r="29" ht="14.25" customHeight="1">
      <c r="A29">
        <v>11</v>
      </c>
    </row>
    <row r="30" ht="14.25" customHeight="1">
      <c r="A30">
        <v>12</v>
      </c>
      <c r="B30" t="str">
        <v>Key Quantity Breakdown</v>
      </c>
    </row>
    <row r="31" ht="14.25" customHeight="1">
      <c r="A31">
        <v>13</v>
      </c>
      <c r="B31" t="str">
        <v>Solid Vinyl Floor Tile (LVT-01, LVT-02, LVT-03)</v>
      </c>
      <c r="C31" t="str">
        <v>#</v>
      </c>
      <c r="D31" t="str">
        <v>SF</v>
      </c>
      <c r="I31" s="8">
        <f>H31*F31</f>
        <v>0</v>
      </c>
      <c r="J31" t="str">
        <v>Y</v>
      </c>
      <c r="M31" t="str">
        <v>Y</v>
      </c>
    </row>
    <row r="32" ht="14.25" customHeight="1">
      <c r="A32">
        <v>14</v>
      </c>
      <c r="B32" t="str">
        <v xml:space="preserve">Rubber Sheet Flooring (RF-02) </v>
      </c>
      <c r="C32" t="str">
        <v>#</v>
      </c>
      <c r="D32" t="str">
        <v>SF</v>
      </c>
      <c r="I32" s="8">
        <f>H32*F32</f>
        <v>0</v>
      </c>
      <c r="J32" t="str">
        <v>Y</v>
      </c>
      <c r="M32" t="str">
        <v>Y</v>
      </c>
    </row>
    <row r="33" ht="14.25" customHeight="1">
      <c r="A33">
        <v>15</v>
      </c>
      <c r="B33" t="str">
        <v>Athletic Sports Flooring (RF-01)</v>
      </c>
      <c r="C33" t="str">
        <v>#</v>
      </c>
      <c r="D33" t="str">
        <v>SF</v>
      </c>
      <c r="J33" t="str">
        <v>Y</v>
      </c>
      <c r="K33" t="str">
        <v xml:space="preserve">ADD - Master Flooring </v>
      </c>
      <c r="M33" t="str">
        <v xml:space="preserve">Y </v>
      </c>
      <c r="N33" t="str">
        <v xml:space="preserve">ADD - Master Flooring </v>
      </c>
    </row>
    <row r="34" ht="14.25" customHeight="1">
      <c r="A34">
        <v>16</v>
      </c>
      <c r="B34" t="str">
        <v xml:space="preserve">Tile Carpeting (CPT-01) </v>
      </c>
      <c r="C34" t="str">
        <v>#</v>
      </c>
      <c r="D34" t="str">
        <v>SF</v>
      </c>
      <c r="I34" s="8">
        <f>H34*F34</f>
        <v>0</v>
      </c>
      <c r="J34" t="str">
        <v>Y</v>
      </c>
      <c r="M34" t="str">
        <v>Y</v>
      </c>
    </row>
    <row r="35" ht="14.25" customHeight="1">
      <c r="A35">
        <v>17</v>
      </c>
      <c r="B35" t="str">
        <v xml:space="preserve">Rubber Base (WB-01, WB-02, WB-03) </v>
      </c>
      <c r="C35" t="str">
        <v>#</v>
      </c>
      <c r="D35" t="str">
        <v>LF</v>
      </c>
      <c r="I35" s="8">
        <f>H35*F35</f>
        <v>0</v>
      </c>
      <c r="J35" t="str">
        <v>Y</v>
      </c>
      <c r="M35" t="str">
        <v>Y</v>
      </c>
    </row>
    <row r="36" ht="14.25" customHeight="1">
      <c r="A36">
        <v>18</v>
      </c>
      <c r="B36" t="str">
        <v xml:space="preserve">Vented Wall Base (VWB-01) </v>
      </c>
      <c r="C36" t="str">
        <v>#</v>
      </c>
      <c r="D36" t="str">
        <v>LF</v>
      </c>
      <c r="I36" s="8">
        <v>0</v>
      </c>
      <c r="J36" t="str">
        <v>Y</v>
      </c>
      <c r="M36" t="str">
        <v>Y</v>
      </c>
    </row>
    <row r="37" ht="14.25" customHeight="1">
      <c r="A37">
        <v>19</v>
      </c>
      <c r="B37" t="str">
        <v xml:space="preserve">Flooring Protection (Total) </v>
      </c>
      <c r="C37" t="str">
        <v>#</v>
      </c>
      <c r="D37" t="str">
        <v>SF</v>
      </c>
      <c r="I37" s="8">
        <v>0</v>
      </c>
      <c r="J37" t="str">
        <v>Y</v>
      </c>
      <c r="M37" t="str">
        <v>Y</v>
      </c>
    </row>
    <row r="38" ht="14.25" customHeight="1"/>
    <row r="39" ht="14.25" customHeight="1">
      <c r="B39" t="str">
        <v>Section 3 - Scope of Work</v>
      </c>
    </row>
    <row r="40" ht="14.25" customHeight="1">
      <c r="B40" t="str">
        <v xml:space="preserve">Furnish and Install All Items UON (Unless Otherwise Noted) </v>
      </c>
      <c r="C40" t="str">
        <v>Y</v>
      </c>
      <c r="J40" t="str">
        <v>Y</v>
      </c>
      <c r="M40" t="str">
        <v>Y</v>
      </c>
      <c r="P40" t="str">
        <v>N</v>
      </c>
    </row>
    <row r="41" ht="14.25" customHeight="1">
      <c r="A41" t="str">
        <v>A</v>
      </c>
      <c r="B41" t="str">
        <v>Specifications</v>
      </c>
    </row>
    <row r="42" ht="14.25" customHeight="1">
      <c r="B42" t="str">
        <v xml:space="preserve">Division 01 - General Requirements (as applicable to this Bid Package) </v>
      </c>
      <c r="C42" t="str">
        <v>Y</v>
      </c>
      <c r="I42" s="8">
        <v>0</v>
      </c>
      <c r="J42" t="str">
        <v>Y</v>
      </c>
      <c r="M42" t="str">
        <v>Y</v>
      </c>
      <c r="P42" t="str">
        <v>N</v>
      </c>
    </row>
    <row r="43" ht="14.25" customHeight="1">
      <c r="B43" t="str">
        <v xml:space="preserve">07 92 00 - Joint Sealants (as applicable to this Bid Package) </v>
      </c>
      <c r="C43" t="str">
        <v>Y</v>
      </c>
      <c r="I43" s="8">
        <v>0</v>
      </c>
      <c r="J43" t="str">
        <v>Y</v>
      </c>
      <c r="M43" t="str">
        <v>Y</v>
      </c>
      <c r="P43" t="str">
        <v>N</v>
      </c>
    </row>
    <row r="44" ht="14.25" customHeight="1">
      <c r="B44" t="str">
        <v xml:space="preserve">09 65 13 - Resilient Base and Accessories </v>
      </c>
      <c r="C44" t="str">
        <v>Y</v>
      </c>
      <c r="I44" s="8">
        <v>0</v>
      </c>
      <c r="J44" t="str">
        <v>Y</v>
      </c>
      <c r="M44" t="str">
        <v>Y</v>
      </c>
      <c r="P44" t="str">
        <v>N</v>
      </c>
    </row>
    <row r="45" ht="14.25" customHeight="1">
      <c r="B45" t="str">
        <v xml:space="preserve">09 65 19 - Resilient Tile Flooring </v>
      </c>
      <c r="C45" t="str">
        <v>Y</v>
      </c>
      <c r="I45" s="8">
        <v>0</v>
      </c>
      <c r="J45" t="str">
        <v>Y</v>
      </c>
      <c r="M45" t="str">
        <v>Y</v>
      </c>
      <c r="P45" t="str">
        <v>N</v>
      </c>
    </row>
    <row r="46" ht="14.25" customHeight="1">
      <c r="B46" t="str">
        <v xml:space="preserve">09 65 66 - Resilient Athletic Flooring </v>
      </c>
      <c r="C46" t="str">
        <v>Y</v>
      </c>
      <c r="I46" s="8">
        <v>0</v>
      </c>
      <c r="J46" t="str">
        <v>Y</v>
      </c>
      <c r="K46" t="str">
        <v>Master Care #</v>
      </c>
      <c r="M46" t="str">
        <v>Y</v>
      </c>
      <c r="N46" t="str">
        <v>Master Care #</v>
      </c>
      <c r="P46" t="str">
        <v>Y</v>
      </c>
    </row>
    <row r="47" ht="14.25" customHeight="1">
      <c r="B47" t="str">
        <v xml:space="preserve">09 68 13 - Tile Carpeting </v>
      </c>
      <c r="C47" t="str">
        <v>Y</v>
      </c>
      <c r="I47" s="8">
        <v>0</v>
      </c>
      <c r="J47" t="str">
        <v>Y</v>
      </c>
      <c r="L47" s="8" t="str">
        <v xml:space="preserve"> </v>
      </c>
      <c r="M47" t="str">
        <v>Y</v>
      </c>
      <c r="P47" t="str">
        <v>N</v>
      </c>
    </row>
    <row r="48" ht="14.25" customHeight="1">
      <c r="A48" t="str">
        <v>B</v>
      </c>
      <c r="B48" t="str">
        <v>Inclusions</v>
      </c>
    </row>
    <row r="49" ht="14.25" customHeight="1">
      <c r="A49">
        <v>1</v>
      </c>
      <c r="B49" t="str">
        <v>SPECIFIC SCOPE ITEMS</v>
      </c>
      <c r="C49" t="str">
        <v>Y</v>
      </c>
      <c r="I49" s="8">
        <f>H49*F49</f>
        <v>0</v>
      </c>
      <c r="J49" t="str">
        <v>Y</v>
      </c>
    </row>
    <row r="50" ht="14.25" customHeight="1">
      <c r="A50">
        <v>2</v>
      </c>
      <c r="B50" t="str">
        <v>Rubber Flooring</v>
      </c>
      <c r="C50" t="str">
        <v>Y</v>
      </c>
      <c r="I50" s="8">
        <f>H50*F50</f>
        <v>0</v>
      </c>
      <c r="J50" t="str">
        <v>Y</v>
      </c>
    </row>
    <row r="51" ht="14.25" customHeight="1">
      <c r="A51">
        <v>3</v>
      </c>
      <c r="B51" t="str">
        <v xml:space="preserve">Furnish and Install RF-01 flooring BOD [Mondo - Sports Impact - 136 Brown] </v>
      </c>
      <c r="C51" t="str">
        <v>Y</v>
      </c>
      <c r="I51" s="8">
        <f>H51*F51</f>
        <v>0</v>
      </c>
      <c r="J51" t="str">
        <v>Y</v>
      </c>
      <c r="K51" t="str">
        <v xml:space="preserve">See Above </v>
      </c>
      <c r="M51" t="str">
        <v>Y</v>
      </c>
      <c r="N51" t="str">
        <v xml:space="preserve">See Above </v>
      </c>
      <c r="P51" t="str">
        <v>N</v>
      </c>
    </row>
    <row r="52" ht="14.25" customHeight="1">
      <c r="A52">
        <v>4</v>
      </c>
      <c r="B52" t="str">
        <v>Furnish and Install RF-02 stairs [Nora - Normanet Grano - 5302 Angelica Root]</v>
      </c>
      <c r="C52" t="str">
        <v>Y</v>
      </c>
      <c r="I52" s="8">
        <f>H52*F52</f>
        <v>0</v>
      </c>
      <c r="J52" t="str">
        <v>Y</v>
      </c>
      <c r="M52" t="str">
        <v>Y</v>
      </c>
      <c r="P52" t="str">
        <v>N</v>
      </c>
    </row>
    <row r="53" ht="14.25" customHeight="1">
      <c r="A53">
        <v>5</v>
      </c>
      <c r="B53" t="str">
        <v xml:space="preserve">Includes riser and thread to platform </v>
      </c>
      <c r="C53" t="str">
        <v>Y</v>
      </c>
      <c r="I53" s="8">
        <f>H53*F53</f>
        <v>0</v>
      </c>
      <c r="J53" t="str">
        <v>Y</v>
      </c>
      <c r="M53" t="str">
        <v>Y</v>
      </c>
      <c r="P53" t="str">
        <v>N</v>
      </c>
    </row>
    <row r="54" ht="14.25" customHeight="1">
      <c r="A54">
        <v>6</v>
      </c>
      <c r="B54" t="str">
        <v>Include all nosing, thresholds, and reducer strips, transition strips for a complete assembly</v>
      </c>
      <c r="C54" t="str">
        <v>Y</v>
      </c>
      <c r="I54" s="8">
        <v>0</v>
      </c>
      <c r="J54" t="str">
        <v>Y</v>
      </c>
      <c r="M54" t="str">
        <v>Y</v>
      </c>
      <c r="P54" t="str">
        <v>N</v>
      </c>
    </row>
    <row r="55" ht="14.25" customHeight="1">
      <c r="A55">
        <v>7</v>
      </c>
    </row>
    <row r="56" ht="14.25" customHeight="1">
      <c r="A56">
        <v>8</v>
      </c>
      <c r="B56" t="str">
        <v>Resilient Tile Flooring</v>
      </c>
      <c r="C56" t="str">
        <v>Y</v>
      </c>
      <c r="I56" s="8">
        <f>H56*F56</f>
        <v>0</v>
      </c>
      <c r="J56" t="str">
        <v>Y</v>
      </c>
      <c r="M56" t="str">
        <v>Y</v>
      </c>
      <c r="P56" t="str">
        <v>N</v>
      </c>
    </row>
    <row r="57" ht="14.25" customHeight="1">
      <c r="A57">
        <v>9</v>
      </c>
      <c r="B57" t="str">
        <v>Flooring:</v>
      </c>
      <c r="C57" t="str">
        <v>Y</v>
      </c>
      <c r="I57" s="8">
        <f>H57*F57</f>
        <v>0</v>
      </c>
      <c r="J57" t="str">
        <v>Y</v>
      </c>
      <c r="M57" t="str">
        <v>Y</v>
      </c>
      <c r="P57" t="str">
        <v>N</v>
      </c>
    </row>
    <row r="58" ht="14.25" customHeight="1">
      <c r="A58">
        <v>10</v>
      </c>
      <c r="B58" t="str">
        <v xml:space="preserve">Furnish and Install (LVT-01) Solid Vinyl Floor Tile [Interface - Northern Grain A025 - A02611 Oak Satin] </v>
      </c>
      <c r="C58" t="str">
        <v>Y</v>
      </c>
      <c r="I58" s="8">
        <f>H58*F58</f>
        <v>0</v>
      </c>
      <c r="J58" t="str">
        <v>Y</v>
      </c>
      <c r="M58" t="str">
        <v>Y</v>
      </c>
      <c r="P58" t="str">
        <v>N</v>
      </c>
    </row>
    <row r="59" ht="14.25" customHeight="1">
      <c r="A59">
        <v>11</v>
      </c>
      <c r="B59" t="str">
        <v xml:space="preserve">Furnish and Install (LVT-02) Solid Vinyl Floor Tile [Interface - Studioset A007 - A00712 Marigold] </v>
      </c>
      <c r="C59" t="str">
        <v>Y</v>
      </c>
      <c r="I59" s="8">
        <f>H59*F59</f>
        <v>0</v>
      </c>
      <c r="J59" t="str">
        <v>Y</v>
      </c>
      <c r="M59" t="str">
        <v>Y</v>
      </c>
      <c r="P59" t="str">
        <v>N</v>
      </c>
    </row>
    <row r="60" ht="14.25" customHeight="1">
      <c r="A60">
        <v>12</v>
      </c>
      <c r="B60" t="str">
        <v>Furnish and Install (LVT-03) Solid Vinyl Floor Tile [Interface - Studioset A007 - A00715 Chartreuse]</v>
      </c>
      <c r="C60" t="str">
        <v>Y</v>
      </c>
      <c r="I60" s="8">
        <f>H60*F60</f>
        <v>0</v>
      </c>
      <c r="J60" t="str">
        <v>Y</v>
      </c>
      <c r="M60" t="str">
        <v>Y</v>
      </c>
      <c r="P60" t="str">
        <v>N</v>
      </c>
    </row>
    <row r="61" ht="14.25" customHeight="1">
      <c r="A61">
        <v>13</v>
      </c>
      <c r="B61" t="str">
        <v>Include all nosing, thresholds, and reducer strips, transition strips for a complete assembly</v>
      </c>
      <c r="C61" t="str">
        <v>Y</v>
      </c>
      <c r="I61" s="8">
        <f>H61*F61</f>
        <v>0</v>
      </c>
      <c r="J61" t="str">
        <v>Y</v>
      </c>
      <c r="M61" t="str">
        <v>Y</v>
      </c>
      <c r="P61" t="str">
        <v>N</v>
      </c>
    </row>
    <row r="62" ht="14.25" customHeight="1">
      <c r="A62">
        <v>14</v>
      </c>
      <c r="P62" t="str">
        <v>N</v>
      </c>
    </row>
    <row r="63" ht="14.25" customHeight="1">
      <c r="A63">
        <v>15</v>
      </c>
      <c r="B63" t="str">
        <v>Base:</v>
      </c>
      <c r="C63" t="str">
        <v>Y</v>
      </c>
      <c r="I63" s="8">
        <f>H63*F63</f>
        <v>0</v>
      </c>
      <c r="J63" t="str">
        <v>Y</v>
      </c>
      <c r="M63" t="str">
        <v>Y</v>
      </c>
      <c r="P63" t="str">
        <v>N</v>
      </c>
    </row>
    <row r="64" ht="14.25" customHeight="1">
      <c r="A64">
        <v>16</v>
      </c>
      <c r="B64" t="str">
        <v>Furnish and Install (WB-01) [Roppe - 694 Parchment]</v>
      </c>
      <c r="C64" t="str">
        <v>Y</v>
      </c>
      <c r="I64" s="8">
        <f>H64*F64</f>
        <v>0</v>
      </c>
      <c r="J64" t="str">
        <v>Y</v>
      </c>
      <c r="M64" t="str">
        <v>Y</v>
      </c>
      <c r="P64" t="str">
        <v>N</v>
      </c>
    </row>
    <row r="65" ht="14.25" customHeight="1">
      <c r="A65">
        <v>17</v>
      </c>
      <c r="B65" t="str">
        <v xml:space="preserve">Furnish and Install (WB-02) [Johnsonite - Beige WB] </v>
      </c>
      <c r="C65" t="str">
        <v>Y</v>
      </c>
      <c r="I65" s="8">
        <f>H65*F65</f>
        <v>0</v>
      </c>
      <c r="J65" t="str">
        <v>Y</v>
      </c>
      <c r="M65" t="str">
        <v>Y</v>
      </c>
      <c r="P65" t="str">
        <v>N</v>
      </c>
    </row>
    <row r="66" ht="14.25" customHeight="1">
      <c r="A66">
        <v>18</v>
      </c>
      <c r="B66" t="str">
        <v>Furnish and Install (WB-03) [Allstate - D24]</v>
      </c>
      <c r="C66" t="str">
        <v>Y</v>
      </c>
      <c r="I66" s="8">
        <v>0</v>
      </c>
      <c r="J66" t="str">
        <v>Y</v>
      </c>
      <c r="M66" t="str">
        <v>Y</v>
      </c>
      <c r="P66" t="str">
        <v>N</v>
      </c>
    </row>
    <row r="67" ht="14.25" customHeight="1">
      <c r="A67">
        <v>19</v>
      </c>
      <c r="B67" t="str">
        <v>Furnish and Install (VWB-01) [Johnsonite - 47 Brown]</v>
      </c>
      <c r="C67" t="str">
        <v>Y</v>
      </c>
      <c r="I67" s="8">
        <f>H67*F67</f>
        <v>0</v>
      </c>
      <c r="J67" t="str">
        <v>Y</v>
      </c>
      <c r="M67" t="str">
        <v>Y</v>
      </c>
      <c r="P67" t="str">
        <v>Y</v>
      </c>
      <c r="R67" s="8">
        <v>142197</v>
      </c>
    </row>
    <row r="68" ht="14.25" customHeight="1">
      <c r="A68">
        <v>21</v>
      </c>
    </row>
    <row r="69" ht="14.25" customHeight="1">
      <c r="A69">
        <v>22</v>
      </c>
      <c r="B69" t="str">
        <v xml:space="preserve">Carpet Flooring </v>
      </c>
      <c r="C69" t="str">
        <v>Y</v>
      </c>
      <c r="I69" s="8">
        <f>H69*F69</f>
        <v>0</v>
      </c>
      <c r="J69" t="str">
        <v>Y</v>
      </c>
      <c r="M69" t="str">
        <v>Y</v>
      </c>
      <c r="P69" t="str">
        <v>N</v>
      </c>
    </row>
    <row r="70" ht="14.25" customHeight="1">
      <c r="A70">
        <v>23</v>
      </c>
      <c r="B70" t="str">
        <v>Furnish and Install (CPT-01) [Shaw Contract - Observe Colo 5T309 - Radient Nature 05326]</v>
      </c>
      <c r="C70" t="str">
        <v>Y</v>
      </c>
      <c r="I70" s="8">
        <f>H70*F70</f>
        <v>0</v>
      </c>
      <c r="J70" t="str">
        <v>Y</v>
      </c>
    </row>
    <row r="71" ht="14.25" customHeight="1">
      <c r="A71">
        <v>24</v>
      </c>
      <c r="I71" s="8">
        <f>H71*F71</f>
        <v>0</v>
      </c>
    </row>
    <row r="72" ht="14.25" customHeight="1">
      <c r="A72">
        <v>25</v>
      </c>
      <c r="B72" t="str">
        <v xml:space="preserve">Standard/ General Scope </v>
      </c>
      <c r="C72" t="str">
        <v>Y</v>
      </c>
      <c r="I72" s="8">
        <f>H72*F72</f>
        <v>0</v>
      </c>
      <c r="J72" t="str">
        <v>Y</v>
      </c>
    </row>
    <row r="73" ht="14.25" customHeight="1">
      <c r="A73">
        <v>26</v>
      </c>
      <c r="B73" t="str">
        <v xml:space="preserve">Include all materials, tools, equipment,and hoisting, supervision, etc for this work </v>
      </c>
      <c r="C73" t="str">
        <v>Y</v>
      </c>
      <c r="I73" s="8">
        <f>H73*F73</f>
        <v>0</v>
      </c>
      <c r="J73" t="str">
        <v>Y</v>
      </c>
    </row>
    <row r="74" ht="14.25" customHeight="1">
      <c r="A74">
        <v>27</v>
      </c>
      <c r="B74" t="str">
        <v xml:space="preserve">All flooring included is compliant with the listed manufacturers </v>
      </c>
      <c r="C74" t="str">
        <v>Y</v>
      </c>
      <c r="I74" s="8">
        <v>0</v>
      </c>
      <c r="J74" t="str">
        <v>Y</v>
      </c>
    </row>
    <row r="75" ht="14.25" customHeight="1">
      <c r="A75">
        <v>28</v>
      </c>
      <c r="B75" t="str">
        <v xml:space="preserve">Include minor leveling </v>
      </c>
      <c r="C75" t="str">
        <v>Y</v>
      </c>
      <c r="I75" s="8">
        <v>0</v>
      </c>
      <c r="J75" t="str">
        <v>Y</v>
      </c>
    </row>
    <row r="76" ht="14.25" customHeight="1">
      <c r="A76">
        <v>29</v>
      </c>
      <c r="B76" t="str">
        <v xml:space="preserve">Include minor surface prep </v>
      </c>
      <c r="C76" t="str">
        <v>Y</v>
      </c>
      <c r="I76" s="8">
        <f>H76*F76</f>
        <v>0</v>
      </c>
      <c r="J76" t="str">
        <v>Y</v>
      </c>
    </row>
    <row r="77" ht="14.25" customHeight="1">
      <c r="A77">
        <v>30</v>
      </c>
      <c r="B77" t="str">
        <v xml:space="preserve">Include floor protection after installation </v>
      </c>
      <c r="C77" t="str">
        <v>Y</v>
      </c>
      <c r="I77" s="8">
        <f>H77*F77</f>
        <v>0</v>
      </c>
      <c r="J77" t="str">
        <v>Y</v>
      </c>
    </row>
    <row r="78" ht="14.25" customHeight="1">
      <c r="A78">
        <v>31</v>
      </c>
      <c r="B78" t="str">
        <v xml:space="preserve">Provide extra stock of flooring materials per specifications </v>
      </c>
      <c r="C78" t="str">
        <v>Y</v>
      </c>
      <c r="I78" s="8">
        <f>H78*F78</f>
        <v>0</v>
      </c>
      <c r="J78" t="str">
        <v>Y</v>
      </c>
    </row>
    <row r="79" ht="14.25" customHeight="1">
      <c r="A79">
        <v>32</v>
      </c>
      <c r="B79" t="str">
        <v>Accessories to include primers, adhesives, trim pieces, etc.</v>
      </c>
      <c r="C79" t="str">
        <v>Y</v>
      </c>
      <c r="I79" s="8">
        <f>H79*F79</f>
        <v>0</v>
      </c>
      <c r="J79" t="str">
        <v>Y</v>
      </c>
    </row>
    <row r="80" ht="14.25" customHeight="1">
      <c r="A80">
        <v>33</v>
      </c>
      <c r="B80" t="str">
        <v xml:space="preserve">Clean up to MCN dumpster </v>
      </c>
      <c r="C80" t="str">
        <v>Y</v>
      </c>
      <c r="I80" s="8">
        <f>H80*F80</f>
        <v>0</v>
      </c>
      <c r="J80" t="str">
        <v>Y</v>
      </c>
    </row>
    <row r="81" ht="14.25" customHeight="1">
      <c r="A81">
        <v>34</v>
      </c>
      <c r="B81" t="str">
        <v xml:space="preserve">Skim coat for manufacturer tolerances </v>
      </c>
      <c r="C81" t="str">
        <v>Y</v>
      </c>
      <c r="I81" s="8">
        <f>H81*F81</f>
        <v>0</v>
      </c>
      <c r="J81" t="str">
        <v>Y</v>
      </c>
    </row>
    <row r="82" ht="14.25" customHeight="1">
      <c r="A82">
        <v>35</v>
      </c>
      <c r="B82" t="str">
        <v>Includes sloping to meet edge of dissimilar finished (i.e. terrazo tile, tile, etc.)</v>
      </c>
      <c r="C82" t="str">
        <v>Y</v>
      </c>
      <c r="I82" s="8">
        <f>H82*F82</f>
        <v>0</v>
      </c>
      <c r="J82" t="str">
        <v>Y</v>
      </c>
    </row>
    <row r="83" ht="14.25" customHeight="1">
      <c r="A83">
        <v>36</v>
      </c>
      <c r="B83" t="str">
        <v xml:space="preserve">Schluter edging, divider, and transition strips </v>
      </c>
      <c r="C83" t="str">
        <v>Y</v>
      </c>
      <c r="I83" s="8">
        <f>H83*F83</f>
        <v>0</v>
      </c>
      <c r="J83" t="str">
        <v>Y</v>
      </c>
    </row>
    <row r="84" ht="14.25" customHeight="1">
      <c r="A84">
        <v>37</v>
      </c>
      <c r="B84" t="str">
        <v xml:space="preserve">Finish floor in elevator cabs </v>
      </c>
      <c r="C84" t="str">
        <v>Y</v>
      </c>
      <c r="I84" s="8">
        <f>H84*F84</f>
        <v>0</v>
      </c>
      <c r="J84" t="str">
        <v>Y</v>
      </c>
    </row>
    <row r="85" ht="14.25" customHeight="1">
      <c r="A85">
        <v>38</v>
      </c>
      <c r="B85" t="str">
        <v xml:space="preserve">Application of specified sealer prior to installation of finish materials </v>
      </c>
      <c r="C85" t="str">
        <v>Y</v>
      </c>
      <c r="I85" s="8">
        <f>H85*F85</f>
        <v>0</v>
      </c>
      <c r="J85" t="str">
        <v>Y</v>
      </c>
    </row>
    <row r="86" ht="14.25" customHeight="1">
      <c r="A86">
        <v>39</v>
      </c>
      <c r="B86" t="str">
        <v>Multiple mobilizations required for the schedule</v>
      </c>
      <c r="C86" t="str">
        <v>Y</v>
      </c>
      <c r="I86" s="8">
        <f>H86*F86</f>
        <v>0</v>
      </c>
      <c r="J86" t="str">
        <v>Y</v>
      </c>
    </row>
    <row r="87" ht="14.25" customHeight="1">
      <c r="A87">
        <v>40</v>
      </c>
      <c r="B87" t="str">
        <v xml:space="preserve">All related sealants at tile joints </v>
      </c>
      <c r="C87" t="str">
        <v>Y</v>
      </c>
      <c r="I87" s="8">
        <f>H87*F87</f>
        <v>0</v>
      </c>
      <c r="J87" t="str">
        <v>Y</v>
      </c>
    </row>
    <row r="88" ht="14.25" customHeight="1">
      <c r="A88">
        <v>41</v>
      </c>
      <c r="B88" t="str">
        <v xml:space="preserve">Stone thresholds at doorways </v>
      </c>
      <c r="C88" t="str">
        <v>Y</v>
      </c>
      <c r="I88" s="8">
        <f>H88*F88</f>
        <v>0</v>
      </c>
      <c r="J88" t="str">
        <v>Y</v>
      </c>
    </row>
    <row r="89" ht="14.25" customHeight="1">
      <c r="A89">
        <v>42</v>
      </c>
      <c r="B89" t="str">
        <v xml:space="preserve">Layout from GC control lines and benchmarks </v>
      </c>
      <c r="C89" t="str">
        <v>Y</v>
      </c>
      <c r="I89" s="8">
        <f>H89*F89</f>
        <v>0</v>
      </c>
      <c r="J89" t="str">
        <v>Y</v>
      </c>
    </row>
    <row r="90" ht="14.25" customHeight="1">
      <c r="A90">
        <v>43</v>
      </c>
      <c r="B90" t="str">
        <v>Shop drawings, samples, product data, certifications, etc.</v>
      </c>
      <c r="C90" t="str">
        <v>Y</v>
      </c>
      <c r="I90" s="8">
        <f>H90*F90</f>
        <v>0</v>
      </c>
      <c r="J90" t="str">
        <v>Y</v>
      </c>
    </row>
    <row r="91" ht="14.25" customHeight="1">
      <c r="A91">
        <v>44</v>
      </c>
      <c r="B91" t="str">
        <v>Provide mock-ups per specifications</v>
      </c>
      <c r="I91" s="8">
        <f>H91*F91</f>
        <v>0</v>
      </c>
      <c r="J91" t="str">
        <v>Y</v>
      </c>
    </row>
    <row r="92" ht="14.25" customHeight="1">
      <c r="A92" t="str">
        <v>C</v>
      </c>
      <c r="B92" t="str">
        <v>Exclusions</v>
      </c>
    </row>
    <row r="93" ht="14.25" customHeight="1">
      <c r="A93">
        <v>1</v>
      </c>
      <c r="B93" t="str">
        <v xml:space="preserve">Tile base </v>
      </c>
      <c r="C93" t="str">
        <v>N</v>
      </c>
      <c r="D93" t="str">
        <v xml:space="preserve">By Tile Subcontractor </v>
      </c>
      <c r="J93" t="str">
        <v>N</v>
      </c>
      <c r="M93" t="str">
        <v>N</v>
      </c>
      <c r="P93" t="str">
        <v>N</v>
      </c>
    </row>
    <row r="94" ht="14.25" customHeight="1">
      <c r="A94">
        <f>A93+1</f>
        <v>2</v>
      </c>
      <c r="B94" t="str">
        <v>Wood base</v>
      </c>
      <c r="C94" t="str">
        <v>N</v>
      </c>
      <c r="D94" t="str">
        <v xml:space="preserve">By Millwork Subcontractor </v>
      </c>
      <c r="J94" t="str">
        <v>N</v>
      </c>
      <c r="M94" t="str">
        <v>N</v>
      </c>
      <c r="P94" t="str">
        <v>N</v>
      </c>
    </row>
    <row r="95" ht="14.25" customHeight="1"/>
    <row r="96" ht="14.25" customHeight="1">
      <c r="A96" t="str">
        <v>D</v>
      </c>
      <c r="B96" t="str">
        <v>Schedule</v>
      </c>
    </row>
    <row r="97" ht="14.25" customHeight="1">
      <c r="A97">
        <v>1</v>
      </c>
      <c r="B97" t="str">
        <v>Meet MCN Schedule</v>
      </c>
      <c r="C97" t="str">
        <v>Y</v>
      </c>
    </row>
    <row r="98" ht="14.25" customHeight="1">
      <c r="A98">
        <f>A97+1</f>
        <v>2</v>
      </c>
      <c r="B98" t="str">
        <v xml:space="preserve">Advise of Durations: </v>
      </c>
    </row>
    <row r="99" ht="14.25" customHeight="1">
      <c r="A99">
        <f>A98+1</f>
        <v>3</v>
      </c>
      <c r="B99" t="str">
        <v xml:space="preserve">Shop Drawings </v>
      </c>
      <c r="C99" t="str">
        <v>---&gt;</v>
      </c>
    </row>
    <row r="100" ht="14.25" customHeight="1">
      <c r="A100">
        <f>A99+1</f>
        <v>4</v>
      </c>
      <c r="B100" t="str">
        <v xml:space="preserve">Submittals </v>
      </c>
      <c r="C100" t="str">
        <v>---&gt;</v>
      </c>
    </row>
    <row r="101" ht="14.25" customHeight="1">
      <c r="A101">
        <v>5</v>
      </c>
      <c r="B101" t="str">
        <v>Advise of Lead Times:</v>
      </c>
    </row>
    <row r="102" ht="14.25" customHeight="1">
      <c r="A102">
        <v>6</v>
      </c>
      <c r="B102" t="str">
        <v xml:space="preserve">Solid Vinyl Floor Tile </v>
      </c>
      <c r="C102" t="str">
        <v>---&gt;</v>
      </c>
    </row>
    <row r="103" ht="14.25" customHeight="1">
      <c r="A103">
        <v>7</v>
      </c>
      <c r="B103" t="str">
        <v xml:space="preserve">Rubber Flooring Tile </v>
      </c>
      <c r="C103" t="str">
        <v>---&gt;</v>
      </c>
    </row>
    <row r="104" ht="14.25" customHeight="1">
      <c r="A104">
        <f>A103+1</f>
        <v>8</v>
      </c>
      <c r="B104" t="str">
        <v xml:space="preserve">Tile Carpeting </v>
      </c>
      <c r="C104" t="str">
        <v>---&gt;</v>
      </c>
    </row>
    <row r="105" ht="14.25" customHeight="1"/>
    <row r="106" ht="14.25" customHeight="1">
      <c r="B106" t="str">
        <v>Allowances</v>
      </c>
    </row>
    <row r="107" ht="14.25" customHeight="1">
      <c r="A107">
        <v>1</v>
      </c>
      <c r="B107" t="str">
        <v xml:space="preserve">Alternate#1 - Additional skim at carpet tile </v>
      </c>
      <c r="C107" t="str">
        <v>Y</v>
      </c>
      <c r="J107" t="str">
        <v>Y</v>
      </c>
      <c r="K107" s="9">
        <v>432</v>
      </c>
      <c r="L107" s="8">
        <v>432</v>
      </c>
      <c r="M107" t="str">
        <v>N</v>
      </c>
      <c r="N107" t="str">
        <v xml:space="preserve">Incl in Base Bid </v>
      </c>
    </row>
    <row r="108" ht="14.25" customHeight="1">
      <c r="A108">
        <f>A107+1</f>
        <v>2</v>
      </c>
      <c r="B108" t="str">
        <v xml:space="preserve">Alternate #2 - Additional skim at resilient flooring </v>
      </c>
      <c r="C108" t="str">
        <v>Y</v>
      </c>
      <c r="J108" t="str">
        <v>Y</v>
      </c>
      <c r="K108" s="9">
        <v>1199</v>
      </c>
      <c r="L108" s="8">
        <v>1199</v>
      </c>
      <c r="M108" t="str">
        <v>N</v>
      </c>
      <c r="N108" t="str">
        <v xml:space="preserve">Incl in Base Bid </v>
      </c>
    </row>
    <row r="109" ht="14.25" customHeight="1">
      <c r="A109">
        <f>A108+1</f>
        <v>3</v>
      </c>
      <c r="B109" t="str">
        <v xml:space="preserve">Alternate #3 - Protect grille with plywood </v>
      </c>
      <c r="C109" t="str">
        <v>Y</v>
      </c>
      <c r="J109" t="str">
        <v>Y</v>
      </c>
      <c r="K109" s="9">
        <v>1021</v>
      </c>
      <c r="L109" s="8">
        <v>1021</v>
      </c>
      <c r="M109" t="str">
        <v>N</v>
      </c>
      <c r="N109" t="str">
        <v xml:space="preserve">Incl in Base Bid </v>
      </c>
    </row>
    <row r="110" ht="14.25" customHeight="1">
      <c r="A110">
        <f>A109+1</f>
        <v>4</v>
      </c>
      <c r="B110" t="str">
        <v xml:space="preserve">Alternate #4 - Protect resilient with kraft paper </v>
      </c>
      <c r="C110" t="str">
        <v>Y</v>
      </c>
      <c r="J110" t="str">
        <v>Y</v>
      </c>
      <c r="K110" s="9">
        <v>417</v>
      </c>
      <c r="L110" s="8">
        <f>K110</f>
        <v>417</v>
      </c>
      <c r="M110" t="str">
        <v>N</v>
      </c>
      <c r="N110" t="str">
        <v xml:space="preserve">Incl in Base Bid </v>
      </c>
    </row>
    <row r="111" ht="14.25" customHeight="1">
      <c r="A111">
        <v>5</v>
      </c>
      <c r="B111" t="str">
        <v xml:space="preserve">Deduct #1 - Deduct Walkoff Mats </v>
      </c>
      <c r="C111" t="str">
        <v>Y</v>
      </c>
      <c r="J111" t="str">
        <v>N</v>
      </c>
      <c r="K111" t="str">
        <v xml:space="preserve">Not Incl </v>
      </c>
      <c r="M111" t="str">
        <v xml:space="preserve">Y </v>
      </c>
      <c r="N111" s="14">
        <v>121000</v>
      </c>
    </row>
    <row r="112" ht="14.25" customHeight="1"/>
    <row r="113" ht="14.25" customHeight="1">
      <c r="B113" t="str">
        <v>Alternates</v>
      </c>
    </row>
    <row r="114" ht="14.25" customHeight="1">
      <c r="A114">
        <v>1</v>
      </c>
      <c r="C114" t="str">
        <v>#</v>
      </c>
    </row>
    <row r="115" ht="14.25" customHeight="1">
      <c r="A115">
        <f>A114+1</f>
        <v>2</v>
      </c>
      <c r="C115" t="str">
        <v>#</v>
      </c>
    </row>
    <row r="116" ht="14.25" customHeight="1">
      <c r="A116">
        <f>A115+1</f>
        <v>3</v>
      </c>
      <c r="C116" t="str">
        <v>#</v>
      </c>
    </row>
    <row r="117" ht="14.25" customHeight="1">
      <c r="A117">
        <f>A116+1</f>
        <v>4</v>
      </c>
      <c r="C117" t="str">
        <v>#</v>
      </c>
    </row>
    <row r="118" ht="14.25" customHeight="1">
      <c r="C118" t="str">
        <v>#</v>
      </c>
    </row>
    <row r="119" ht="14.25" customHeight="1">
      <c r="B119" t="str">
        <v>Unit Prices</v>
      </c>
    </row>
    <row r="120" ht="14.25" customHeight="1">
      <c r="A120">
        <v>1</v>
      </c>
      <c r="C120" t="str">
        <v>#</v>
      </c>
    </row>
    <row r="121" ht="14.25" customHeight="1">
      <c r="A121">
        <f>A120+1</f>
        <v>2</v>
      </c>
      <c r="C121" t="str">
        <v>#</v>
      </c>
    </row>
    <row r="122" ht="14.25" customHeight="1">
      <c r="A122">
        <f>A121+1</f>
        <v>3</v>
      </c>
      <c r="C122" t="str">
        <v>#</v>
      </c>
    </row>
    <row r="123" ht="14.25" customHeight="1">
      <c r="A123">
        <f>A122+1</f>
        <v>4</v>
      </c>
      <c r="C123" t="str">
        <v>#</v>
      </c>
    </row>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2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District Construction</v>
      </c>
      <c r="N1" t="str">
        <v>Precision Wall Tech</v>
      </c>
      <c r="Q1" t="str">
        <v>Uniconstruction</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Nazim Bensari</v>
      </c>
      <c r="N2" t="str">
        <v xml:space="preserve">Keith Stevens </v>
      </c>
      <c r="Q2" t="str">
        <v>Roy Chaaban</v>
      </c>
      <c r="T2" t="str">
        <v>Name</v>
      </c>
      <c r="W2" t="str">
        <v>Name</v>
      </c>
      <c r="Z2" t="str">
        <v>Name</v>
      </c>
      <c r="AC2" t="str">
        <v>Name</v>
      </c>
      <c r="AH2" t="str">
        <v>MCN</v>
      </c>
      <c r="AM2" s="8">
        <f>I9</f>
        <v>0</v>
      </c>
    </row>
    <row r="3" ht="14.25" customHeight="1" outlineLevel="1">
      <c r="I3" t="str">
        <v>Email:</v>
      </c>
      <c r="K3" t="str">
        <v>nazim@districtcontruction.com</v>
      </c>
      <c r="N3" t="str">
        <v>kstevens@precisionwall.com</v>
      </c>
      <c r="Q3" t="str">
        <v>roy@uniconstruyiongroup.com</v>
      </c>
      <c r="T3" t="str">
        <v>Email</v>
      </c>
      <c r="W3" t="str">
        <v>Email</v>
      </c>
      <c r="Z3" t="str">
        <v>Email</v>
      </c>
      <c r="AC3" t="str">
        <v>Email</v>
      </c>
      <c r="AH3">
        <v>1</v>
      </c>
      <c r="AI3" t="str">
        <f>IFNA(INDEX($K$1:$AE$1,1,MATCH($AH3,$K$10:$AE$10,0)),"")</f>
        <v>Uniconstruction</v>
      </c>
      <c r="AJ3" s="3">
        <f t="array" ref="AJ3">IFNA(INDEX($K$6:$AE$6,1,MATCH($AH3,$K$10:$AE$10,0)+1),"")</f>
        <v>107350</v>
      </c>
      <c r="AK3" s="3">
        <f t="array" ref="AK3">IFNA(INDEX($K$7:$AE$7,1,MATCH($AH3,$K$10:$AE$10,0)+1),"")</f>
        <v>0</v>
      </c>
      <c r="AL3" s="3">
        <f t="array" ref="AL3">IFNA(INDEX($K$8:$AE$8,1,MATCH($AH3,$K$10:$AE$10,0)+1),"")</f>
        <v>2147</v>
      </c>
      <c r="AM3" s="3">
        <f t="array" ref="AM3">IFNA(INDEX($K$9:$AE$9,1,MATCH($AH3,$K$10:$AE$10,0)+1),"")</f>
        <v>109497</v>
      </c>
      <c r="AO3" s="9">
        <f>IFERROR(AN3*AM3,0)</f>
        <v>0</v>
      </c>
    </row>
    <row r="4" ht="14.25" customHeight="1" outlineLevel="1">
      <c r="A4" t="str">
        <v>Trade:</v>
      </c>
      <c r="B4" t="str">
        <v>09 - PAINT &amp; WALL COVERING</v>
      </c>
      <c r="I4" t="str">
        <v>Phone:</v>
      </c>
      <c r="K4" t="str">
        <v>571-277-6506</v>
      </c>
      <c r="N4" t="str">
        <v>202-702-6376</v>
      </c>
      <c r="Q4" t="str">
        <v>804-666-1945</v>
      </c>
      <c r="T4" t="str">
        <v>Number</v>
      </c>
      <c r="W4" t="str">
        <v>Number</v>
      </c>
      <c r="Z4" t="str">
        <v>Number</v>
      </c>
      <c r="AC4" t="str">
        <v>Number</v>
      </c>
      <c r="AH4">
        <v>2</v>
      </c>
      <c r="AI4" t="str">
        <f>IFNA(INDEX($K$1:$AE$1,1,MATCH($AH4,$K$10:$AE$10,0)),"")</f>
        <v>District Construction</v>
      </c>
      <c r="AJ4" s="3">
        <f t="array" ref="AJ4">IFNA(INDEX($K$6:$AE$6,1,MATCH($AH4,$K$10:$AE$10,0)+1),"")</f>
        <v>111010</v>
      </c>
      <c r="AK4" s="3">
        <f t="array" ref="AK4">IFNA(INDEX($K$7:$AE$7,1,MATCH($AH4,$K$10:$AE$10,0)+1),"")</f>
        <v>0</v>
      </c>
      <c r="AL4" s="3">
        <f t="array" ref="AL4">IFNA(INDEX($K$8:$AE$8,1,MATCH($AH4,$K$10:$AE$10,0)+1),"")</f>
        <v>2220.2</v>
      </c>
      <c r="AM4" s="3">
        <f t="array" ref="AM4">IFNA(INDEX($K$9:$AE$9,1,MATCH($AH4,$K$10:$AE$10,0)+1),"")</f>
        <v>113230.2</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FULL SCOPE</v>
      </c>
      <c r="T5" t="str">
        <v>Level Scope?</v>
      </c>
      <c r="U5" s="4" t="str">
        <v>NO</v>
      </c>
      <c r="W5" t="str">
        <v>Level Scope?</v>
      </c>
      <c r="X5" s="4" t="str">
        <v>NO</v>
      </c>
      <c r="Z5" t="str">
        <v>Level Scope?</v>
      </c>
      <c r="AA5" s="4" t="str">
        <v>NO</v>
      </c>
      <c r="AC5" t="str">
        <v>Level Scope?</v>
      </c>
      <c r="AD5" s="4" t="str">
        <v>NO</v>
      </c>
      <c r="AH5">
        <v>3</v>
      </c>
      <c r="AI5" t="str">
        <f>IFNA(INDEX($K$1:$AE$1,1,MATCH($AH5,$K$10:$AE$10,0)),"")</f>
        <v>Precision Wall Tech</v>
      </c>
      <c r="AJ5" s="3">
        <f t="array" ref="AJ5">IFNA(INDEX($K$6:$AE$6,1,MATCH($AH5,$K$10:$AE$10,0)+1),"")</f>
        <v>127000</v>
      </c>
      <c r="AK5" s="3">
        <f t="array" ref="AK5">IFNA(INDEX($K$7:$AE$7,1,MATCH($AH5,$K$10:$AE$10,0)+1),"")</f>
        <v>0</v>
      </c>
      <c r="AL5" s="3">
        <f t="array" ref="AL5">IFNA(INDEX($K$8:$AE$8,1,MATCH($AH5,$K$10:$AE$10,0)+1),"")</f>
        <v>2540</v>
      </c>
      <c r="AM5" s="3">
        <f t="array" ref="AM5">IFNA(INDEX($K$9:$AE$9,1,MATCH($AH5,$K$10:$AE$10,0)+1),"")</f>
        <v>129540</v>
      </c>
      <c r="AO5" s="9">
        <f>IFERROR(AN5*AM5,0)</f>
        <v>0</v>
      </c>
    </row>
    <row r="6" ht="14.25" customHeight="1" outlineLevel="1">
      <c r="K6" t="str">
        <v>Base Bid:</v>
      </c>
      <c r="L6" s="4">
        <v>111010</v>
      </c>
      <c r="N6" t="str">
        <v>Base Bid:</v>
      </c>
      <c r="O6" s="4">
        <v>127000</v>
      </c>
      <c r="Q6" t="str">
        <v>Base Bid:</v>
      </c>
      <c r="R6" s="4">
        <v>107350</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 Nija Thomas </v>
      </c>
      <c r="C7" t="str">
        <v>Contact:</v>
      </c>
      <c r="G7" s="8" t="str">
        <v>| MCN Budget</v>
      </c>
      <c r="I7" s="8">
        <f>SUM(I20:I111,I13:I18)</f>
        <v>0</v>
      </c>
      <c r="K7" t="str">
        <v>Adjustments:</v>
      </c>
      <c r="L7" s="4">
        <f>SUM(L13:L18,L20:L111)</f>
        <v>0</v>
      </c>
      <c r="N7" t="str">
        <v>Adjustments:</v>
      </c>
      <c r="O7" s="4">
        <f>SUM(O13:O18,O20:O111)</f>
        <v>0</v>
      </c>
      <c r="Q7" t="str">
        <v>Adjustments:</v>
      </c>
      <c r="R7" s="4">
        <f>SUM(R13:R18,R20:R111)</f>
        <v>0</v>
      </c>
      <c r="T7" t="str">
        <v>Adjustments:</v>
      </c>
      <c r="U7" s="4">
        <f>SUM(U13:U18,U20:U111)</f>
        <v>0</v>
      </c>
      <c r="W7" t="str">
        <v>Adjustments:</v>
      </c>
      <c r="X7" s="4">
        <f>SUM(X13:X18,X20:X111)</f>
        <v>0</v>
      </c>
      <c r="Z7" t="str">
        <v>Adjustments:</v>
      </c>
      <c r="AA7" s="4">
        <f>SUM(AA13:AA18,AA20:AA111)</f>
        <v>0</v>
      </c>
      <c r="AC7" t="str">
        <v>Adjustments:</v>
      </c>
      <c r="AD7" s="4">
        <f>SUM(AD13:AD18,AD20:AD111)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2220.2</v>
      </c>
      <c r="M8" s="10">
        <v>0.02</v>
      </c>
      <c r="N8" t="str">
        <v>Bond:</v>
      </c>
      <c r="O8" s="4">
        <f>M8*SUM(O6:O7)</f>
        <v>2540</v>
      </c>
      <c r="P8" s="10">
        <v>0.02</v>
      </c>
      <c r="Q8" t="str">
        <v>Bond:</v>
      </c>
      <c r="R8" s="4">
        <f>P8*SUM(R6:R7)</f>
        <v>2147</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202-210-7534</v>
      </c>
      <c r="C9" t="str">
        <v>Phone:</v>
      </c>
      <c r="G9" t="str">
        <v>-----</v>
      </c>
      <c r="H9" s="8" t="str">
        <v xml:space="preserve">  --------&gt;</v>
      </c>
      <c r="I9" s="8">
        <f>SUM(I7:I8)</f>
        <v>0</v>
      </c>
      <c r="K9" t="str">
        <v>Total Bid:</v>
      </c>
      <c r="L9" s="4">
        <f>IF(L5="FULL SCOPE",SUM(L6:L8),"not level")</f>
        <v>113230.2</v>
      </c>
      <c r="N9" t="str">
        <v>Total Bid:</v>
      </c>
      <c r="O9" s="4">
        <f>IF(O5="FULL SCOPE",SUM(O6:O8),"not level")</f>
        <v>129540</v>
      </c>
      <c r="Q9" t="str">
        <v>Total Bid:</v>
      </c>
      <c r="R9" s="4">
        <f>IF(R5="FULL SCOPE",SUM(R6:R8),"not level")</f>
        <v>109497</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3</v>
      </c>
      <c r="Q10">
        <f>IF(R5="NO","INCOMPLETE",RANK.EQ(R9,$L$9:$AE$9,1))</f>
        <v>1</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v>111010</v>
      </c>
      <c r="O19" s="8">
        <v>127000</v>
      </c>
      <c r="R19" s="8">
        <f>R6</f>
        <v>107350</v>
      </c>
      <c r="U19" s="8" t="str">
        <f>U6</f>
        <v/>
      </c>
      <c r="X19" s="8" t="str">
        <f>X6</f>
        <v/>
      </c>
      <c r="AA19" s="8" t="str">
        <f>AA6</f>
        <v/>
      </c>
      <c r="AD19" s="8" t="str">
        <f>AD6</f>
        <v/>
      </c>
    </row>
    <row r="20" ht="14.25" customHeight="1">
      <c r="A20">
        <f>A19+1</f>
        <v>2</v>
      </c>
    </row>
    <row r="21" ht="14.25" customHeight="1">
      <c r="A21">
        <f>A20+1</f>
        <v>3</v>
      </c>
      <c r="B21" t="str">
        <v>Key Cost Breakdown</v>
      </c>
    </row>
    <row r="22" ht="14.25" customHeight="1">
      <c r="A22">
        <f>A21+1</f>
        <v>4</v>
      </c>
      <c r="B22" t="str">
        <v xml:space="preserve">Polished Concrete </v>
      </c>
      <c r="C22" t="str">
        <v>#</v>
      </c>
      <c r="D22" t="str">
        <v>$</v>
      </c>
      <c r="I22" s="8">
        <f>H22*F22</f>
        <v>0</v>
      </c>
      <c r="J22" t="str">
        <v>N</v>
      </c>
      <c r="K22" t="str">
        <v xml:space="preserve">Not Needed </v>
      </c>
      <c r="M22" t="str">
        <v>N</v>
      </c>
      <c r="N22" t="str">
        <v>Not Needed</v>
      </c>
      <c r="P22" t="str">
        <v>N</v>
      </c>
      <c r="Q22" t="str">
        <v>Not Needed</v>
      </c>
    </row>
    <row r="23" ht="15.75" customHeight="1">
      <c r="A23">
        <f>A22+1</f>
        <v>5</v>
      </c>
      <c r="B23" t="str">
        <v xml:space="preserve">Sealed Concrete </v>
      </c>
      <c r="C23" t="str">
        <v>#</v>
      </c>
      <c r="D23" t="str">
        <v>$</v>
      </c>
      <c r="I23" s="8">
        <f>H23*F23</f>
        <v>0</v>
      </c>
      <c r="J23" t="str">
        <v>Y</v>
      </c>
      <c r="K23" s="9">
        <v>2030</v>
      </c>
      <c r="M23" t="str">
        <v>Y</v>
      </c>
      <c r="N23" t="str">
        <v xml:space="preserve">Included </v>
      </c>
      <c r="P23" t="str">
        <v>Y</v>
      </c>
    </row>
    <row r="24" ht="14.25" customHeight="1">
      <c r="A24">
        <f>A23+1</f>
        <v>6</v>
      </c>
      <c r="B24" t="str">
        <v xml:space="preserve">Wall Coverings </v>
      </c>
      <c r="C24" t="str">
        <v>#</v>
      </c>
      <c r="D24" t="str">
        <v>$</v>
      </c>
      <c r="I24" s="8">
        <f>H24*F24</f>
        <v>0</v>
      </c>
      <c r="J24" t="str">
        <v>N</v>
      </c>
      <c r="K24" t="str">
        <v>Excluded</v>
      </c>
      <c r="M24" t="str">
        <v>N</v>
      </c>
      <c r="N24" t="str">
        <v xml:space="preserve">Excluded </v>
      </c>
      <c r="P24" t="str">
        <v>Y</v>
      </c>
    </row>
    <row r="25" ht="14.25" customHeight="1">
      <c r="A25">
        <f>A24+1</f>
        <v>7</v>
      </c>
      <c r="B25" t="str">
        <v xml:space="preserve">Paint </v>
      </c>
      <c r="C25" t="str">
        <v>#</v>
      </c>
      <c r="D25" t="str">
        <v>$</v>
      </c>
      <c r="I25" s="8">
        <f>H25*F25</f>
        <v>0</v>
      </c>
      <c r="J25" t="str">
        <v>Y</v>
      </c>
      <c r="K25" s="9">
        <v>108980</v>
      </c>
      <c r="M25" t="str">
        <v>Y</v>
      </c>
      <c r="N25" t="str">
        <v xml:space="preserve">Included </v>
      </c>
      <c r="P25" t="str">
        <v>Y</v>
      </c>
    </row>
    <row r="26" ht="14.25" customHeight="1">
      <c r="A26">
        <v>8</v>
      </c>
      <c r="B26" t="str">
        <v xml:space="preserve">High Performance Coatings </v>
      </c>
      <c r="C26" t="str">
        <v>#</v>
      </c>
      <c r="D26" t="str">
        <v>$</v>
      </c>
      <c r="I26" s="8">
        <v>0</v>
      </c>
      <c r="J26" t="str">
        <v>Y</v>
      </c>
      <c r="K26" t="str">
        <v xml:space="preserve">Included </v>
      </c>
      <c r="M26" t="str">
        <v>Y</v>
      </c>
      <c r="N26" t="str">
        <v xml:space="preserve">Included </v>
      </c>
      <c r="P26" t="str">
        <v>?</v>
      </c>
      <c r="Q26" t="str">
        <v>revising proposal</v>
      </c>
    </row>
    <row r="27" ht="14.25" customHeight="1">
      <c r="A27">
        <v>9</v>
      </c>
    </row>
    <row r="28" ht="14.25" customHeight="1">
      <c r="A28">
        <v>10</v>
      </c>
      <c r="B28" t="str">
        <v>Key Quantity Breakdown</v>
      </c>
    </row>
    <row r="29" ht="14.25" customHeight="1">
      <c r="A29">
        <v>11</v>
      </c>
      <c r="B29" t="str">
        <v xml:space="preserve">Polished Concrete </v>
      </c>
      <c r="C29" t="str">
        <v>#</v>
      </c>
      <c r="D29" t="str">
        <v>SF</v>
      </c>
      <c r="I29" s="8">
        <f>H29*F29</f>
        <v>0</v>
      </c>
      <c r="J29" t="str">
        <v>N</v>
      </c>
      <c r="M29" t="str">
        <v>N</v>
      </c>
      <c r="P29" t="str">
        <v>N</v>
      </c>
    </row>
    <row r="30" ht="14.25" customHeight="1">
      <c r="A30">
        <v>12</v>
      </c>
      <c r="B30" t="str">
        <v xml:space="preserve">Sealed Concrete </v>
      </c>
      <c r="C30" t="str">
        <v>#</v>
      </c>
      <c r="D30" t="str">
        <v>SF</v>
      </c>
      <c r="I30" s="8">
        <f>H30*F30</f>
        <v>0</v>
      </c>
      <c r="J30" t="str">
        <v>Y</v>
      </c>
      <c r="M30" t="str">
        <v>Y</v>
      </c>
      <c r="P30" t="str">
        <v>Y</v>
      </c>
    </row>
    <row r="31" ht="14.25" customHeight="1">
      <c r="A31">
        <v>13</v>
      </c>
      <c r="B31" t="str">
        <v xml:space="preserve">Wall Coverings </v>
      </c>
      <c r="C31" t="str">
        <v>#</v>
      </c>
      <c r="D31" t="str">
        <v>LF</v>
      </c>
      <c r="I31" s="8">
        <f>H31*F31</f>
        <v>0</v>
      </c>
      <c r="J31" t="str">
        <v>N</v>
      </c>
      <c r="M31" t="str">
        <v>N</v>
      </c>
      <c r="P31" t="str">
        <v>Y</v>
      </c>
    </row>
    <row r="32" ht="14.25" customHeight="1">
      <c r="A32">
        <v>14</v>
      </c>
      <c r="B32" t="str">
        <v xml:space="preserve">Paint </v>
      </c>
      <c r="C32" t="str">
        <v>#</v>
      </c>
      <c r="D32" t="str">
        <v>SF</v>
      </c>
      <c r="I32" s="8">
        <f>H32*F32</f>
        <v>0</v>
      </c>
      <c r="J32" t="str">
        <v>Y</v>
      </c>
      <c r="M32" t="str">
        <v>Y</v>
      </c>
      <c r="P32" t="str">
        <v>Y</v>
      </c>
    </row>
    <row r="33" ht="14.25" customHeight="1">
      <c r="A33">
        <v>15</v>
      </c>
      <c r="B33" t="str">
        <v>High Performance Coatings</v>
      </c>
      <c r="C33" t="str">
        <v>#</v>
      </c>
      <c r="D33" t="str">
        <v>SF</v>
      </c>
      <c r="I33" s="8">
        <v>0</v>
      </c>
      <c r="J33" t="str">
        <v>Y</v>
      </c>
      <c r="M33" t="str">
        <v>Y</v>
      </c>
      <c r="P33" t="str">
        <v>?</v>
      </c>
      <c r="Q33" t="str">
        <v>revising proposal</v>
      </c>
    </row>
    <row r="34" ht="14.25" customHeight="1">
      <c r="B34" t="str">
        <v>Section 3 - Scope of Work</v>
      </c>
    </row>
    <row r="35" ht="14.25" customHeight="1">
      <c r="B35" t="str">
        <v xml:space="preserve">Furnish and Install All Items UON (Unless Otherwise Noted) </v>
      </c>
      <c r="C35" t="str">
        <v>Y</v>
      </c>
      <c r="J35" t="str">
        <v>Y</v>
      </c>
      <c r="M35" t="str">
        <v>Y</v>
      </c>
      <c r="P35" t="str">
        <v>Y</v>
      </c>
    </row>
    <row r="36" ht="14.25" customHeight="1">
      <c r="A36" t="str">
        <v>A</v>
      </c>
      <c r="B36" t="str">
        <v>Specifications</v>
      </c>
    </row>
    <row r="37" ht="14.25" customHeight="1">
      <c r="B37" t="str">
        <v xml:space="preserve">Division 01 - General Requirements (as applicable to this Bid Package) </v>
      </c>
      <c r="C37" t="str">
        <v>Y</v>
      </c>
      <c r="J37" t="str">
        <v>Y</v>
      </c>
      <c r="M37" t="str">
        <v>Y</v>
      </c>
      <c r="P37" t="str">
        <v>Y</v>
      </c>
    </row>
    <row r="38" ht="14.25" customHeight="1">
      <c r="B38" t="str">
        <v xml:space="preserve">03 35 43 - Polished Concrete Finishing </v>
      </c>
      <c r="C38" t="str">
        <v>Y</v>
      </c>
      <c r="J38" t="str">
        <v>N</v>
      </c>
      <c r="M38" t="str">
        <v>N</v>
      </c>
      <c r="P38" t="str">
        <v>N</v>
      </c>
    </row>
    <row r="39" ht="14.25" customHeight="1">
      <c r="B39" t="str">
        <v xml:space="preserve">07 92 00 - Joint Sealants (as applicable to this Bid Package) </v>
      </c>
      <c r="C39" t="str">
        <v>Y</v>
      </c>
      <c r="J39" t="str">
        <v>Y</v>
      </c>
      <c r="M39" t="str">
        <v>Y</v>
      </c>
      <c r="P39" t="str">
        <v>Y</v>
      </c>
    </row>
    <row r="40" ht="14.25" customHeight="1">
      <c r="B40" t="str">
        <v xml:space="preserve">09 72 00 - Wall Coverings (as applicable to this Bid Package) </v>
      </c>
      <c r="C40" t="str">
        <v>Y</v>
      </c>
      <c r="J40" t="str">
        <v>N</v>
      </c>
      <c r="M40" t="str">
        <v>N</v>
      </c>
      <c r="P40" t="str">
        <v>Y</v>
      </c>
    </row>
    <row r="41" ht="14.25" customHeight="1">
      <c r="B41" t="str">
        <v xml:space="preserve">09 91 13 - Exterior Painting </v>
      </c>
      <c r="C41" t="str">
        <v>Y</v>
      </c>
      <c r="J41" t="str">
        <v>Y</v>
      </c>
      <c r="M41" t="str">
        <v>Y</v>
      </c>
      <c r="P41" t="str">
        <v>Y</v>
      </c>
    </row>
    <row r="42" ht="14.25" customHeight="1">
      <c r="B42" t="str">
        <v xml:space="preserve">09 91 23 - Interior Painting </v>
      </c>
      <c r="C42" t="str">
        <v>Y</v>
      </c>
      <c r="J42" t="str">
        <v>Y</v>
      </c>
      <c r="M42" t="str">
        <v>Y</v>
      </c>
      <c r="P42" t="str">
        <v>Y</v>
      </c>
    </row>
    <row r="43" ht="14.25" customHeight="1">
      <c r="B43" t="str">
        <v xml:space="preserve">09 96 00 - High-Performance Coatings </v>
      </c>
      <c r="C43" t="str">
        <v>Y</v>
      </c>
      <c r="J43" t="str">
        <v>Y</v>
      </c>
      <c r="M43" t="str">
        <v>Y</v>
      </c>
      <c r="P43" t="str">
        <v>?</v>
      </c>
    </row>
    <row r="44" ht="14.25" customHeight="1">
      <c r="A44" t="str">
        <v>B</v>
      </c>
      <c r="B44" t="str">
        <v>Inclusions</v>
      </c>
    </row>
    <row r="45" ht="14.25" customHeight="1">
      <c r="A45">
        <v>1</v>
      </c>
      <c r="B45" t="str">
        <v>SPECIFIC SCOPE ITEMS</v>
      </c>
      <c r="C45" t="str">
        <v>Y</v>
      </c>
      <c r="I45" s="8">
        <f>H45*F45</f>
        <v>0</v>
      </c>
      <c r="J45" t="str">
        <v>Y</v>
      </c>
      <c r="M45" t="str">
        <v>Y</v>
      </c>
    </row>
    <row r="46" ht="14.25" customHeight="1">
      <c r="A46">
        <v>2</v>
      </c>
      <c r="B46" t="str">
        <v>Inclusions</v>
      </c>
      <c r="C46" t="str">
        <v>Y</v>
      </c>
      <c r="I46" s="8">
        <f>H46*F46</f>
        <v>0</v>
      </c>
      <c r="J46" t="str">
        <v>Y</v>
      </c>
      <c r="M46" t="str">
        <v>Y</v>
      </c>
    </row>
    <row r="47" ht="14.25" customHeight="1">
      <c r="A47">
        <v>3</v>
      </c>
      <c r="B47" t="str">
        <v xml:space="preserve">Includes types/colors per Contract Documents for appropriate application </v>
      </c>
      <c r="C47" t="str">
        <v>Y</v>
      </c>
      <c r="I47" s="8">
        <f>H47*F47</f>
        <v>0</v>
      </c>
      <c r="J47" t="str">
        <v>Y</v>
      </c>
      <c r="M47" t="str">
        <v>Y</v>
      </c>
    </row>
    <row r="48" ht="14.25" customHeight="1">
      <c r="A48">
        <v>4</v>
      </c>
      <c r="B48" t="str">
        <v xml:space="preserve">Refer to partition types on A8.1 </v>
      </c>
      <c r="C48" t="str">
        <v>Y</v>
      </c>
      <c r="I48" s="8">
        <f>H48*F48</f>
        <v>0</v>
      </c>
      <c r="J48" t="str">
        <v>Y</v>
      </c>
      <c r="M48" t="str">
        <v>Y</v>
      </c>
    </row>
    <row r="49" ht="14.25" customHeight="1">
      <c r="A49">
        <v>5</v>
      </c>
      <c r="B49" t="str">
        <v xml:space="preserve">Refer to RCP on A3.1 through A3.2 </v>
      </c>
      <c r="C49" t="str">
        <v>Y</v>
      </c>
      <c r="I49" s="8">
        <f>H49*F49</f>
        <v>0</v>
      </c>
      <c r="J49" t="str">
        <v>Y</v>
      </c>
      <c r="M49" t="str">
        <v>Y</v>
      </c>
    </row>
    <row r="50" ht="14.25" customHeight="1">
      <c r="A50">
        <v>6</v>
      </c>
      <c r="B50" t="str">
        <v xml:space="preserve">Refer to wall sections A6.1 through A6.4 or similar </v>
      </c>
      <c r="C50" t="str">
        <v>Y</v>
      </c>
      <c r="I50" s="8">
        <v>0</v>
      </c>
      <c r="J50" t="str">
        <v>Y</v>
      </c>
      <c r="M50" t="str">
        <v>Y</v>
      </c>
    </row>
    <row r="51" ht="14.25" customHeight="1">
      <c r="A51">
        <v>7</v>
      </c>
      <c r="B51" t="str">
        <v>Refer to details/sections A5.1</v>
      </c>
      <c r="C51" t="str">
        <v>Y</v>
      </c>
      <c r="I51" s="8">
        <v>0</v>
      </c>
      <c r="J51" t="str">
        <v>Y</v>
      </c>
      <c r="M51" t="str">
        <v>Y</v>
      </c>
    </row>
    <row r="52" ht="14.25" customHeight="1">
      <c r="A52">
        <v>8</v>
      </c>
      <c r="B52" t="str">
        <v xml:space="preserve">Refer to Finish Schedule and Details A12.1 </v>
      </c>
      <c r="C52" t="str">
        <v>Y</v>
      </c>
      <c r="I52" s="8">
        <v>0</v>
      </c>
      <c r="J52" t="str">
        <v>Y</v>
      </c>
      <c r="M52" t="str">
        <v>Y</v>
      </c>
    </row>
    <row r="53" ht="14.25" customHeight="1">
      <c r="A53">
        <v>9</v>
      </c>
      <c r="B53" t="str">
        <v xml:space="preserve">Refer to Interior Finish Plan(s) on A12.2 &amp; A12.3 </v>
      </c>
      <c r="C53" t="str">
        <v>Y</v>
      </c>
      <c r="I53" s="8">
        <v>0</v>
      </c>
      <c r="J53" t="str">
        <v>Y</v>
      </c>
      <c r="M53" t="str">
        <v>Y</v>
      </c>
    </row>
    <row r="54" ht="14.25" customHeight="1">
      <c r="A54">
        <v>10</v>
      </c>
      <c r="B54" t="str">
        <v xml:space="preserve"> Sealed and polished counters </v>
      </c>
      <c r="C54" t="str">
        <v>Y</v>
      </c>
      <c r="I54" s="8">
        <f>H54*F54</f>
        <v>0</v>
      </c>
      <c r="J54" t="str">
        <v>Y</v>
      </c>
      <c r="M54" t="str">
        <v>Y</v>
      </c>
    </row>
    <row r="55" ht="14.25" customHeight="1">
      <c r="A55">
        <v>11</v>
      </c>
    </row>
    <row r="56" ht="14.25" customHeight="1">
      <c r="A56">
        <v>12</v>
      </c>
      <c r="B56" t="str">
        <v xml:space="preserve">Concrete Finishes </v>
      </c>
      <c r="C56" t="str">
        <v>Y</v>
      </c>
      <c r="I56" s="8">
        <f>H56*F56</f>
        <v>0</v>
      </c>
    </row>
    <row r="57" ht="14.25" customHeight="1">
      <c r="A57">
        <v>13</v>
      </c>
      <c r="B57" t="str">
        <v>PLC -01: Polished Concrete - Ardex - Ultraflor Diamatic - Low Gloss</v>
      </c>
      <c r="C57" t="str">
        <v>Y</v>
      </c>
      <c r="I57" s="8">
        <f>H57*F57</f>
        <v>0</v>
      </c>
      <c r="J57" t="str">
        <v>N</v>
      </c>
      <c r="M57" t="str">
        <v>N</v>
      </c>
    </row>
    <row r="58" ht="14.25" customHeight="1">
      <c r="A58">
        <v>14</v>
      </c>
      <c r="B58" t="str">
        <v>SCE-01: Sealed Concrete (BOH) - Ardex</v>
      </c>
      <c r="C58" t="str">
        <v>Y</v>
      </c>
      <c r="I58" s="8">
        <f>H58*F58</f>
        <v>0</v>
      </c>
      <c r="J58" t="str">
        <v>Y</v>
      </c>
      <c r="M58" t="str">
        <v>Y</v>
      </c>
    </row>
    <row r="59" ht="14.25" customHeight="1">
      <c r="A59">
        <v>15</v>
      </c>
    </row>
    <row r="60" ht="14.25" customHeight="1">
      <c r="A60">
        <v>16</v>
      </c>
      <c r="B60" t="str">
        <v xml:space="preserve">Wall Coverings </v>
      </c>
      <c r="C60" t="str">
        <v>Y</v>
      </c>
      <c r="I60" s="8">
        <f>H60*F60</f>
        <v>0</v>
      </c>
      <c r="J60" t="str">
        <v>N</v>
      </c>
      <c r="M60" t="str">
        <v>N</v>
      </c>
    </row>
    <row r="61" ht="14.25" customHeight="1">
      <c r="A61">
        <v>17</v>
      </c>
      <c r="B61" t="str">
        <v xml:space="preserve">WC-01: Wall Covering - Refer to Contract Documents for specified locations </v>
      </c>
      <c r="C61" t="str">
        <v>Y</v>
      </c>
      <c r="I61" s="8">
        <v>0</v>
      </c>
      <c r="J61" t="str">
        <v>N</v>
      </c>
      <c r="M61" t="str">
        <v>N</v>
      </c>
    </row>
    <row r="62" ht="14.25" customHeight="1">
      <c r="A62">
        <v>18</v>
      </c>
      <c r="B62" t="str">
        <v xml:space="preserve">Extra stock shall be supplied from the same production run as the installed materials. Store at the project site where directed. Ensure all rolls are clearly identified by manufacturer, product, pattern, and color. </v>
      </c>
      <c r="C62" t="str">
        <v>Y</v>
      </c>
      <c r="I62" s="8">
        <v>0</v>
      </c>
      <c r="J62" t="str">
        <v>N</v>
      </c>
      <c r="M62" t="str">
        <v>N</v>
      </c>
    </row>
    <row r="63" ht="14.25" customHeight="1">
      <c r="A63">
        <v>19</v>
      </c>
    </row>
    <row r="64" ht="14.25" customHeight="1">
      <c r="A64">
        <v>20</v>
      </c>
      <c r="B64" t="str">
        <v>Paint</v>
      </c>
      <c r="C64" t="str">
        <v>Y</v>
      </c>
      <c r="I64" s="8">
        <f>H64*F64</f>
        <v>0</v>
      </c>
      <c r="J64" t="str">
        <v>Y</v>
      </c>
      <c r="M64" t="str">
        <v>Y</v>
      </c>
    </row>
    <row r="65" ht="14.25" customHeight="1">
      <c r="A65">
        <v>21</v>
      </c>
      <c r="B65" t="str">
        <v>Gyp/CMU walls, columns, gyp ceilings/soffits &amp; underside of structure per Finish Schedule</v>
      </c>
      <c r="C65" t="str">
        <v>Y</v>
      </c>
      <c r="I65" s="8">
        <f>H65*F65</f>
        <v>0</v>
      </c>
      <c r="J65" t="str">
        <v>Y</v>
      </c>
      <c r="M65" t="str">
        <v>Y</v>
      </c>
    </row>
    <row r="66" ht="14.25" customHeight="1">
      <c r="A66">
        <v>22</v>
      </c>
      <c r="B66" t="str">
        <v xml:space="preserve">Provide all paint types as specified in schedule, BOD Sherwin Williams </v>
      </c>
      <c r="C66" t="str">
        <v>Y</v>
      </c>
      <c r="I66" s="8">
        <f>H66*F66</f>
        <v>0</v>
      </c>
      <c r="J66" t="str">
        <v>Y</v>
      </c>
      <c r="M66" t="str">
        <v>Y</v>
      </c>
    </row>
    <row r="67" ht="14.25" customHeight="1">
      <c r="A67">
        <v>23</v>
      </c>
      <c r="B67" t="str">
        <v>Hollow metal doors and frames</v>
      </c>
      <c r="C67" t="str">
        <v>Y</v>
      </c>
      <c r="I67" s="8">
        <f>H67*F67</f>
        <v>0</v>
      </c>
      <c r="J67" t="str">
        <v>Y</v>
      </c>
      <c r="M67" t="str">
        <v>Y</v>
      </c>
    </row>
    <row r="68" ht="14.25" customHeight="1">
      <c r="A68">
        <v>24</v>
      </c>
      <c r="B68" t="str">
        <v>Paint grade wood doors</v>
      </c>
      <c r="C68" t="str">
        <v>Y</v>
      </c>
      <c r="I68" s="8">
        <f>H68*F68</f>
        <v>0</v>
      </c>
      <c r="J68" t="str">
        <v>Y</v>
      </c>
      <c r="M68" t="str">
        <v>Y</v>
      </c>
    </row>
    <row r="69" ht="14.25" customHeight="1">
      <c r="A69">
        <v>25</v>
      </c>
      <c r="B69" t="str">
        <v>Access doors</v>
      </c>
      <c r="C69" t="str">
        <v>Y</v>
      </c>
      <c r="I69" s="8">
        <f>H69*F69</f>
        <v>0</v>
      </c>
      <c r="J69" t="str">
        <v>Y</v>
      </c>
      <c r="M69" t="str">
        <v>Y</v>
      </c>
    </row>
    <row r="70" ht="14.25" customHeight="1">
      <c r="A70">
        <v>26</v>
      </c>
      <c r="B70" t="str">
        <v xml:space="preserve">Bulkhead at typical corridors </v>
      </c>
      <c r="C70" t="str">
        <v>Y</v>
      </c>
      <c r="I70" s="8">
        <f>H70*F70</f>
        <v>0</v>
      </c>
      <c r="J70" t="str">
        <v>Y</v>
      </c>
      <c r="M70" t="str">
        <v>Y</v>
      </c>
    </row>
    <row r="71" ht="14.25" customHeight="1">
      <c r="A71">
        <v>27</v>
      </c>
      <c r="B71" t="str">
        <v>Paint grade wood trim (base, chair rail, crown moulding, door/window trim, etc)</v>
      </c>
      <c r="C71" t="str">
        <v>Y</v>
      </c>
      <c r="I71" s="8">
        <f>H71*F71</f>
        <v>0</v>
      </c>
      <c r="J71" t="str">
        <v>Y</v>
      </c>
      <c r="M71" t="str">
        <v>N</v>
      </c>
    </row>
    <row r="72" ht="14.25" customHeight="1">
      <c r="A72">
        <v>28</v>
      </c>
      <c r="B72" t="str">
        <v>Concrete egress stairs</v>
      </c>
      <c r="C72" t="str">
        <v>Y</v>
      </c>
      <c r="I72" s="8">
        <f>H72*F72</f>
        <v>0</v>
      </c>
      <c r="J72" t="str">
        <v>Y</v>
      </c>
      <c r="M72" t="str">
        <v>Y</v>
      </c>
    </row>
    <row r="73" ht="14.25" customHeight="1">
      <c r="A73">
        <v>29</v>
      </c>
      <c r="B73" t="str">
        <v xml:space="preserve">Metal pan stairs </v>
      </c>
      <c r="C73" t="str">
        <v>Y</v>
      </c>
      <c r="I73" s="8">
        <f>H73*F73</f>
        <v>0</v>
      </c>
      <c r="J73" t="str">
        <v>Y</v>
      </c>
      <c r="M73" t="str">
        <v>Y</v>
      </c>
    </row>
    <row r="74" ht="14.25" customHeight="1">
      <c r="A74">
        <v>30</v>
      </c>
      <c r="B74" t="str">
        <v xml:space="preserve">Painted steel guardrails and handrails at stairs </v>
      </c>
      <c r="C74" t="str">
        <v>Y</v>
      </c>
      <c r="I74" s="8">
        <f>H74*F74</f>
        <v>0</v>
      </c>
      <c r="J74" t="str">
        <v>Y</v>
      </c>
      <c r="M74" t="str">
        <v>Y</v>
      </c>
    </row>
    <row r="75" ht="14.25" customHeight="1">
      <c r="A75">
        <v>31</v>
      </c>
      <c r="B75" t="str">
        <v>Steel bollards</v>
      </c>
      <c r="C75" t="str">
        <v>Y</v>
      </c>
      <c r="I75" s="8">
        <f>H75*F75</f>
        <v>0</v>
      </c>
      <c r="J75" t="str">
        <v>Y</v>
      </c>
      <c r="M75" t="str">
        <v>Y</v>
      </c>
    </row>
    <row r="76" ht="14.25" customHeight="1">
      <c r="A76">
        <v>32</v>
      </c>
      <c r="B76" t="str">
        <v xml:space="preserve">Colors, locations, coat(s), etc as described in specifications </v>
      </c>
      <c r="C76" t="str">
        <v>Y</v>
      </c>
      <c r="I76" s="8">
        <f>H76*F76</f>
        <v>0</v>
      </c>
      <c r="J76" t="str">
        <v>Y</v>
      </c>
      <c r="M76" t="str">
        <v>Y</v>
      </c>
    </row>
    <row r="77" ht="14.25" customHeight="1">
      <c r="A77">
        <v>33</v>
      </c>
      <c r="B77" t="str">
        <v xml:space="preserve">Include paint types/colors per specification for appropriate application </v>
      </c>
      <c r="C77" t="str">
        <v>Y</v>
      </c>
      <c r="I77" s="8">
        <f>H77*F77</f>
        <v>0</v>
      </c>
      <c r="J77" t="str">
        <v>Y</v>
      </c>
      <c r="M77" t="str">
        <v>Y</v>
      </c>
    </row>
    <row r="78" ht="14.25" customHeight="1">
      <c r="A78">
        <v>34</v>
      </c>
      <c r="B78" t="str">
        <v xml:space="preserve">Include "painter caulk" at miscellaneous joints to drywall (door frames, wood base, vinyl windows/doors, etc) </v>
      </c>
      <c r="C78" t="str">
        <v>Y</v>
      </c>
      <c r="I78" s="8">
        <f>H78*F78</f>
        <v>0</v>
      </c>
      <c r="J78" t="str">
        <v>Y</v>
      </c>
      <c r="M78" t="str">
        <v>Y</v>
      </c>
    </row>
    <row r="79" ht="14.25" customHeight="1">
      <c r="A79">
        <v>35</v>
      </c>
      <c r="B79" t="str">
        <v xml:space="preserve">Include primers and block fillers </v>
      </c>
      <c r="C79" t="str">
        <v>Y</v>
      </c>
      <c r="I79" s="8">
        <f>H79*F79</f>
        <v>0</v>
      </c>
      <c r="J79" t="str">
        <v>Y</v>
      </c>
      <c r="M79" t="str">
        <v>Y</v>
      </c>
    </row>
    <row r="80" ht="14.25" customHeight="1">
      <c r="A80">
        <v>36</v>
      </c>
      <c r="B80" t="str">
        <v xml:space="preserve">Paint at masonry walls at Pool House </v>
      </c>
      <c r="C80" t="str">
        <v>Y</v>
      </c>
      <c r="I80" s="8">
        <v>0</v>
      </c>
    </row>
    <row r="81" ht="14.25" customHeight="1">
      <c r="A81">
        <v>37</v>
      </c>
    </row>
    <row r="82" ht="14.25" customHeight="1">
      <c r="A82">
        <v>38</v>
      </c>
      <c r="B82" t="str">
        <v xml:space="preserve">High Performance Coatings </v>
      </c>
      <c r="C82" t="str">
        <v>Y</v>
      </c>
      <c r="I82" s="8">
        <v>0</v>
      </c>
      <c r="J82" t="str">
        <v>Y</v>
      </c>
      <c r="M82" t="str">
        <v>Y</v>
      </c>
    </row>
    <row r="83" ht="14.25" customHeight="1">
      <c r="A83">
        <v>39</v>
      </c>
      <c r="B83" t="str">
        <v xml:space="preserve">Provide high performance coatings at areas indicated on the Contract Documents </v>
      </c>
      <c r="C83" t="str">
        <v>Y</v>
      </c>
      <c r="I83" s="8">
        <v>0</v>
      </c>
      <c r="J83" t="str">
        <v>Y</v>
      </c>
      <c r="M83" t="str">
        <v>Y</v>
      </c>
    </row>
    <row r="84" ht="14.25" customHeight="1">
      <c r="A84">
        <v>40</v>
      </c>
    </row>
    <row r="85" ht="14.25" customHeight="1">
      <c r="A85">
        <v>41</v>
      </c>
      <c r="B85" t="str">
        <v xml:space="preserve">Standard/General Scope of Work </v>
      </c>
    </row>
    <row r="86" ht="14.25" customHeight="1">
      <c r="A86">
        <v>42</v>
      </c>
      <c r="B86" t="str">
        <v xml:space="preserve">Include all material, tools, equipment, hoisting, scaffolding </v>
      </c>
      <c r="C86" t="str">
        <v>Y</v>
      </c>
      <c r="I86" s="8">
        <v>0</v>
      </c>
      <c r="J86" t="str">
        <v>Y</v>
      </c>
      <c r="M86" t="str">
        <v>Y</v>
      </c>
    </row>
    <row r="87" ht="14.25" customHeight="1">
      <c r="A87">
        <v>43</v>
      </c>
      <c r="B87" t="str">
        <v>Assume free use of General Contractor's material hoist [confirm with GC's]</v>
      </c>
      <c r="C87" t="str">
        <v>Y</v>
      </c>
      <c r="I87" s="8">
        <f>H87*F87</f>
        <v>0</v>
      </c>
      <c r="J87" t="str">
        <v>Y</v>
      </c>
      <c r="M87" t="str">
        <v>Y</v>
      </c>
    </row>
    <row r="88" ht="14.25" customHeight="1">
      <c r="A88">
        <v>44</v>
      </c>
      <c r="B88" t="str">
        <v>Include minor surface prep</v>
      </c>
      <c r="C88" t="str">
        <v>Y</v>
      </c>
      <c r="I88" s="8">
        <f>H88*F88</f>
        <v>0</v>
      </c>
      <c r="J88" t="str">
        <v>Y</v>
      </c>
      <c r="M88" t="str">
        <v>Y</v>
      </c>
    </row>
    <row r="89" ht="14.25" customHeight="1">
      <c r="A89">
        <v>45</v>
      </c>
      <c r="B89" t="str">
        <v>Protection of adjacent work not to receive paint; "caution" signs for fresh paint</v>
      </c>
      <c r="C89" t="str">
        <v>Y</v>
      </c>
      <c r="I89" s="8">
        <f>H89*F89</f>
        <v>0</v>
      </c>
      <c r="J89" t="str">
        <v>Y</v>
      </c>
      <c r="M89" t="str">
        <v>Y</v>
      </c>
    </row>
    <row r="90" ht="14.25" customHeight="1">
      <c r="A90">
        <v>46</v>
      </c>
      <c r="B90" t="str">
        <v>Touch-up of damaged finishes</v>
      </c>
      <c r="C90" t="str">
        <v>Y</v>
      </c>
      <c r="I90" s="8">
        <f>H90*F90</f>
        <v>0</v>
      </c>
      <c r="J90" t="str">
        <v>Y</v>
      </c>
      <c r="M90" t="str">
        <v>Y</v>
      </c>
      <c r="N90" t="str">
        <v xml:space="preserve">See Alt </v>
      </c>
    </row>
    <row r="91" ht="14.25" customHeight="1">
      <c r="A91">
        <v>47</v>
      </c>
      <c r="B91" t="str">
        <v>Extra stock of materials per spec</v>
      </c>
      <c r="C91" t="str">
        <v>Y</v>
      </c>
      <c r="I91" s="8">
        <f>H91*F91</f>
        <v>0</v>
      </c>
      <c r="J91" t="str">
        <v>Y</v>
      </c>
      <c r="M91" t="str">
        <v>Y</v>
      </c>
    </row>
    <row r="92" ht="14.25" customHeight="1">
      <c r="A92">
        <v>48</v>
      </c>
      <c r="B92" t="str">
        <v>Accessories to include primers, fillers, tapes, adhesives, sealants, etc</v>
      </c>
      <c r="C92" t="str">
        <v>Y</v>
      </c>
      <c r="I92" s="8">
        <f>H92*F92</f>
        <v>0</v>
      </c>
      <c r="J92" t="str">
        <v>Y</v>
      </c>
      <c r="M92" t="str">
        <v>Y</v>
      </c>
    </row>
    <row r="93" ht="14.25" customHeight="1">
      <c r="A93">
        <v>49</v>
      </c>
      <c r="B93" t="str">
        <v>Clean up to MCN dumpster</v>
      </c>
      <c r="C93" t="str">
        <v>Y</v>
      </c>
      <c r="I93" s="8">
        <f>H93*F93</f>
        <v>0</v>
      </c>
      <c r="J93" t="str">
        <v>Y</v>
      </c>
      <c r="M93" t="str">
        <v>Y</v>
      </c>
    </row>
    <row r="94" ht="14.25" customHeight="1">
      <c r="A94">
        <v>50</v>
      </c>
      <c r="B94" t="str">
        <v>Shop dwgs, samples, product data, certs, etc</v>
      </c>
      <c r="C94" t="str">
        <v>Y</v>
      </c>
      <c r="I94" s="8">
        <f>H94*F94</f>
        <v>0</v>
      </c>
      <c r="J94" t="str">
        <v>Y</v>
      </c>
      <c r="M94" t="str">
        <v>Y</v>
      </c>
    </row>
    <row r="95" ht="14.25" customHeight="1">
      <c r="A95">
        <v>51</v>
      </c>
      <c r="B95" t="str">
        <v>Mock-ups per spec</v>
      </c>
      <c r="C95" t="str">
        <v>Y</v>
      </c>
      <c r="I95" s="8">
        <f>H95*F95</f>
        <v>0</v>
      </c>
      <c r="J95" t="str">
        <v>Y</v>
      </c>
      <c r="M95" t="str">
        <v>Y</v>
      </c>
    </row>
    <row r="96" ht="14.25" customHeight="1">
      <c r="A96" t="str">
        <v>C</v>
      </c>
      <c r="B96" t="str">
        <v>Exclusions</v>
      </c>
    </row>
    <row r="97" ht="14.25" customHeight="1">
      <c r="A97">
        <v>1</v>
      </c>
      <c r="B97" t="str">
        <v>Painting or prefinished items</v>
      </c>
      <c r="C97" t="str">
        <v>N</v>
      </c>
      <c r="D97" t="str">
        <v xml:space="preserve">By Others </v>
      </c>
      <c r="J97" t="str">
        <v>N</v>
      </c>
      <c r="M97" t="str">
        <v>N</v>
      </c>
    </row>
    <row r="98" ht="14.25" customHeight="1">
      <c r="A98" t="str">
        <v>D</v>
      </c>
      <c r="B98" t="str">
        <v>Schedule</v>
      </c>
    </row>
    <row r="99" ht="14.25" customHeight="1">
      <c r="A99">
        <v>1</v>
      </c>
      <c r="B99" t="str">
        <v>Meet MCN Schedule</v>
      </c>
      <c r="C99" t="str">
        <v>Y</v>
      </c>
    </row>
    <row r="100" ht="14.25" customHeight="1">
      <c r="A100">
        <f>A99+1</f>
        <v>2</v>
      </c>
      <c r="B100" t="str">
        <v>Advise of Durations</v>
      </c>
    </row>
    <row r="101" ht="14.25" customHeight="1">
      <c r="A101">
        <f>A100+1</f>
        <v>3</v>
      </c>
      <c r="B101" t="str">
        <v xml:space="preserve">Submittals </v>
      </c>
      <c r="C101" t="str">
        <v>---&gt;</v>
      </c>
    </row>
    <row r="102" ht="14.25" customHeight="1">
      <c r="A102">
        <f>A101+1</f>
        <v>4</v>
      </c>
      <c r="B102" t="str">
        <v xml:space="preserve">Shop Drawings </v>
      </c>
      <c r="C102" t="str">
        <v>---&gt;</v>
      </c>
    </row>
    <row r="103" ht="14.25" customHeight="1">
      <c r="A103">
        <v>5</v>
      </c>
      <c r="B103" t="str">
        <v>Advise of Lead Times</v>
      </c>
    </row>
    <row r="104" ht="14.25" customHeight="1"/>
    <row r="105" ht="14.25" customHeight="1"/>
    <row r="106" ht="14.25" customHeight="1">
      <c r="B106" t="str">
        <v>Allowances</v>
      </c>
    </row>
    <row r="107" ht="14.25" customHeight="1">
      <c r="A107">
        <v>1</v>
      </c>
    </row>
    <row r="108" ht="14.25" customHeight="1">
      <c r="A108">
        <f>A107+1</f>
        <v>2</v>
      </c>
    </row>
    <row r="109" ht="14.25" customHeight="1">
      <c r="A109">
        <f>A108+1</f>
        <v>3</v>
      </c>
    </row>
    <row r="110" ht="14.25" customHeight="1">
      <c r="A110">
        <f>A109+1</f>
        <v>4</v>
      </c>
    </row>
    <row r="111" ht="14.25" customHeight="1"/>
    <row r="112" ht="14.25" customHeight="1"/>
    <row r="113" ht="14.25" customHeight="1">
      <c r="B113" t="str">
        <v>Alternates</v>
      </c>
    </row>
    <row r="114" ht="14.25" customHeight="1">
      <c r="A114">
        <v>1</v>
      </c>
      <c r="B114" t="str">
        <v xml:space="preserve">Alternate #1 - Touch-up allowance 80 straight manhours to repaint </v>
      </c>
      <c r="C114" t="str">
        <v>#</v>
      </c>
      <c r="J114" t="str">
        <v xml:space="preserve">ALT </v>
      </c>
      <c r="K114" t="str">
        <v xml:space="preserve">ADD </v>
      </c>
      <c r="L114" s="8">
        <f>SUM(O114*0.1)+6200</f>
        <v>6820</v>
      </c>
      <c r="M114" t="str">
        <v xml:space="preserve">ALT </v>
      </c>
      <c r="N114" s="9">
        <v>6200</v>
      </c>
      <c r="O114" s="8">
        <v>6200</v>
      </c>
    </row>
    <row r="115" ht="14.25" customHeight="1">
      <c r="A115">
        <f>A114+1</f>
        <v>2</v>
      </c>
      <c r="C115" t="str">
        <v>#</v>
      </c>
    </row>
    <row r="116" ht="14.25" customHeight="1">
      <c r="A116">
        <f>A115+1</f>
        <v>3</v>
      </c>
      <c r="C116" t="str">
        <v>#</v>
      </c>
    </row>
    <row r="117" ht="14.25" customHeight="1">
      <c r="A117">
        <f>A116+1</f>
        <v>4</v>
      </c>
      <c r="C117" t="str">
        <v>#</v>
      </c>
    </row>
    <row r="118" ht="14.25" customHeight="1">
      <c r="C118" t="str">
        <v>#</v>
      </c>
    </row>
    <row r="119" ht="14.25" customHeight="1">
      <c r="B119" t="str">
        <v>Unit Prices</v>
      </c>
    </row>
    <row r="120" ht="14.25" customHeight="1">
      <c r="A120">
        <v>1</v>
      </c>
      <c r="C120" t="str">
        <v>#</v>
      </c>
    </row>
    <row r="121" ht="14.25" customHeight="1">
      <c r="A121">
        <f>A120+1</f>
        <v>2</v>
      </c>
      <c r="C121" t="str">
        <v>#</v>
      </c>
    </row>
    <row r="122" ht="14.25" customHeight="1">
      <c r="A122">
        <f>A121+1</f>
        <v>3</v>
      </c>
      <c r="C122" t="str">
        <v>#</v>
      </c>
    </row>
    <row r="123" ht="14.25" customHeight="1">
      <c r="A123">
        <f>A122+1</f>
        <v>4</v>
      </c>
      <c r="C123" t="str">
        <v>#</v>
      </c>
    </row>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B8" r:id="rId4"/>
  </hyperlinks>
  <pageMargins left="0.7" right="0.7" top="0.25" bottom="0.75" header="0" footer="0"/>
  <ignoredErrors>
    <ignoredError numberStoredAsText="1" sqref="A1:AO1000"/>
  </ignoredErrors>
</worksheet>
</file>

<file path=xl/worksheets/sheet2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6.57"/>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 xml:space="preserve">Gelberg Signs </v>
      </c>
      <c r="N1" t="str">
        <v xml:space="preserve">Modulex Mid Atlantic </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 xml:space="preserve">Dominic Young </v>
      </c>
      <c r="N2" t="str">
        <v>Tom Stacey</v>
      </c>
      <c r="Q2" t="str">
        <v>Name</v>
      </c>
      <c r="T2" t="str">
        <v>Name</v>
      </c>
      <c r="W2" t="str">
        <v>Name</v>
      </c>
      <c r="Z2" t="str">
        <v>Name</v>
      </c>
      <c r="AC2" t="str">
        <v>Name</v>
      </c>
      <c r="AH2" t="str">
        <v>MCN</v>
      </c>
      <c r="AM2" s="8">
        <f>I9</f>
        <v>0</v>
      </c>
    </row>
    <row r="3" ht="14.25" customHeight="1" outlineLevel="1">
      <c r="I3" t="str">
        <v>Email:</v>
      </c>
      <c r="K3" t="str">
        <v>dyoung@gelbergsigns.com</v>
      </c>
      <c r="N3" t="str">
        <v>tom.stacey@modulex.com</v>
      </c>
      <c r="Q3" t="str">
        <v>Email</v>
      </c>
      <c r="T3" t="str">
        <v>Email</v>
      </c>
      <c r="W3" t="str">
        <v>Email</v>
      </c>
      <c r="Z3" t="str">
        <v>Email</v>
      </c>
      <c r="AC3" t="str">
        <v>Email</v>
      </c>
      <c r="AH3">
        <v>1</v>
      </c>
      <c r="AI3" t="str">
        <f>IFNA(INDEX($K$1:$AE$1,1,MATCH($AH3,$K$10:$AE$10,0)),"")</f>
        <v xml:space="preserve">Gelberg Signs </v>
      </c>
      <c r="AJ3" s="3">
        <f t="array" ref="AJ3">IFNA(INDEX($K$6:$AE$6,1,MATCH($AH3,$K$10:$AE$10,0)+1),"")</f>
        <v>25293</v>
      </c>
      <c r="AK3" s="3">
        <f t="array" ref="AK3">IFNA(INDEX($K$7:$AE$7,1,MATCH($AH3,$K$10:$AE$10,0)+1),"")</f>
        <v>0</v>
      </c>
      <c r="AL3" s="3">
        <f t="array" ref="AL3">IFNA(INDEX($K$8:$AE$8,1,MATCH($AH3,$K$10:$AE$10,0)+1),"")</f>
        <v>505.86</v>
      </c>
      <c r="AM3" s="3">
        <f t="array" ref="AM3">IFNA(INDEX($K$9:$AE$9,1,MATCH($AH3,$K$10:$AE$10,0)+1),"")</f>
        <v>25798.86</v>
      </c>
      <c r="AO3" s="9">
        <f>IFERROR(AN3*AM3,0)</f>
        <v>0</v>
      </c>
    </row>
    <row r="4" ht="14.25" customHeight="1" outlineLevel="1">
      <c r="A4" t="str">
        <v>Trade:</v>
      </c>
      <c r="B4" t="str">
        <v>10 - SIGNAGE</v>
      </c>
      <c r="I4" t="str">
        <v>Phone:</v>
      </c>
      <c r="K4" t="str">
        <v>240-603-8187</v>
      </c>
      <c r="N4" t="str">
        <v>301-525-1723</v>
      </c>
      <c r="Q4" t="str">
        <v>Number</v>
      </c>
      <c r="T4" t="str">
        <v>Number</v>
      </c>
      <c r="W4" t="str">
        <v>Number</v>
      </c>
      <c r="Z4" t="str">
        <v>Number</v>
      </c>
      <c r="AC4" t="str">
        <v>Number</v>
      </c>
      <c r="AH4">
        <v>2</v>
      </c>
      <c r="AI4" t="str">
        <f>IFNA(INDEX($K$1:$AE$1,1,MATCH($AH4,$K$10:$AE$10,0)),"")</f>
        <v xml:space="preserve">Modulex Mid Atlantic </v>
      </c>
      <c r="AJ4" s="3">
        <f t="array" ref="AJ4">IFNA(INDEX($K$6:$AE$6,1,MATCH($AH4,$K$10:$AE$10,0)+1),"")</f>
        <v>41242.22</v>
      </c>
      <c r="AK4" s="3">
        <f t="array" ref="AK4">IFNA(INDEX($K$7:$AE$7,1,MATCH($AH4,$K$10:$AE$10,0)+1),"")</f>
        <v>0</v>
      </c>
      <c r="AL4" s="3">
        <f t="array" ref="AL4">IFNA(INDEX($K$8:$AE$8,1,MATCH($AH4,$K$10:$AE$10,0)+1),"")</f>
        <v>824.8444</v>
      </c>
      <c r="AM4" s="3">
        <f t="array" ref="AM4">IFNA(INDEX($K$9:$AE$9,1,MATCH($AH4,$K$10:$AE$10,0)+1),"")</f>
        <v>42067.0644</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25293</v>
      </c>
      <c r="N6" t="str">
        <v>Base Bid:</v>
      </c>
      <c r="O6" s="4">
        <v>41242.22</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 xml:space="preserve">Nija Thomas </v>
      </c>
      <c r="C7" t="str">
        <v>Contact:</v>
      </c>
      <c r="G7" s="8" t="str">
        <v>| MCN Budget</v>
      </c>
      <c r="I7" s="8">
        <f>SUM(I20:I78,I13:I18)</f>
        <v>0</v>
      </c>
      <c r="K7" t="str">
        <v>Adjustments:</v>
      </c>
      <c r="L7" s="4">
        <f>SUM(L13:L18,L20:L78)</f>
        <v>0</v>
      </c>
      <c r="N7" t="str">
        <v>Adjustments:</v>
      </c>
      <c r="O7" s="4">
        <f>SUM(O13:O18,O20:O78)</f>
        <v>0</v>
      </c>
      <c r="Q7" t="str">
        <v>Adjustments:</v>
      </c>
      <c r="R7" s="4">
        <f>SUM(R13:R18,R20:R78)</f>
        <v>0</v>
      </c>
      <c r="T7" t="str">
        <v>Adjustments:</v>
      </c>
      <c r="U7" s="4">
        <f>SUM(U13:U18,U20:U78)</f>
        <v>0</v>
      </c>
      <c r="W7" t="str">
        <v>Adjustments:</v>
      </c>
      <c r="X7" s="4">
        <f>SUM(X13:X18,X20:X78)</f>
        <v>0</v>
      </c>
      <c r="Z7" t="str">
        <v>Adjustments:</v>
      </c>
      <c r="AA7" s="4">
        <f>SUM(AA13:AA18,AA20:AA78)</f>
        <v>0</v>
      </c>
      <c r="AC7" t="str">
        <v>Adjustments:</v>
      </c>
      <c r="AD7" s="4">
        <f>SUM(AD13:AD18,AD20:AD78)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505.86</v>
      </c>
      <c r="M8" s="10">
        <v>0.02</v>
      </c>
      <c r="N8" t="str">
        <v>Bond:</v>
      </c>
      <c r="O8" s="4">
        <f>M8*SUM(O6:O7)</f>
        <v>824.8444</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25798.86</v>
      </c>
      <c r="N9" t="str">
        <v>Total Bid:</v>
      </c>
      <c r="O9" s="4">
        <f>IF(O5="FULL SCOPE",SUM(O6:O8),"not level")</f>
        <v>42067.0644</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c r="J16" t="str">
        <v>Y</v>
      </c>
      <c r="K16" t="str">
        <v>Used in-house manufacturer</v>
      </c>
      <c r="M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K19" t="str">
        <v>Taxes Exclu</v>
      </c>
      <c r="L19" s="8">
        <v>25293.26</v>
      </c>
      <c r="N19" t="str">
        <v>Tax Incl</v>
      </c>
      <c r="O19" s="8">
        <v>41242.22</v>
      </c>
      <c r="R19" s="8" t="str">
        <f>R6</f>
        <v/>
      </c>
      <c r="U19" s="8" t="str">
        <f>U6</f>
        <v/>
      </c>
      <c r="X19" s="8" t="str">
        <f>X6</f>
        <v/>
      </c>
      <c r="AA19" s="8" t="str">
        <f>AA6</f>
        <v/>
      </c>
      <c r="AD19" s="8" t="str">
        <f>AD6</f>
        <v/>
      </c>
    </row>
    <row r="20" ht="14.25" customHeight="1">
      <c r="A20">
        <f>A19+1</f>
        <v>2</v>
      </c>
      <c r="N20" t="str">
        <v>Deduct Tax</v>
      </c>
    </row>
    <row r="21" ht="14.25" customHeight="1">
      <c r="A21">
        <f>A20+1</f>
        <v>3</v>
      </c>
      <c r="B21" t="str">
        <v>Key Cost Breakdown</v>
      </c>
    </row>
    <row r="22" ht="14.25" customHeight="1">
      <c r="A22">
        <f>A21+1</f>
        <v>4</v>
      </c>
      <c r="B22" t="str">
        <v xml:space="preserve">Interior/ Room-Identification Panel Signage </v>
      </c>
      <c r="C22" t="str">
        <v>#</v>
      </c>
      <c r="D22" t="str">
        <v>$</v>
      </c>
      <c r="I22" s="8">
        <f>H22*F22</f>
        <v>0</v>
      </c>
      <c r="J22" t="str">
        <v>Y</v>
      </c>
      <c r="K22" s="9">
        <v>7338.94</v>
      </c>
      <c r="M22" t="str">
        <v>Y</v>
      </c>
      <c r="N22" s="9">
        <v>4973</v>
      </c>
    </row>
    <row r="23" ht="14.25" customHeight="1">
      <c r="A23">
        <f>A22+1</f>
        <v>5</v>
      </c>
      <c r="B23" t="str">
        <v xml:space="preserve">Exterior/Dimensional Letter Signage </v>
      </c>
      <c r="C23" t="str">
        <v>#</v>
      </c>
      <c r="D23" t="str">
        <v>$</v>
      </c>
      <c r="I23" s="8">
        <f>H23*F23</f>
        <v>0</v>
      </c>
      <c r="J23" t="str">
        <v>Y</v>
      </c>
      <c r="K23" s="9">
        <v>8688.78</v>
      </c>
      <c r="M23" t="str">
        <v>Y</v>
      </c>
      <c r="N23" s="9">
        <v>17169.5</v>
      </c>
    </row>
    <row r="24" ht="14.25" customHeight="1">
      <c r="B24" t="str">
        <v>Section 3 - Scope of Work</v>
      </c>
    </row>
    <row r="25" ht="14.25" customHeight="1">
      <c r="B25" t="str">
        <v xml:space="preserve">Furnish and Install All Items UON (Unless Otherwise Noted) </v>
      </c>
      <c r="C25" t="str">
        <v>Y</v>
      </c>
    </row>
    <row r="26" ht="14.25" customHeight="1">
      <c r="A26" t="str">
        <v>A</v>
      </c>
      <c r="B26" t="str">
        <v>Specifications</v>
      </c>
    </row>
    <row r="27" ht="14.25" customHeight="1">
      <c r="B27" t="str">
        <v xml:space="preserve">Division 01 - General Requirements (as applicable to this Bid Package) </v>
      </c>
      <c r="C27" t="str">
        <v>Y</v>
      </c>
    </row>
    <row r="28" ht="14.25" customHeight="1">
      <c r="B28" t="str">
        <v xml:space="preserve">10 14 19 - Dimensional Letter Signage </v>
      </c>
      <c r="C28" t="str">
        <v>Y</v>
      </c>
    </row>
    <row r="29" ht="14.25" customHeight="1">
      <c r="B29" t="str">
        <v xml:space="preserve">10 14 23 - Room-Identificatiion Panel Signage </v>
      </c>
      <c r="C29" t="str">
        <v>Y</v>
      </c>
    </row>
    <row r="30" ht="14.25" customHeight="1">
      <c r="A30" t="str">
        <v>B</v>
      </c>
      <c r="B30" t="str">
        <v>Inclusions</v>
      </c>
    </row>
    <row r="31" ht="14.25" customHeight="1">
      <c r="A31">
        <v>1</v>
      </c>
      <c r="B31" t="str">
        <v>SPECIFIC SCOPE ITEMS</v>
      </c>
      <c r="C31" t="str">
        <v>Y</v>
      </c>
      <c r="I31" s="8">
        <f>H31*F31</f>
        <v>0</v>
      </c>
      <c r="J31" t="str">
        <v>Y</v>
      </c>
      <c r="M31" t="str">
        <v>Y</v>
      </c>
    </row>
    <row r="32" ht="14.25" customHeight="1">
      <c r="A32">
        <v>2</v>
      </c>
      <c r="B32" t="str">
        <v xml:space="preserve">Interior Signage </v>
      </c>
      <c r="I32" s="8">
        <f>H32*F32</f>
        <v>0</v>
      </c>
    </row>
    <row r="33" ht="14.25" customHeight="1">
      <c r="A33">
        <v>3</v>
      </c>
      <c r="B33" t="str">
        <v xml:space="preserve">Provide all room identification signage as shown on Contract Documents, including but not limited to: </v>
      </c>
      <c r="J33" t="str">
        <v>Y</v>
      </c>
      <c r="M33" t="str">
        <v>Y</v>
      </c>
    </row>
    <row r="34" ht="14.25" customHeight="1">
      <c r="A34">
        <v>4</v>
      </c>
      <c r="B34" t="str">
        <v xml:space="preserve">All  interior signage types as shown on drawing A11.2 including but not limited to: </v>
      </c>
      <c r="C34" t="str">
        <v>Y</v>
      </c>
      <c r="I34" s="8">
        <f>H34*F34</f>
        <v>0</v>
      </c>
      <c r="J34" t="str">
        <v>Y</v>
      </c>
      <c r="M34" t="str">
        <v>Y</v>
      </c>
    </row>
    <row r="35" ht="14.25" customHeight="1">
      <c r="A35">
        <v>5</v>
      </c>
      <c r="B35" t="str">
        <v xml:space="preserve">ADA Signs: Helvetica medium all capital letters </v>
      </c>
      <c r="C35" t="str">
        <v>Y</v>
      </c>
      <c r="J35" t="str">
        <v>Y</v>
      </c>
      <c r="M35" t="str">
        <v>Y</v>
      </c>
    </row>
    <row r="36" ht="14.25" customHeight="1">
      <c r="A36">
        <v>6</v>
      </c>
      <c r="B36" t="str">
        <v xml:space="preserve">Panel Signs/Other Signs: Helvetica medium, mixed upper and lower case </v>
      </c>
      <c r="C36" t="str">
        <v>Y</v>
      </c>
      <c r="J36" t="str">
        <v>Y</v>
      </c>
      <c r="M36" t="str">
        <v>Y</v>
      </c>
    </row>
    <row r="37" ht="14.25" customHeight="1">
      <c r="A37">
        <v>7</v>
      </c>
      <c r="B37" t="str">
        <v>Interior panel signs, including code-required signage</v>
      </c>
      <c r="C37" t="str">
        <v>Y</v>
      </c>
      <c r="J37" t="str">
        <v>Y</v>
      </c>
      <c r="M37" t="str">
        <v>Y</v>
      </c>
    </row>
    <row r="38" ht="14.25" customHeight="1">
      <c r="A38">
        <v>8</v>
      </c>
      <c r="B38" t="str">
        <v xml:space="preserve">In areas where discrepancies are available, please note that the specifications will govern over the drawings, specifically for material type and size.  </v>
      </c>
      <c r="C38" t="str">
        <v>Y</v>
      </c>
      <c r="J38" t="str">
        <v>Y</v>
      </c>
      <c r="M38" t="str">
        <v>Y</v>
      </c>
    </row>
    <row r="39" ht="14.25" customHeight="1">
      <c r="A39">
        <v>9</v>
      </c>
    </row>
    <row r="40" ht="14.25" customHeight="1">
      <c r="A40">
        <v>10</v>
      </c>
      <c r="B40" t="str">
        <v xml:space="preserve">Exterior Signage </v>
      </c>
    </row>
    <row r="41" ht="14.25" customHeight="1">
      <c r="A41">
        <v>11</v>
      </c>
      <c r="B41" t="str">
        <v xml:space="preserve">Provide all exterior signage types as shown on Contract Documents, including but not limited to: </v>
      </c>
      <c r="C41" t="str">
        <v>Y</v>
      </c>
      <c r="J41" t="str">
        <v>Y</v>
      </c>
      <c r="M41" t="str">
        <v>Y</v>
      </c>
    </row>
    <row r="42" ht="14.25" customHeight="1">
      <c r="A42">
        <v>12</v>
      </c>
      <c r="B42" t="str">
        <v>S.S. Pin mounted letter reading - " FRANK R. JELLEF RECREATION CENTER 3265 S"</v>
      </c>
      <c r="C42" t="str">
        <v>Y</v>
      </c>
      <c r="J42" t="str">
        <v>Y</v>
      </c>
      <c r="M42" t="str">
        <v>Y</v>
      </c>
    </row>
    <row r="43" ht="14.25" customHeight="1">
      <c r="A43">
        <v>13</v>
      </c>
      <c r="B43" t="str">
        <v xml:space="preserve">Finishes shall  include an integral stainless steel finish, No. 4 </v>
      </c>
      <c r="C43" t="str">
        <v>Y</v>
      </c>
      <c r="J43" t="str">
        <v>Y</v>
      </c>
      <c r="M43" t="str">
        <v>Y</v>
      </c>
    </row>
    <row r="44" ht="14.25" customHeight="1">
      <c r="A44">
        <v>14</v>
      </c>
      <c r="B44" t="str">
        <v xml:space="preserve">Include all required egress signage </v>
      </c>
      <c r="C44" t="str">
        <v>Y</v>
      </c>
      <c r="J44" t="str">
        <v>Y</v>
      </c>
      <c r="M44" t="str">
        <v>N</v>
      </c>
    </row>
    <row r="45" ht="14.25" customHeight="1">
      <c r="A45">
        <v>15</v>
      </c>
      <c r="B45" t="str">
        <v xml:space="preserve">Provide plates with square corners only. No beveled edges shall be provided. </v>
      </c>
      <c r="C45" t="str">
        <v>Y</v>
      </c>
      <c r="J45" t="str">
        <v>Y</v>
      </c>
      <c r="M45" t="str">
        <v>Y</v>
      </c>
    </row>
    <row r="46" ht="14.25" customHeight="1">
      <c r="A46">
        <v>16</v>
      </c>
      <c r="B46" t="str">
        <v xml:space="preserve">Provide Basis of Design (BOD) manufacturer(s): </v>
      </c>
      <c r="C46" t="str">
        <v>Y</v>
      </c>
      <c r="J46" t="str">
        <v>N</v>
      </c>
      <c r="K46" t="str">
        <v>Gelberg Signs</v>
      </c>
      <c r="M46" t="str">
        <v>Y</v>
      </c>
    </row>
    <row r="47" ht="14.25" customHeight="1">
      <c r="A47">
        <v>17</v>
      </c>
      <c r="B47" t="str">
        <v>1. A.R.K. Ramos</v>
      </c>
      <c r="C47" t="str">
        <v>---&gt;</v>
      </c>
    </row>
    <row r="48" ht="14.25" customHeight="1">
      <c r="A48">
        <v>18</v>
      </c>
      <c r="B48" t="str">
        <v xml:space="preserve">2. ASI Sign Systems, Inc. </v>
      </c>
      <c r="C48" t="str">
        <v>---&gt;</v>
      </c>
    </row>
    <row r="49" ht="14.25" customHeight="1">
      <c r="A49">
        <v>19</v>
      </c>
      <c r="B49" t="str">
        <v xml:space="preserve">3. Gemin Signage; Gemini. Inc. </v>
      </c>
      <c r="C49" t="str">
        <v>---&gt;</v>
      </c>
      <c r="M49" t="str">
        <v>Y</v>
      </c>
    </row>
    <row r="50" ht="14.25" customHeight="1">
      <c r="A50">
        <v>20</v>
      </c>
      <c r="B50" t="str">
        <v xml:space="preserve">4. Metallic Arts </v>
      </c>
      <c r="C50" t="str">
        <v>---&gt;</v>
      </c>
    </row>
    <row r="51" ht="14.25" customHeight="1">
      <c r="A51">
        <v>21</v>
      </c>
    </row>
    <row r="52" ht="14.25" customHeight="1">
      <c r="A52">
        <v>22</v>
      </c>
      <c r="B52" t="str">
        <v xml:space="preserve">Standard / General Scope </v>
      </c>
    </row>
    <row r="53" ht="14.25" customHeight="1">
      <c r="A53">
        <v>23</v>
      </c>
      <c r="B53" t="str">
        <v>Include all material, labor, tools, equipment, hoisting, supervision, etc for your work</v>
      </c>
      <c r="C53" t="str">
        <v>Y</v>
      </c>
      <c r="I53" s="8">
        <f>H53*F53</f>
        <v>0</v>
      </c>
      <c r="J53" t="str">
        <v>Y</v>
      </c>
      <c r="M53" t="str">
        <v>Y</v>
      </c>
    </row>
    <row r="54" ht="14.25" customHeight="1">
      <c r="A54">
        <v>24</v>
      </c>
      <c r="B54" t="str">
        <v>Clean up to MCN dumpster</v>
      </c>
      <c r="C54" t="str">
        <v>Y</v>
      </c>
      <c r="I54" s="8">
        <f>H54*F54</f>
        <v>0</v>
      </c>
      <c r="J54" t="str">
        <v>Y</v>
      </c>
      <c r="M54" t="str">
        <v>Y</v>
      </c>
    </row>
    <row r="55" ht="14.25" customHeight="1">
      <c r="A55">
        <v>25</v>
      </c>
      <c r="B55" t="str">
        <v>Provide shop dwgs, samples, product data, etc</v>
      </c>
      <c r="C55" t="str">
        <v>Y</v>
      </c>
      <c r="I55" s="8">
        <f>H55*F55</f>
        <v>0</v>
      </c>
      <c r="J55" t="str">
        <v>Y</v>
      </c>
      <c r="M55" t="str">
        <v>Y</v>
      </c>
    </row>
    <row r="56" ht="14.25" customHeight="1">
      <c r="A56">
        <v>26</v>
      </c>
      <c r="B56" t="str">
        <v xml:space="preserve">Include all mounting accessories </v>
      </c>
      <c r="C56" t="str">
        <v>Y</v>
      </c>
      <c r="I56" s="8">
        <v>0</v>
      </c>
      <c r="J56" t="str">
        <v>Y</v>
      </c>
      <c r="M56" t="str">
        <v>Y</v>
      </c>
    </row>
    <row r="57" ht="14.25" customHeight="1">
      <c r="A57">
        <v>27</v>
      </c>
      <c r="B57" t="str">
        <v xml:space="preserve">Include all required warranties </v>
      </c>
      <c r="C57" t="str">
        <v>Y</v>
      </c>
      <c r="I57" s="8">
        <f>H57*F57</f>
        <v>0</v>
      </c>
      <c r="J57" t="str">
        <v>Y</v>
      </c>
      <c r="M57" t="str">
        <v>Y</v>
      </c>
    </row>
    <row r="58" ht="14.25" customHeight="1">
      <c r="A58">
        <v>28</v>
      </c>
      <c r="B58" t="str">
        <v xml:space="preserve">All signage included should be compliant with listed manufacturers </v>
      </c>
      <c r="C58" t="str">
        <v>Y</v>
      </c>
      <c r="I58" s="8">
        <v>0</v>
      </c>
      <c r="J58" t="str">
        <v>Y</v>
      </c>
      <c r="M58" t="str">
        <v>Y</v>
      </c>
    </row>
    <row r="59" ht="14.25" customHeight="1">
      <c r="A59">
        <v>29</v>
      </c>
      <c r="B59" t="str">
        <v xml:space="preserve">All signage to be code compliant </v>
      </c>
      <c r="C59" t="str">
        <v>Y</v>
      </c>
      <c r="I59" s="8">
        <v>0</v>
      </c>
      <c r="J59" t="str">
        <v>Y</v>
      </c>
      <c r="M59" t="str">
        <v>Y</v>
      </c>
    </row>
    <row r="60" ht="14.25" customHeight="1">
      <c r="A60" t="str">
        <v>C</v>
      </c>
      <c r="B60" t="str">
        <v>Exclusions</v>
      </c>
    </row>
    <row r="61" ht="14.25" customHeight="1">
      <c r="A61">
        <v>1</v>
      </c>
      <c r="B61" t="str">
        <v xml:space="preserve">Hazardous material signage in the pool mechanical room </v>
      </c>
      <c r="C61" t="str">
        <v>N</v>
      </c>
      <c r="D61" t="str">
        <v xml:space="preserve">By Others </v>
      </c>
      <c r="J61" t="str">
        <v>N</v>
      </c>
      <c r="M61" t="str">
        <v>N</v>
      </c>
    </row>
    <row r="62" ht="14.25" customHeight="1">
      <c r="A62">
        <v>2</v>
      </c>
      <c r="B62" t="str">
        <v xml:space="preserve">Water depth marking and no diving signs </v>
      </c>
      <c r="C62" t="str">
        <v>N</v>
      </c>
      <c r="D62" t="str">
        <v xml:space="preserve">By Others </v>
      </c>
      <c r="J62" t="str">
        <v>N</v>
      </c>
      <c r="M62" t="str">
        <v>N</v>
      </c>
    </row>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 xml:space="preserve">Submittals </v>
      </c>
      <c r="C66" t="str">
        <v>---&gt;</v>
      </c>
    </row>
    <row r="67" ht="14.25" customHeight="1">
      <c r="A67">
        <f>A66+1</f>
        <v>4</v>
      </c>
      <c r="B67" t="str">
        <v xml:space="preserve">Shop Drawings </v>
      </c>
      <c r="C67" t="str">
        <v>---&gt;</v>
      </c>
    </row>
    <row r="68" ht="14.25" customHeight="1">
      <c r="A68">
        <v>5</v>
      </c>
      <c r="B68" t="str">
        <v>Install</v>
      </c>
      <c r="C68" t="str">
        <v>---&gt;</v>
      </c>
    </row>
    <row r="69" ht="14.25" customHeight="1">
      <c r="A69">
        <v>6</v>
      </c>
      <c r="B69" t="str">
        <v>Advise of Lead Times</v>
      </c>
    </row>
    <row r="70" ht="14.25" customHeight="1">
      <c r="A70">
        <f>A69+1</f>
        <v>7</v>
      </c>
      <c r="B70" t="str">
        <v xml:space="preserve">Production </v>
      </c>
      <c r="C70" t="str">
        <v>---&gt;</v>
      </c>
    </row>
    <row r="71" ht="14.25" customHeight="1"/>
    <row r="72" ht="14.25" customHeight="1"/>
    <row r="73" ht="14.25" customHeight="1">
      <c r="B73" t="str">
        <v>Allowances</v>
      </c>
    </row>
    <row r="74" ht="14.25" customHeight="1">
      <c r="A74">
        <v>1</v>
      </c>
    </row>
    <row r="75" ht="14.25" customHeight="1">
      <c r="A75">
        <f>A74+1</f>
        <v>2</v>
      </c>
    </row>
    <row r="76" ht="14.25" customHeight="1">
      <c r="A76">
        <f>A75+1</f>
        <v>3</v>
      </c>
    </row>
    <row r="77" ht="14.25" customHeight="1">
      <c r="A77">
        <f>A76+1</f>
        <v>4</v>
      </c>
    </row>
    <row r="78" ht="14.25" customHeight="1"/>
    <row r="79" ht="14.25" customHeight="1"/>
    <row r="80" ht="14.25" customHeight="1">
      <c r="B80" t="str">
        <v>Alternates</v>
      </c>
    </row>
    <row r="81" ht="14.25" customHeight="1">
      <c r="A81">
        <v>1</v>
      </c>
      <c r="C81" t="str">
        <v>#</v>
      </c>
    </row>
    <row r="82" ht="14.25" customHeight="1">
      <c r="A82">
        <f>A81+1</f>
        <v>2</v>
      </c>
      <c r="C82" t="str">
        <v>#</v>
      </c>
    </row>
    <row r="83" ht="14.25" customHeight="1">
      <c r="A83">
        <f>A82+1</f>
        <v>3</v>
      </c>
      <c r="C83" t="str">
        <v>#</v>
      </c>
    </row>
    <row r="84" ht="14.25" customHeight="1">
      <c r="A84">
        <f>A83+1</f>
        <v>4</v>
      </c>
      <c r="C84" t="str">
        <v>#</v>
      </c>
    </row>
    <row r="85" ht="14.25" customHeight="1">
      <c r="C85" t="str">
        <v>#</v>
      </c>
    </row>
    <row r="86" ht="14.25" customHeight="1">
      <c r="B86" t="str">
        <v>Unit Prices</v>
      </c>
    </row>
    <row r="87" ht="14.25" customHeight="1">
      <c r="A87">
        <v>1</v>
      </c>
      <c r="C87" t="str">
        <v>#</v>
      </c>
    </row>
    <row r="88" ht="14.25" customHeight="1">
      <c r="A88">
        <f>A87+1</f>
        <v>2</v>
      </c>
      <c r="C88" t="str">
        <v>#</v>
      </c>
    </row>
    <row r="89" ht="14.25" customHeight="1">
      <c r="A89">
        <f>A88+1</f>
        <v>3</v>
      </c>
      <c r="C89" t="str">
        <v>#</v>
      </c>
    </row>
    <row r="90" ht="14.25" customHeight="1">
      <c r="A90">
        <f>A89+1</f>
        <v>4</v>
      </c>
      <c r="C90" t="str">
        <v>#</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B8" r:id="rId3"/>
  </hyperlinks>
  <pageMargins left="0.7" right="0.7" top="0.25" bottom="0.75" header="0" footer="0"/>
  <ignoredErrors>
    <ignoredError numberStoredAsText="1" sqref="A1:AO1000"/>
  </ignoredErrors>
</worksheet>
</file>

<file path=xl/worksheets/sheet2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4.86"/>
    <col min="3" max="3" customWidth="1" width="9.14"/>
    <col min="4" max="4" customWidth="1" width="26"/>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 xml:space="preserve">Aorbis </v>
      </c>
      <c r="N1" t="str">
        <v>Washington Door</v>
      </c>
      <c r="Q1" t="str">
        <v>Nelson Specialties</v>
      </c>
      <c r="T1" t="str">
        <v>Newton Distributing</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 xml:space="preserve">Jalpa Thaker </v>
      </c>
      <c r="N2" t="str">
        <v>Samuel Richards</v>
      </c>
      <c r="Q2" t="str">
        <v>John Dysard</v>
      </c>
      <c r="T2" t="str">
        <v>John Edinburg</v>
      </c>
      <c r="W2" t="str">
        <v>Name</v>
      </c>
      <c r="Z2" t="str">
        <v>Name</v>
      </c>
      <c r="AC2" t="str">
        <v>Name</v>
      </c>
      <c r="AH2" t="str">
        <v>MCN</v>
      </c>
      <c r="AM2" s="8">
        <f>I9</f>
        <v>0</v>
      </c>
    </row>
    <row r="3" ht="14.25" customHeight="1" outlineLevel="1">
      <c r="I3" t="str">
        <v>Email:</v>
      </c>
      <c r="K3" t="str">
        <v>itb@aorbis.com</v>
      </c>
      <c r="N3" t="str">
        <v>sam.richards@integratedopenings.com</v>
      </c>
      <c r="Q3" t="str">
        <v>john@nelson-spec.com</v>
      </c>
      <c r="T3" t="str">
        <v>john@newtondistributing.com</v>
      </c>
      <c r="W3" t="str">
        <v>Email</v>
      </c>
      <c r="Z3" t="str">
        <v>Email</v>
      </c>
      <c r="AC3" t="str">
        <v>Email</v>
      </c>
      <c r="AH3">
        <v>1</v>
      </c>
      <c r="AI3" t="str">
        <f>IFNA(INDEX($K$1:$AE$1,1,MATCH($AH3,$K$10:$AE$10,0)),"")</f>
        <v>Nelson Specialties</v>
      </c>
      <c r="AJ3" s="3" t="str">
        <f t="array" ref="AJ3">IFNA(INDEX($K$6:$AE$6,1,MATCH($AH3,$K$10:$AE$10,0)+1),"")</f>
        <v/>
      </c>
      <c r="AK3" s="3">
        <f t="array" ref="AK3">IFNA(INDEX($K$7:$AE$7,1,MATCH($AH3,$K$10:$AE$10,0)+1),"")</f>
        <v>337648</v>
      </c>
      <c r="AL3" s="3">
        <f t="array" ref="AL3">IFNA(INDEX($K$8:$AE$8,1,MATCH($AH3,$K$10:$AE$10,0)+1),"")</f>
        <v>6752.96</v>
      </c>
      <c r="AM3" s="3">
        <f t="array" ref="AM3">IFNA(INDEX($K$9:$AE$9,1,MATCH($AH3,$K$10:$AE$10,0)+1),"")</f>
        <v>344400.96</v>
      </c>
      <c r="AO3" s="9">
        <f>IFERROR(AN3*AM3,0)</f>
        <v>0</v>
      </c>
    </row>
    <row r="4" ht="14.25" customHeight="1" outlineLevel="1">
      <c r="A4" t="str">
        <v>Trade:</v>
      </c>
      <c r="B4" t="str">
        <v xml:space="preserve">10 - SPECIALTIES (Visual Display Units, TA's FEC's, Lockers, op partitions,matts) </v>
      </c>
      <c r="I4" t="str">
        <v>Phone:</v>
      </c>
      <c r="K4" t="str">
        <v>860-317-7100</v>
      </c>
      <c r="N4" t="str">
        <v>202-297-5922</v>
      </c>
      <c r="Q4" t="str">
        <v>410-882-5777</v>
      </c>
      <c r="T4" t="str">
        <v>617-431-5123</v>
      </c>
      <c r="W4" t="str">
        <v>Number</v>
      </c>
      <c r="Z4" t="str">
        <v>Number</v>
      </c>
      <c r="AC4" t="str">
        <v>Number</v>
      </c>
      <c r="AH4">
        <v>2</v>
      </c>
      <c r="AI4" t="str">
        <f>IFNA(INDEX($K$1:$AE$1,1,MATCH($AH4,$K$10:$AE$10,0)),"")</f>
        <v>Newton Distributing</v>
      </c>
      <c r="AJ4" s="3" t="str">
        <f t="array" ref="AJ4">IFNA(INDEX($K$6:$AE$6,1,MATCH($AH4,$K$10:$AE$10,0)+1),"")</f>
        <v/>
      </c>
      <c r="AK4" s="3">
        <f t="array" ref="AK4">IFNA(INDEX($K$7:$AE$7,1,MATCH($AH4,$K$10:$AE$10,0)+1),"")</f>
        <v>344571.9</v>
      </c>
      <c r="AL4" s="3">
        <f t="array" ref="AL4">IFNA(INDEX($K$8:$AE$8,1,MATCH($AH4,$K$10:$AE$10,0)+1),"")</f>
        <v>6891.438</v>
      </c>
      <c r="AM4" s="3">
        <f t="array" ref="AM4">IFNA(INDEX($K$9:$AE$9,1,MATCH($AH4,$K$10:$AE$10,0)+1),"")</f>
        <v>351463.338</v>
      </c>
      <c r="AO4" s="9">
        <f>IFERROR(AN4*AM4,0)</f>
        <v>0</v>
      </c>
    </row>
    <row r="5" ht="14.25" customHeight="1" outlineLevel="1">
      <c r="A5" t="str">
        <v>Rev/Date:</v>
      </c>
      <c r="B5" t="str">
        <v>Date Issued 01-26-2026</v>
      </c>
      <c r="C5" t="str">
        <v>Bidder:</v>
      </c>
      <c r="K5" t="str">
        <v>Level Scope?</v>
      </c>
      <c r="L5" s="4" t="str">
        <v>FULL SCOPE</v>
      </c>
      <c r="N5" t="str">
        <v>Level Scope?</v>
      </c>
      <c r="O5" s="4" t="str">
        <v>FULL SCOPE</v>
      </c>
      <c r="Q5" t="str">
        <v>Level Scope?</v>
      </c>
      <c r="R5" s="4" t="str">
        <v>FULL SCOPE</v>
      </c>
      <c r="T5" t="str">
        <v>Level Scope?</v>
      </c>
      <c r="U5" s="4" t="str">
        <v>FULL SCOPE</v>
      </c>
      <c r="W5" t="str">
        <v>Level Scope?</v>
      </c>
      <c r="X5" s="4" t="str">
        <v>NO</v>
      </c>
      <c r="Z5" t="str">
        <v>Level Scope?</v>
      </c>
      <c r="AA5" s="4" t="str">
        <v>NO</v>
      </c>
      <c r="AC5" t="str">
        <v>Level Scope?</v>
      </c>
      <c r="AD5" s="4" t="str">
        <v>NO</v>
      </c>
      <c r="AH5">
        <v>3</v>
      </c>
      <c r="AI5" t="str">
        <f>IFNA(INDEX($K$1:$AE$1,1,MATCH($AH5,$K$10:$AE$10,0)),"")</f>
        <v>Washington Door</v>
      </c>
      <c r="AJ5" s="3" t="str">
        <f t="array" ref="AJ5">IFNA(INDEX($K$6:$AE$6,1,MATCH($AH5,$K$10:$AE$10,0)+1),"")</f>
        <v/>
      </c>
      <c r="AK5" s="3">
        <f t="array" ref="AK5">IFNA(INDEX($K$7:$AE$7,1,MATCH($AH5,$K$10:$AE$10,0)+1),"")</f>
        <v>379335</v>
      </c>
      <c r="AL5" s="3">
        <f t="array" ref="AL5">IFNA(INDEX($K$8:$AE$8,1,MATCH($AH5,$K$10:$AE$10,0)+1),"")</f>
        <v>7586.7</v>
      </c>
      <c r="AM5" s="3">
        <f t="array" ref="AM5">IFNA(INDEX($K$9:$AE$9,1,MATCH($AH5,$K$10:$AE$10,0)+1),"")</f>
        <v>386921.7</v>
      </c>
      <c r="AO5" s="9">
        <f>IFERROR(AN5*AM5,0)</f>
        <v>0</v>
      </c>
    </row>
    <row r="6" ht="14.25" customHeight="1" outlineLevel="1">
      <c r="K6" t="str">
        <v>Base Bid:</v>
      </c>
      <c r="L6" s="4">
        <v>89734.07</v>
      </c>
      <c r="N6" t="str">
        <v>Base Bid:</v>
      </c>
      <c r="Q6" t="str">
        <v>Base Bid:</v>
      </c>
      <c r="T6" t="str">
        <v>Base Bid:</v>
      </c>
      <c r="W6" t="str">
        <v>Base Bid:</v>
      </c>
      <c r="Z6" t="str">
        <v>Base Bid:</v>
      </c>
      <c r="AC6" t="str">
        <v>Base Bid:</v>
      </c>
      <c r="AH6">
        <v>4</v>
      </c>
      <c r="AI6" t="str">
        <f>IFNA(INDEX($K$1:$AE$1,1,MATCH($AH6,$K$10:$AE$10,0)),"")</f>
        <v xml:space="preserve">Aorbis </v>
      </c>
      <c r="AJ6" s="3">
        <f t="array" ref="AJ6">IFNA(INDEX($K$6:$AE$6,1,MATCH($AH6,$K$10:$AE$10,0)+1),"")</f>
        <v>89734.07</v>
      </c>
      <c r="AK6" s="3">
        <f t="array" ref="AK6">IFNA(INDEX($K$7:$AE$7,1,MATCH($AH6,$K$10:$AE$10,0)+1),"")</f>
        <v>365536.11</v>
      </c>
      <c r="AL6" s="3">
        <f t="array" ref="AL6">IFNA(INDEX($K$8:$AE$8,1,MATCH($AH6,$K$10:$AE$10,0)+1),"")</f>
        <v>9105.4036</v>
      </c>
      <c r="AM6" s="3">
        <f t="array" ref="AM6">IFNA(INDEX($K$9:$AE$9,1,MATCH($AH6,$K$10:$AE$10,0)+1),"")</f>
        <v>464375.5836</v>
      </c>
      <c r="AO6" s="9">
        <f>IFERROR(AN6*AM6,0)</f>
        <v>0</v>
      </c>
    </row>
    <row r="7" ht="14.25" customHeight="1" outlineLevel="1">
      <c r="A7" t="str">
        <v>Contact:</v>
      </c>
      <c r="B7" t="str">
        <v xml:space="preserve">Nija Thomas </v>
      </c>
      <c r="C7" t="str">
        <v>Contact:</v>
      </c>
      <c r="G7" s="8" t="str">
        <v>| MCN Budget</v>
      </c>
      <c r="I7" s="8">
        <f>SUM(I20:I160,I13:I18)</f>
        <v>0</v>
      </c>
      <c r="K7" t="str">
        <v>Adjustments:</v>
      </c>
      <c r="L7" s="4">
        <f>SUM(L13:L18,L20:L160)</f>
        <v>365536.11</v>
      </c>
      <c r="N7" t="str">
        <v>Adjustments:</v>
      </c>
      <c r="O7" s="4">
        <f>SUM(O13:O18,O20:O160)</f>
        <v>379335</v>
      </c>
      <c r="Q7" t="str">
        <v>Adjustments:</v>
      </c>
      <c r="R7" s="4">
        <f>SUM(R13:R18,R20:R160)</f>
        <v>337648</v>
      </c>
      <c r="T7" t="str">
        <v>Adjustments:</v>
      </c>
      <c r="U7" s="4">
        <f>SUM(U13:U18,U20:U160)</f>
        <v>344571.9</v>
      </c>
      <c r="W7" t="str">
        <v>Adjustments:</v>
      </c>
      <c r="X7" s="4">
        <f>SUM(X13:X18,X20:X160)</f>
        <v>0</v>
      </c>
      <c r="Z7" t="str">
        <v>Adjustments:</v>
      </c>
      <c r="AA7" s="4">
        <f>SUM(AA13:AA18,AA20:AA160)</f>
        <v>0</v>
      </c>
      <c r="AC7" t="str">
        <v>Adjustments:</v>
      </c>
      <c r="AD7" s="4">
        <f>SUM(AD13:AD18,AD20:AD160)</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nija.thomas@mcnbuild.com</v>
      </c>
      <c r="C8" t="str">
        <v>Email:</v>
      </c>
      <c r="F8" s="10">
        <v>0.02</v>
      </c>
      <c r="G8" s="8" t="str">
        <v>| Bond</v>
      </c>
      <c r="I8" s="8">
        <f>F8*I7</f>
        <v>0</v>
      </c>
      <c r="J8" s="10">
        <v>0.02</v>
      </c>
      <c r="K8" t="str">
        <v>Bond:</v>
      </c>
      <c r="L8" s="4">
        <f>J8*SUM(L6:L7)</f>
        <v>9105.4036</v>
      </c>
      <c r="M8" s="10">
        <v>0.02</v>
      </c>
      <c r="N8" t="str">
        <v>Bond:</v>
      </c>
      <c r="O8" s="4">
        <f>M8*SUM(O6:O7)</f>
        <v>7586.7</v>
      </c>
      <c r="P8" s="10">
        <v>0.02</v>
      </c>
      <c r="Q8" t="str">
        <v>Bond:</v>
      </c>
      <c r="R8" s="4">
        <f>P8*SUM(R6:R7)</f>
        <v>6752.96</v>
      </c>
      <c r="S8" s="10">
        <v>0.02</v>
      </c>
      <c r="T8" t="str">
        <v>Bond:</v>
      </c>
      <c r="U8" s="4">
        <f>S8*SUM(U6:U7)</f>
        <v>6891.438</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202-710-7534</v>
      </c>
      <c r="C9" t="str">
        <v>Phone:</v>
      </c>
      <c r="G9" t="str">
        <v>-----</v>
      </c>
      <c r="H9" s="8" t="str">
        <v xml:space="preserve">  --------&gt;</v>
      </c>
      <c r="I9" s="8">
        <f>SUM(I7:I8)</f>
        <v>0</v>
      </c>
      <c r="K9" t="str">
        <v>Total Bid:</v>
      </c>
      <c r="L9" s="4">
        <f>IF(L5="FULL SCOPE",SUM(L6:L8),"not level")</f>
        <v>464375.5836</v>
      </c>
      <c r="N9" t="str">
        <v>Total Bid:</v>
      </c>
      <c r="O9" s="4">
        <f>IF(O5="FULL SCOPE",SUM(O6:O8),"not level")</f>
        <v>386921.7</v>
      </c>
      <c r="Q9" t="str">
        <v>Total Bid:</v>
      </c>
      <c r="R9" s="4">
        <f>IF(R5="FULL SCOPE",SUM(R6:R8),"not level")</f>
        <v>344400.96</v>
      </c>
      <c r="T9" t="str">
        <v>Total Bid:</v>
      </c>
      <c r="U9" s="4">
        <f>IF(U5="FULL SCOPE",SUM(U6:U8),"not level")</f>
        <v>351463.338</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4</v>
      </c>
      <c r="N10">
        <f>IF(O5="NO","INCOMPLETE",RANK.EQ(O9,$L$9:$AE$9,1))</f>
        <v>3</v>
      </c>
      <c r="Q10">
        <f>IF(R5="NO","INCOMPLETE",RANK.EQ(R9,$L$9:$AE$9,1))</f>
        <v>1</v>
      </c>
      <c r="T10">
        <f>IF(U5="NO","INCOMPLETE",RANK.EQ(U9,$L$9:$AE$9,1))</f>
        <v>2</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J19" t="str">
        <v>Y</v>
      </c>
      <c r="K19" t="str">
        <v>Taxes excl</v>
      </c>
      <c r="L19" s="8">
        <v>89734.07</v>
      </c>
      <c r="M19" t="str">
        <v>Y</v>
      </c>
      <c r="N19" t="str">
        <v>Taxes excl</v>
      </c>
      <c r="O19" s="8" t="str">
        <f>O6</f>
        <v/>
      </c>
      <c r="P19" t="str">
        <v>Y</v>
      </c>
      <c r="Q19" t="str">
        <v>Taxes excl</v>
      </c>
      <c r="R19" s="8" t="str">
        <f>R6</f>
        <v/>
      </c>
      <c r="T19" t="str">
        <v>Taxes exclu</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 xml:space="preserve">Toilet Accessories (Furnish) </v>
      </c>
      <c r="C22" t="str">
        <v>#</v>
      </c>
      <c r="D22" t="str">
        <v>$</v>
      </c>
      <c r="I22" s="8">
        <f>H22*F22</f>
        <v>0</v>
      </c>
      <c r="J22" t="str">
        <v>Y</v>
      </c>
      <c r="L22" s="8">
        <v>13486.07</v>
      </c>
      <c r="M22" t="str">
        <v>Y</v>
      </c>
      <c r="O22" s="8">
        <v>36350</v>
      </c>
      <c r="P22" t="str">
        <v>Y</v>
      </c>
      <c r="R22" s="8">
        <v>24315</v>
      </c>
      <c r="S22" t="str">
        <v>Y</v>
      </c>
      <c r="U22" s="8">
        <f>15496+2234+388.9+20+60</f>
        <v>18198.9</v>
      </c>
    </row>
    <row r="23" ht="14.25" customHeight="1">
      <c r="A23">
        <v>5</v>
      </c>
      <c r="B23" t="str">
        <v xml:space="preserve">Toilet Partitions (Furnish &amp; Install) </v>
      </c>
      <c r="C23" t="str">
        <v>#</v>
      </c>
      <c r="D23" t="str">
        <v>$</v>
      </c>
      <c r="I23" s="8">
        <v>0</v>
      </c>
      <c r="J23" t="str">
        <v>Y</v>
      </c>
      <c r="L23" s="8">
        <v>13440</v>
      </c>
      <c r="M23" t="str">
        <v>Y</v>
      </c>
      <c r="O23" s="8">
        <f>1500+19750</f>
        <v>21250</v>
      </c>
      <c r="P23" t="str">
        <v>Y</v>
      </c>
      <c r="R23" s="8">
        <f>1500+9463</f>
        <v>10963</v>
      </c>
      <c r="S23" t="str">
        <v>Y</v>
      </c>
      <c r="U23" s="8">
        <f>1500+10769</f>
        <v>12269</v>
      </c>
    </row>
    <row r="24" ht="14.25" customHeight="1">
      <c r="A24">
        <v>6</v>
      </c>
      <c r="B24" t="str">
        <v>Fire Extinguishers Cabinets (Furnish)</v>
      </c>
      <c r="C24" t="str">
        <v>#</v>
      </c>
      <c r="D24" t="str">
        <v>$</v>
      </c>
      <c r="I24" s="8">
        <f>H24*F24</f>
        <v>0</v>
      </c>
      <c r="J24" t="str">
        <v>Y</v>
      </c>
      <c r="K24" s="9" t="str">
        <v>$714.72 (incl in bb)</v>
      </c>
      <c r="M24" t="str">
        <v>Y</v>
      </c>
      <c r="O24" s="8">
        <v>1800</v>
      </c>
      <c r="P24" t="str">
        <v>Y</v>
      </c>
      <c r="R24" s="8">
        <v>2520</v>
      </c>
      <c r="S24" t="str">
        <v>N</v>
      </c>
      <c r="T24" t="str">
        <v>ADD - Nelson</v>
      </c>
      <c r="U24" s="8">
        <f>SUM(2520*0.1)+(2520)</f>
        <v>2772</v>
      </c>
    </row>
    <row r="25" ht="14.25" customHeight="1">
      <c r="A25">
        <v>7</v>
      </c>
      <c r="B25" t="str">
        <v>Fire Extinguishers (Furnish)</v>
      </c>
      <c r="C25" t="str">
        <v>#</v>
      </c>
      <c r="D25" t="str">
        <v>$</v>
      </c>
      <c r="I25" s="8">
        <f>H25*F25</f>
        <v>0</v>
      </c>
      <c r="J25" t="str">
        <v>Y</v>
      </c>
      <c r="K25" s="9" t="str">
        <v>$538 (incl in bb)</v>
      </c>
      <c r="M25" t="str">
        <v>Y</v>
      </c>
      <c r="N25" t="str">
        <v>Incl in bb</v>
      </c>
      <c r="O25" s="8">
        <v>0</v>
      </c>
      <c r="P25" t="str">
        <v>Y</v>
      </c>
      <c r="R25" s="8">
        <v>0</v>
      </c>
      <c r="S25" t="str">
        <v>N</v>
      </c>
      <c r="T25" t="str">
        <v>Incl</v>
      </c>
      <c r="U25" s="8">
        <v>0</v>
      </c>
    </row>
    <row r="26" ht="13.5" customHeight="1">
      <c r="A26">
        <v>8</v>
      </c>
      <c r="B26" t="str">
        <v>Corner Guards (Furnish &amp; Install)</v>
      </c>
      <c r="C26" t="str">
        <v>#</v>
      </c>
      <c r="D26" t="str">
        <v>$</v>
      </c>
      <c r="I26" s="8">
        <f>H26*F26</f>
        <v>0</v>
      </c>
      <c r="J26" t="str">
        <v>Y</v>
      </c>
      <c r="L26" s="8">
        <v>4744.62</v>
      </c>
      <c r="M26" t="str">
        <v>N</v>
      </c>
      <c r="N26" t="str">
        <v xml:space="preserve">ADD - Nelson </v>
      </c>
      <c r="O26" s="8">
        <f>SUM(1250*0.1)+(1250)</f>
        <v>1375</v>
      </c>
      <c r="P26" t="str">
        <v>Y</v>
      </c>
      <c r="R26" s="8">
        <f>900+350</f>
        <v>1250</v>
      </c>
      <c r="S26" t="str">
        <v>N</v>
      </c>
      <c r="T26" t="str">
        <v>ADD - Nelson</v>
      </c>
      <c r="U26" s="8">
        <f>SUM(1250*0.1)+(1250)</f>
        <v>1375</v>
      </c>
    </row>
    <row r="27" ht="14.25" customHeight="1">
      <c r="A27">
        <v>9</v>
      </c>
      <c r="B27" t="str">
        <v>Visual Display Units (markerboards &amp; tackerboards) (Furnish &amp; Install)</v>
      </c>
      <c r="C27" t="str">
        <v>#</v>
      </c>
      <c r="D27" t="str">
        <v>$</v>
      </c>
      <c r="I27" s="8">
        <v>0</v>
      </c>
      <c r="J27" t="str">
        <v>N</v>
      </c>
      <c r="K27" t="str">
        <v>See Allowance Below</v>
      </c>
      <c r="L27" s="8">
        <v>0</v>
      </c>
      <c r="M27" t="str">
        <v>N</v>
      </c>
      <c r="N27" t="str">
        <v>See Allowance Below</v>
      </c>
      <c r="O27" s="8">
        <v>0</v>
      </c>
      <c r="P27" t="str">
        <v>Y</v>
      </c>
      <c r="Q27" t="str">
        <v>See Allowance Below</v>
      </c>
      <c r="S27" t="str">
        <v>N</v>
      </c>
      <c r="T27" t="str">
        <v>See Allowance Below</v>
      </c>
      <c r="U27" s="8">
        <v>0</v>
      </c>
    </row>
    <row r="28" ht="14.25" customHeight="1">
      <c r="A28">
        <v>10</v>
      </c>
      <c r="B28" t="str">
        <v>Operable Panel Partitions (Furnish &amp; Install)</v>
      </c>
      <c r="C28" t="str">
        <v>#</v>
      </c>
      <c r="D28" t="str">
        <v>$</v>
      </c>
      <c r="I28" s="8">
        <v>0</v>
      </c>
      <c r="J28" t="str">
        <v>N</v>
      </c>
      <c r="K28" t="str">
        <v>ADD - Nelson</v>
      </c>
      <c r="L28" s="8">
        <f>SUM(83800*0.1)+(83800)</f>
        <v>92180</v>
      </c>
      <c r="M28" t="str">
        <v>N</v>
      </c>
      <c r="N28" t="str">
        <v xml:space="preserve">ADD - Nelson </v>
      </c>
      <c r="O28" s="8">
        <f>SUM(83800*0.1)+(83800)</f>
        <v>92180</v>
      </c>
      <c r="P28" t="str">
        <v>Y</v>
      </c>
      <c r="R28" s="8">
        <v>83800</v>
      </c>
      <c r="S28" t="str">
        <v>N</v>
      </c>
      <c r="T28" t="str">
        <v>ADD - Nelson</v>
      </c>
      <c r="U28" s="8">
        <f>SUM(83800*0.1)+(83800)</f>
        <v>92180</v>
      </c>
    </row>
    <row r="29" ht="14.25" customHeight="1">
      <c r="A29">
        <v>11</v>
      </c>
      <c r="B29" t="str">
        <v>Lockers and Benches (Furnish &amp; Install)</v>
      </c>
      <c r="C29" t="str">
        <v>#</v>
      </c>
      <c r="D29" t="str">
        <v>$</v>
      </c>
      <c r="I29" s="8">
        <v>0</v>
      </c>
      <c r="J29" t="str">
        <v>N</v>
      </c>
      <c r="L29" s="8">
        <v>46655.42</v>
      </c>
      <c r="M29" t="str">
        <v>Y</v>
      </c>
      <c r="O29" s="8">
        <f>2100+29250</f>
        <v>31350</v>
      </c>
      <c r="P29" t="str">
        <v>Y</v>
      </c>
      <c r="R29" s="8">
        <v>37500</v>
      </c>
      <c r="S29" t="str">
        <v>Y</v>
      </c>
      <c r="U29" s="8">
        <f>21304+1443</f>
        <v>22747</v>
      </c>
    </row>
    <row r="30" ht="14.25" customHeight="1">
      <c r="A30">
        <v>12</v>
      </c>
      <c r="B30" t="str">
        <v xml:space="preserve">Walkoff Mats (Furnish and Install) </v>
      </c>
      <c r="C30" t="str">
        <v>#</v>
      </c>
      <c r="D30" t="str">
        <v>$</v>
      </c>
      <c r="I30" s="8">
        <v>0</v>
      </c>
      <c r="J30" t="str">
        <v>N</v>
      </c>
      <c r="K30" t="str">
        <v xml:space="preserve">ADD - Nelson </v>
      </c>
      <c r="L30" s="8">
        <f>SUM(177300*0.1)+(177300)</f>
        <v>195030</v>
      </c>
      <c r="M30" t="str">
        <v>N</v>
      </c>
      <c r="N30" t="str">
        <v xml:space="preserve">ADD - Nelson </v>
      </c>
      <c r="O30" s="8">
        <f>SUM(177300*0.1)+(177300)</f>
        <v>195030</v>
      </c>
      <c r="P30" t="str">
        <v>Y</v>
      </c>
      <c r="R30" s="8">
        <f>159000+18300</f>
        <v>177300</v>
      </c>
      <c r="S30" t="str">
        <v>N</v>
      </c>
      <c r="T30" t="str">
        <v>ADD - Nelson</v>
      </c>
      <c r="U30" s="8">
        <f>SUM(177300*0.1)+(177300)</f>
        <v>195030</v>
      </c>
    </row>
    <row r="31" ht="14.25" customHeight="1">
      <c r="A31">
        <v>13</v>
      </c>
      <c r="B31" t="str">
        <v>Key Quantity Breakdown</v>
      </c>
    </row>
    <row r="32" ht="14.25" customHeight="1">
      <c r="A32">
        <v>14</v>
      </c>
      <c r="B32" t="str">
        <v xml:space="preserve">Toilet Accessories </v>
      </c>
      <c r="C32" t="str">
        <v>#</v>
      </c>
      <c r="D32" t="str">
        <v>ls</v>
      </c>
      <c r="I32" s="8">
        <f>H32*F32</f>
        <v>0</v>
      </c>
      <c r="J32" t="str">
        <v>Y</v>
      </c>
      <c r="K32" t="str">
        <v>1 LS</v>
      </c>
      <c r="M32" t="str">
        <v>Y</v>
      </c>
      <c r="N32" t="str">
        <v>1 LS</v>
      </c>
      <c r="P32" t="str">
        <v>Y</v>
      </c>
      <c r="Q32" t="str">
        <v>1 LS</v>
      </c>
      <c r="S32" t="str">
        <v>Y</v>
      </c>
      <c r="T32" t="str">
        <v>1 LS</v>
      </c>
    </row>
    <row r="33" ht="14.25" customHeight="1">
      <c r="A33">
        <v>15</v>
      </c>
      <c r="B33" t="str">
        <v xml:space="preserve">Toilet Partitions </v>
      </c>
      <c r="C33" t="str">
        <v>#</v>
      </c>
      <c r="D33" t="str">
        <v>ea</v>
      </c>
      <c r="I33" s="8">
        <f>H33*F33</f>
        <v>0</v>
      </c>
      <c r="J33" t="str">
        <v>Y</v>
      </c>
      <c r="K33">
        <v>6</v>
      </c>
      <c r="M33" t="str">
        <v>Y</v>
      </c>
      <c r="N33" t="str">
        <v>6 EA</v>
      </c>
      <c r="P33" t="str">
        <v>Y</v>
      </c>
      <c r="Q33" t="str">
        <v>6 EA</v>
      </c>
      <c r="S33" t="str">
        <v>Y</v>
      </c>
    </row>
    <row r="34" ht="14.25" customHeight="1">
      <c r="A34">
        <v>16</v>
      </c>
      <c r="B34" t="str">
        <v xml:space="preserve">Fire Extinguishers Cabinets </v>
      </c>
      <c r="C34" t="str">
        <v>#</v>
      </c>
      <c r="D34" t="str">
        <v>ea</v>
      </c>
      <c r="I34" s="8">
        <f>H34*F34</f>
        <v>0</v>
      </c>
      <c r="J34" t="str">
        <v>Y</v>
      </c>
      <c r="K34">
        <v>4</v>
      </c>
      <c r="M34" t="str">
        <v>Y</v>
      </c>
      <c r="N34" t="str">
        <v>4 EA</v>
      </c>
      <c r="P34" t="str">
        <v>Y</v>
      </c>
      <c r="Q34" t="str">
        <v>4 EA</v>
      </c>
      <c r="S34" t="str">
        <v>N</v>
      </c>
      <c r="T34">
        <v>0</v>
      </c>
    </row>
    <row r="35" ht="14.25" customHeight="1">
      <c r="A35">
        <v>17</v>
      </c>
      <c r="B35" t="str">
        <v xml:space="preserve">Fire Extinguishers </v>
      </c>
      <c r="C35" t="str">
        <v>#</v>
      </c>
      <c r="D35" t="str">
        <v>ea</v>
      </c>
      <c r="I35" s="8">
        <f>H35*F35</f>
        <v>0</v>
      </c>
      <c r="J35" t="str">
        <v>Y</v>
      </c>
      <c r="K35">
        <v>4</v>
      </c>
      <c r="M35" t="str">
        <v>Y</v>
      </c>
      <c r="N35" t="str">
        <v>4 EA</v>
      </c>
      <c r="P35" t="str">
        <v>Y</v>
      </c>
      <c r="Q35" t="str">
        <v>4 EA</v>
      </c>
      <c r="S35" t="str">
        <v>N</v>
      </c>
      <c r="T35">
        <v>0</v>
      </c>
    </row>
    <row r="36" ht="14.25" customHeight="1">
      <c r="A36">
        <v>18</v>
      </c>
      <c r="B36" t="str">
        <v xml:space="preserve">Corner Guards </v>
      </c>
      <c r="C36" t="str">
        <v>#</v>
      </c>
      <c r="D36" t="str">
        <v>ea</v>
      </c>
      <c r="I36" s="8">
        <v>0</v>
      </c>
      <c r="J36" t="str">
        <v>Y</v>
      </c>
      <c r="K36">
        <v>10</v>
      </c>
      <c r="M36" t="str">
        <v>N</v>
      </c>
      <c r="N36">
        <v>0</v>
      </c>
      <c r="P36" t="str">
        <v>Y</v>
      </c>
      <c r="Q36" t="str">
        <v>7 EA</v>
      </c>
      <c r="S36" t="str">
        <v>N</v>
      </c>
      <c r="T36">
        <v>0</v>
      </c>
    </row>
    <row r="37" ht="14.25" customHeight="1">
      <c r="A37">
        <v>19</v>
      </c>
      <c r="B37" t="str">
        <v>Visual Display Units (markerboards &amp; tackerboards)</v>
      </c>
      <c r="C37" t="str">
        <v>#</v>
      </c>
      <c r="D37" t="str">
        <v>ea</v>
      </c>
      <c r="I37" s="8">
        <v>0</v>
      </c>
      <c r="J37" t="str">
        <v>N</v>
      </c>
      <c r="K37">
        <v>0</v>
      </c>
      <c r="M37" t="str">
        <v>N</v>
      </c>
      <c r="N37">
        <v>0</v>
      </c>
      <c r="P37" t="str">
        <v>Y</v>
      </c>
      <c r="Q37" t="str">
        <v>2 EA</v>
      </c>
      <c r="S37" t="str">
        <v>N</v>
      </c>
      <c r="T37">
        <v>0</v>
      </c>
    </row>
    <row r="38" ht="14.25" customHeight="1">
      <c r="A38">
        <v>20</v>
      </c>
      <c r="B38" t="str">
        <v xml:space="preserve">Operable Partitions </v>
      </c>
      <c r="C38" t="str">
        <v>#</v>
      </c>
      <c r="D38" t="str">
        <v>ea</v>
      </c>
      <c r="I38" s="8">
        <v>0</v>
      </c>
      <c r="J38" t="str">
        <v>N</v>
      </c>
      <c r="K38">
        <v>0</v>
      </c>
      <c r="M38" t="str">
        <v>N</v>
      </c>
      <c r="N38">
        <v>0</v>
      </c>
      <c r="P38" t="str">
        <v>Y</v>
      </c>
      <c r="Q38" t="str">
        <v>2 EA</v>
      </c>
      <c r="S38" t="str">
        <v>N</v>
      </c>
      <c r="T38">
        <v>0</v>
      </c>
    </row>
    <row r="39" ht="14.25" customHeight="1">
      <c r="A39">
        <v>21</v>
      </c>
      <c r="B39" t="str">
        <v xml:space="preserve">Lockers </v>
      </c>
      <c r="C39" t="str">
        <v>#</v>
      </c>
      <c r="D39" t="str">
        <v>ea</v>
      </c>
      <c r="I39" s="8">
        <v>0</v>
      </c>
      <c r="J39" t="str">
        <v>N</v>
      </c>
      <c r="K39">
        <v>0</v>
      </c>
      <c r="M39" t="str">
        <v>N</v>
      </c>
      <c r="N39" t="str">
        <v>Unit Price (allowance)</v>
      </c>
      <c r="P39" t="str">
        <v>N</v>
      </c>
      <c r="Q39" t="str">
        <v>Unit Price (allowance)</v>
      </c>
      <c r="S39" t="str">
        <v>Y</v>
      </c>
      <c r="T39" t="str">
        <v xml:space="preserve">Unit Price (allowance) </v>
      </c>
    </row>
    <row r="40" ht="14.25" customHeight="1">
      <c r="A40">
        <v>22</v>
      </c>
      <c r="B40" t="str">
        <v xml:space="preserve">Walkoff Mats </v>
      </c>
      <c r="C40" t="str">
        <v>#</v>
      </c>
      <c r="D40" t="str">
        <v>ea</v>
      </c>
      <c r="I40" s="8">
        <v>0</v>
      </c>
      <c r="J40" t="str">
        <v>N</v>
      </c>
      <c r="K40">
        <v>0</v>
      </c>
      <c r="M40" t="str">
        <v>N</v>
      </c>
      <c r="N40" t="str">
        <v>2 EA</v>
      </c>
      <c r="P40" t="str">
        <v>Y</v>
      </c>
      <c r="Q40" t="str">
        <v>2 EA</v>
      </c>
      <c r="S40" t="str">
        <v>N</v>
      </c>
      <c r="T40">
        <v>0</v>
      </c>
    </row>
    <row r="41" ht="14.25" customHeight="1">
      <c r="B41" t="str">
        <v>Section 3 - Scope of Work</v>
      </c>
    </row>
    <row r="42" ht="14.25" customHeight="1">
      <c r="B42" t="str">
        <v>Furnish and Install All Items UON (Unless Otherwise Noted)</v>
      </c>
      <c r="C42" t="str">
        <v>Y</v>
      </c>
      <c r="J42" t="str">
        <v>Y</v>
      </c>
      <c r="M42" t="str">
        <v>Y</v>
      </c>
      <c r="P42" t="str">
        <v>Y</v>
      </c>
      <c r="S42" t="str">
        <v>Y</v>
      </c>
    </row>
    <row r="43" ht="14.25" customHeight="1">
      <c r="A43" t="str">
        <v>A</v>
      </c>
      <c r="B43" t="str">
        <v>Specifications</v>
      </c>
    </row>
    <row r="44" ht="14.25" customHeight="1">
      <c r="B44" t="str">
        <v xml:space="preserve">Division 01 - General Requirements (as applicable to this Bid Package) </v>
      </c>
      <c r="C44" t="str">
        <v>Y</v>
      </c>
      <c r="J44" t="str">
        <v>Y</v>
      </c>
      <c r="M44" t="str">
        <v>Y</v>
      </c>
      <c r="P44" t="str">
        <v>Y</v>
      </c>
      <c r="S44" t="str">
        <v>Y</v>
      </c>
    </row>
    <row r="45" ht="14.25" customHeight="1">
      <c r="B45" t="str">
        <v xml:space="preserve">10 11 00 - Visual Display Units (as applicable to this Bid Package) </v>
      </c>
      <c r="C45" t="str">
        <v>Y</v>
      </c>
      <c r="J45" t="str">
        <v>N</v>
      </c>
      <c r="M45" t="str">
        <v>N</v>
      </c>
      <c r="P45" t="str">
        <v>Y</v>
      </c>
      <c r="S45" t="str">
        <v>N</v>
      </c>
    </row>
    <row r="46" ht="14.25" customHeight="1">
      <c r="B46" t="str">
        <v xml:space="preserve">10 21 13 - Phenolic-Core Toilet Compartments </v>
      </c>
      <c r="C46" t="str">
        <v>Y</v>
      </c>
      <c r="J46" t="str">
        <v>Y</v>
      </c>
      <c r="M46" t="str">
        <v>Y</v>
      </c>
      <c r="P46" t="str">
        <v>Y</v>
      </c>
      <c r="S46" t="str">
        <v>Y</v>
      </c>
    </row>
    <row r="47" ht="14.25" customHeight="1">
      <c r="B47" t="str">
        <v xml:space="preserve">10 22 39 - Folding Panel Partitions </v>
      </c>
      <c r="C47" t="str">
        <v>Y</v>
      </c>
      <c r="J47" t="str">
        <v>N</v>
      </c>
      <c r="M47" t="str">
        <v>N</v>
      </c>
      <c r="P47" t="str">
        <v>Y</v>
      </c>
      <c r="S47" t="str">
        <v>N</v>
      </c>
    </row>
    <row r="48" ht="14.25" customHeight="1">
      <c r="B48" t="str">
        <v xml:space="preserve">10 26 00 - Wall and Door Protection </v>
      </c>
      <c r="C48" t="str">
        <v>Y</v>
      </c>
      <c r="J48" t="str">
        <v>Y</v>
      </c>
      <c r="M48" t="str">
        <v>N</v>
      </c>
      <c r="P48" t="str">
        <v>Y</v>
      </c>
      <c r="S48" t="str">
        <v>N</v>
      </c>
    </row>
    <row r="49" ht="14.25" customHeight="1">
      <c r="B49" t="str">
        <v xml:space="preserve">10 28 00 - Toilet, Bath, and Laundry Accessories </v>
      </c>
      <c r="C49" t="str">
        <v>Y</v>
      </c>
      <c r="J49" t="str">
        <v>Y</v>
      </c>
      <c r="M49" t="str">
        <v>Y</v>
      </c>
      <c r="P49" t="str">
        <v>Y</v>
      </c>
      <c r="S49" t="str">
        <v>Y</v>
      </c>
    </row>
    <row r="50" ht="14.25" customHeight="1">
      <c r="B50" t="str">
        <v xml:space="preserve">10 43 13 - Defibrillator Cabinets </v>
      </c>
      <c r="C50" t="str">
        <v>Y</v>
      </c>
      <c r="J50" t="str">
        <v>Y</v>
      </c>
      <c r="M50" t="str">
        <v>Y</v>
      </c>
      <c r="P50" t="str">
        <v>Y</v>
      </c>
      <c r="S50" t="str">
        <v>N</v>
      </c>
    </row>
    <row r="51" ht="14.25" customHeight="1">
      <c r="B51" t="str">
        <v xml:space="preserve">10 44 13 - Fire Protection Cabinets </v>
      </c>
      <c r="C51" t="str">
        <v>Y</v>
      </c>
      <c r="J51" t="str">
        <v>Y</v>
      </c>
      <c r="M51" t="str">
        <v>Y</v>
      </c>
      <c r="P51" t="str">
        <v>Y</v>
      </c>
      <c r="S51" t="str">
        <v>N</v>
      </c>
    </row>
    <row r="52" ht="14.25" customHeight="1">
      <c r="B52" t="str">
        <v xml:space="preserve">10 44 16 - Fire Extinguishers </v>
      </c>
      <c r="C52" t="str">
        <v>Y</v>
      </c>
      <c r="J52" t="str">
        <v>Y</v>
      </c>
      <c r="M52" t="str">
        <v>Y</v>
      </c>
      <c r="P52" t="str">
        <v>Y</v>
      </c>
      <c r="S52" t="str">
        <v>N</v>
      </c>
    </row>
    <row r="53" ht="14.25" customHeight="1">
      <c r="B53" t="str">
        <v xml:space="preserve">10 51 29 - Phenolic-Core Lockers </v>
      </c>
      <c r="C53" t="str">
        <v>Y</v>
      </c>
      <c r="J53" t="str">
        <v>Y</v>
      </c>
      <c r="M53" t="str">
        <v>Y</v>
      </c>
      <c r="P53" t="str">
        <v>Y</v>
      </c>
      <c r="S53" t="str">
        <v>Y</v>
      </c>
    </row>
    <row r="54" ht="14.25" customHeight="1">
      <c r="B54" t="str">
        <v xml:space="preserve">12 48 16 - Entrance Floor Grilles </v>
      </c>
      <c r="C54" t="str">
        <v>Y</v>
      </c>
      <c r="J54" t="str">
        <v>N</v>
      </c>
      <c r="M54" t="str">
        <v>N</v>
      </c>
      <c r="P54" t="str">
        <v>Y</v>
      </c>
      <c r="S54" t="str">
        <v>N</v>
      </c>
    </row>
    <row r="55" ht="14.25" customHeight="1">
      <c r="A55" t="str">
        <v>B</v>
      </c>
      <c r="B55" t="str">
        <v>Inclusions</v>
      </c>
    </row>
    <row r="56" ht="14.25" customHeight="1">
      <c r="A56">
        <v>1</v>
      </c>
      <c r="B56" t="str">
        <v>SPECIFIC SCOPE ITEMS</v>
      </c>
      <c r="C56" t="str">
        <v>Y</v>
      </c>
      <c r="I56" s="8">
        <f>H56*F56</f>
        <v>0</v>
      </c>
    </row>
    <row r="57" ht="14.25" customHeight="1">
      <c r="A57">
        <v>2</v>
      </c>
    </row>
    <row r="58" ht="14.25" customHeight="1">
      <c r="A58">
        <v>3</v>
      </c>
      <c r="B58" t="str">
        <v xml:space="preserve">Visual Display Units </v>
      </c>
      <c r="M58" t="str">
        <v>N</v>
      </c>
      <c r="N58" t="str">
        <v xml:space="preserve">ADD - Allowance </v>
      </c>
      <c r="P58" t="str">
        <v>N</v>
      </c>
      <c r="Q58" t="str">
        <v>ADD - Allowance</v>
      </c>
      <c r="S58" t="str">
        <v>Y</v>
      </c>
      <c r="T58" t="str">
        <v xml:space="preserve">Allowance </v>
      </c>
    </row>
    <row r="59" ht="14.25" customHeight="1">
      <c r="A59">
        <v>4</v>
      </c>
      <c r="B59" t="str">
        <v xml:space="preserve">Furnish all visual markerboard and tackerboard panels and accessories according to the Contract Documents: </v>
      </c>
      <c r="C59" t="str">
        <v>Y</v>
      </c>
      <c r="I59" s="8">
        <v>0</v>
      </c>
      <c r="M59" t="str">
        <v>N</v>
      </c>
      <c r="P59" t="str">
        <v>N</v>
      </c>
      <c r="S59" t="str">
        <v>Y</v>
      </c>
    </row>
    <row r="60" ht="14.25" customHeight="1">
      <c r="A60">
        <v>5</v>
      </c>
      <c r="B60" t="str">
        <v xml:space="preserve">MB-01: Markerboard panels </v>
      </c>
      <c r="C60" t="str">
        <v>Y</v>
      </c>
      <c r="I60" s="8">
        <v>0</v>
      </c>
      <c r="M60" t="str">
        <v>N</v>
      </c>
      <c r="P60" t="str">
        <v>N</v>
      </c>
      <c r="S60" t="str">
        <v>Y</v>
      </c>
    </row>
    <row r="61" ht="14.25" customHeight="1">
      <c r="A61">
        <v>6</v>
      </c>
      <c r="B61" t="str">
        <v xml:space="preserve">TB-01: Tackboard panels </v>
      </c>
      <c r="C61" t="str">
        <v>Y</v>
      </c>
      <c r="I61" s="8">
        <v>0</v>
      </c>
      <c r="M61" t="str">
        <v>N</v>
      </c>
      <c r="P61" t="str">
        <v>N</v>
      </c>
      <c r="S61" t="str">
        <v>Y</v>
      </c>
    </row>
    <row r="62" ht="14.25" customHeight="1">
      <c r="A62">
        <v>7</v>
      </c>
      <c r="B62" t="str">
        <v xml:space="preserve">Provide Add Alternate for installation of markerboard and tackboard panels </v>
      </c>
      <c r="C62" t="str">
        <v>ALT</v>
      </c>
      <c r="I62" s="8">
        <v>0</v>
      </c>
      <c r="M62" t="str">
        <v>N</v>
      </c>
      <c r="P62" t="str">
        <v>N</v>
      </c>
      <c r="S62" t="str">
        <v>Y</v>
      </c>
    </row>
    <row r="63" ht="14.25" customHeight="1">
      <c r="A63">
        <v>8</v>
      </c>
    </row>
    <row r="64" ht="14.25" customHeight="1">
      <c r="A64">
        <v>9</v>
      </c>
      <c r="B64" t="str">
        <v xml:space="preserve">Phenolic Core Toilet Compartments </v>
      </c>
    </row>
    <row r="65" ht="14.25" customHeight="1">
      <c r="A65">
        <v>10</v>
      </c>
      <c r="B65" t="str">
        <v xml:space="preserve">Furnish floor to ceiling toilet compartments/partitions, including all accessories required for complete installation of the work: </v>
      </c>
      <c r="C65" t="str">
        <v>Y</v>
      </c>
      <c r="I65" s="8">
        <v>0</v>
      </c>
    </row>
    <row r="66" ht="14.25" customHeight="1">
      <c r="A66">
        <v>11</v>
      </c>
      <c r="B66" t="str">
        <v xml:space="preserve">TPC-01: Toilet Partition, Bradley Corp, Fashion Grey </v>
      </c>
      <c r="C66" t="str">
        <v>Y</v>
      </c>
      <c r="I66" s="8">
        <v>0</v>
      </c>
    </row>
    <row r="67" ht="14.25" customHeight="1">
      <c r="A67">
        <v>12</v>
      </c>
      <c r="B67" t="str">
        <v>Hardware for the work, including screws, plugs, inserts, anchor bolts, adhesives, latch and keeper, etc. as required</v>
      </c>
      <c r="C67" t="str">
        <v>Y</v>
      </c>
      <c r="I67" s="8">
        <v>0</v>
      </c>
    </row>
    <row r="68" ht="14.25" customHeight="1">
      <c r="A68">
        <v>13</v>
      </c>
    </row>
    <row r="69" ht="14.25" customHeight="1">
      <c r="A69">
        <v>14</v>
      </c>
      <c r="B69" t="str">
        <v xml:space="preserve">Toilet, Bath, and Laundry Accessories </v>
      </c>
    </row>
    <row r="70" ht="14.25" customHeight="1">
      <c r="A70">
        <v>15</v>
      </c>
      <c r="B70" t="str">
        <v xml:space="preserve">Furnish all bath and laundry accessories according to the Contract Documents: </v>
      </c>
      <c r="C70" t="str">
        <v>Y</v>
      </c>
      <c r="I70" s="8">
        <v>0</v>
      </c>
      <c r="J70" t="str">
        <v>Y</v>
      </c>
      <c r="M70" t="str">
        <v>Y</v>
      </c>
      <c r="P70" t="str">
        <v>Y</v>
      </c>
    </row>
    <row r="71" ht="14.25" customHeight="1">
      <c r="A71">
        <v>16</v>
      </c>
      <c r="B71" t="str">
        <v>TTD: Toilet Tissue Dispenser (single roll) , Bobrick Washroom Equipment, Inc B-2890</v>
      </c>
      <c r="C71" t="str">
        <v>Y</v>
      </c>
      <c r="I71" s="8">
        <v>0</v>
      </c>
      <c r="J71" t="str">
        <v>Y</v>
      </c>
      <c r="M71" t="str">
        <v>Y</v>
      </c>
      <c r="P71" t="str">
        <v>Y</v>
      </c>
    </row>
    <row r="72" ht="14.25" customHeight="1">
      <c r="A72">
        <v>17</v>
      </c>
      <c r="B72" t="str">
        <v xml:space="preserve">TTD: Toilet Tissue Dispenser (double roll), Bobrick Washroom Equipment, Inc B-2892 </v>
      </c>
      <c r="C72" t="str">
        <v>Y</v>
      </c>
      <c r="I72" s="8">
        <v>0</v>
      </c>
      <c r="J72" t="str">
        <v>Y</v>
      </c>
      <c r="M72" t="str">
        <v>Y</v>
      </c>
      <c r="P72" t="str">
        <v>Y</v>
      </c>
    </row>
    <row r="73" ht="14.25" customHeight="1">
      <c r="A73">
        <v>18</v>
      </c>
      <c r="B73" t="str">
        <v>PTD: Paper Towel Dispenser (Tall), Bobrick Washrook Equipment, Inc B-35903</v>
      </c>
      <c r="C73" t="str">
        <v>Y</v>
      </c>
      <c r="I73" s="8">
        <v>0</v>
      </c>
      <c r="J73" t="str">
        <v>Y</v>
      </c>
      <c r="M73" t="str">
        <v>Y</v>
      </c>
      <c r="P73" t="str">
        <v>Y</v>
      </c>
    </row>
    <row r="74" ht="14.25" customHeight="1">
      <c r="A74">
        <v>19</v>
      </c>
      <c r="B74" t="str">
        <v>PTD-1: Paper Towel Dispenser (Short), Bobrick Washroom Equipment, Inc B-35903</v>
      </c>
      <c r="C74" t="str">
        <v>Y</v>
      </c>
      <c r="I74" s="8">
        <v>0</v>
      </c>
      <c r="J74" t="str">
        <v>Y</v>
      </c>
      <c r="M74" t="str">
        <v>Y</v>
      </c>
      <c r="P74" t="str">
        <v>Y</v>
      </c>
    </row>
    <row r="75" ht="14.25" customHeight="1">
      <c r="A75">
        <v>20</v>
      </c>
      <c r="B75" t="str">
        <v>TD/WR: Toilet Dispenser/Waste Receptacle, Semi-Recessed,  Bobrick Washroom Equipment, Inc B3803</v>
      </c>
      <c r="C75" t="str">
        <v>Y</v>
      </c>
      <c r="I75" s="8">
        <v>0</v>
      </c>
      <c r="J75" t="str">
        <v>Y</v>
      </c>
      <c r="M75" t="str">
        <v>Y</v>
      </c>
      <c r="P75" t="str">
        <v>Y</v>
      </c>
    </row>
    <row r="76" ht="14.25" customHeight="1">
      <c r="A76">
        <v>21</v>
      </c>
      <c r="B76" t="str">
        <v>WR: Waste Receptacle, Semi-Recessed</v>
      </c>
      <c r="C76" t="str">
        <v>Y</v>
      </c>
      <c r="I76" s="8">
        <v>0</v>
      </c>
      <c r="J76" t="str">
        <v>Y</v>
      </c>
      <c r="M76" t="str">
        <v>Y</v>
      </c>
      <c r="P76" t="str">
        <v>Y</v>
      </c>
    </row>
    <row r="77" ht="14.25" customHeight="1">
      <c r="A77">
        <v>22</v>
      </c>
      <c r="B77" t="str">
        <v xml:space="preserve">HD: Hand Dryer, Bradley 2902-2874 </v>
      </c>
      <c r="C77" t="str">
        <v>Y</v>
      </c>
      <c r="I77" s="8">
        <v>0</v>
      </c>
      <c r="J77" t="str">
        <v>Y</v>
      </c>
      <c r="M77" t="str">
        <v>Y</v>
      </c>
      <c r="P77" t="str">
        <v>Y</v>
      </c>
    </row>
    <row r="78" ht="14.25" customHeight="1">
      <c r="A78">
        <v>23</v>
      </c>
      <c r="B78" t="str">
        <v xml:space="preserve">HD-1: Hair Dryer, Bradley 2902-2874 </v>
      </c>
      <c r="C78" t="str">
        <v>Y</v>
      </c>
      <c r="I78" s="8">
        <v>0</v>
      </c>
      <c r="J78" t="str">
        <v>Y</v>
      </c>
      <c r="M78" t="str">
        <v>Y</v>
      </c>
      <c r="P78" t="str">
        <v>Y</v>
      </c>
    </row>
    <row r="79" ht="14.25" customHeight="1">
      <c r="A79">
        <v>24</v>
      </c>
      <c r="B79" t="str">
        <v>HS-1: Hook Strip, Rockwood Model RM828</v>
      </c>
      <c r="C79" t="str">
        <v>Y</v>
      </c>
      <c r="I79" s="8">
        <v>0</v>
      </c>
      <c r="J79" t="str">
        <v>Y</v>
      </c>
      <c r="M79" t="str">
        <v>Y</v>
      </c>
      <c r="P79" t="str">
        <v>Y</v>
      </c>
    </row>
    <row r="80" ht="14.25" customHeight="1">
      <c r="A80">
        <v>25</v>
      </c>
      <c r="B80" t="str">
        <v>HS-2: Hook Strip - Vandal Resistant, Rockwood Model RM828</v>
      </c>
      <c r="C80" t="str">
        <v>Y</v>
      </c>
      <c r="I80" s="8">
        <v>0</v>
      </c>
      <c r="J80" t="str">
        <v>Y</v>
      </c>
      <c r="M80" t="str">
        <v>Y</v>
      </c>
      <c r="P80" t="str">
        <v>Y</v>
      </c>
    </row>
    <row r="81" ht="14.25" customHeight="1">
      <c r="A81">
        <v>26</v>
      </c>
      <c r="B81" t="str">
        <v>MH: Mop and Broom Holder (No Shelf), Bradley Corporation 9953</v>
      </c>
      <c r="C81" t="str">
        <v>Y</v>
      </c>
      <c r="I81" s="8">
        <v>0</v>
      </c>
      <c r="J81" t="str">
        <v>Y</v>
      </c>
      <c r="M81" t="str">
        <v>Y</v>
      </c>
      <c r="P81" t="str">
        <v>Y</v>
      </c>
    </row>
    <row r="82" ht="14.25" customHeight="1">
      <c r="A82">
        <v>27</v>
      </c>
      <c r="B82" t="str">
        <v>MR: Mirror, Bobrick Washroom Equipment, Inc B-290</v>
      </c>
      <c r="C82" t="str">
        <v>Y</v>
      </c>
      <c r="I82" s="8">
        <v>0</v>
      </c>
      <c r="J82" t="str">
        <v>Y</v>
      </c>
      <c r="M82" t="str">
        <v>Y</v>
      </c>
      <c r="P82" t="str">
        <v>Y</v>
      </c>
    </row>
    <row r="83" ht="14.25" customHeight="1">
      <c r="A83">
        <v>28</v>
      </c>
      <c r="B83" t="str">
        <v xml:space="preserve">SC/SCR : Shower Rod &amp; Hooks, Bobrick Washroom Equipment, Inc B-6047 </v>
      </c>
      <c r="C83" t="str">
        <v>Y</v>
      </c>
      <c r="I83" s="8">
        <v>0</v>
      </c>
      <c r="J83" t="str">
        <v>Y</v>
      </c>
      <c r="M83" t="str">
        <v>Y</v>
      </c>
      <c r="P83" t="str">
        <v>Y</v>
      </c>
    </row>
    <row r="84" ht="14.25" customHeight="1">
      <c r="A84">
        <v>29</v>
      </c>
      <c r="B84" t="str">
        <v xml:space="preserve">SC/SCR : Shower Curtain, Construction Specialties Snap Lock Curtain System </v>
      </c>
      <c r="C84" t="str">
        <v>Y</v>
      </c>
      <c r="I84" s="8">
        <v>0</v>
      </c>
      <c r="J84" t="str">
        <v>Y</v>
      </c>
      <c r="M84" t="str">
        <v>Y</v>
      </c>
      <c r="P84" t="str">
        <v>Y</v>
      </c>
    </row>
    <row r="85" ht="14.25" customHeight="1">
      <c r="A85">
        <v>30</v>
      </c>
      <c r="B85" t="str">
        <v>SCD: Seat Cover Dispenser, Bobrick Washroom Equipment, Inc. B-5181</v>
      </c>
      <c r="C85" t="str">
        <v>Y</v>
      </c>
      <c r="I85" s="8">
        <v>0</v>
      </c>
      <c r="J85" t="str">
        <v>Y</v>
      </c>
      <c r="M85" t="str">
        <v>Y</v>
      </c>
      <c r="P85" t="str">
        <v>Y</v>
      </c>
    </row>
    <row r="86" ht="14.25" customHeight="1">
      <c r="A86">
        <v>31</v>
      </c>
      <c r="B86" t="str">
        <v>SD: Soap Dispenser - Wall, Bobrick Washroom Equipment, Inc B-26617</v>
      </c>
      <c r="C86" t="str">
        <v>Y</v>
      </c>
      <c r="I86" s="8">
        <v>0</v>
      </c>
      <c r="J86" t="str">
        <v>Y</v>
      </c>
      <c r="M86" t="str">
        <v>Y</v>
      </c>
      <c r="P86" t="str">
        <v>Y</v>
      </c>
    </row>
    <row r="87" ht="14.25" customHeight="1">
      <c r="A87">
        <v>32</v>
      </c>
      <c r="B87" t="str">
        <v>SD-1: Soap Dispenser- Counter, Bobrick Washroom Equipment, Inc B-26617</v>
      </c>
      <c r="C87" t="str">
        <v>Y</v>
      </c>
      <c r="I87" s="8">
        <v>0</v>
      </c>
      <c r="J87" t="str">
        <v>Y</v>
      </c>
      <c r="M87" t="str">
        <v>Y</v>
      </c>
      <c r="P87" t="str">
        <v>Y</v>
      </c>
    </row>
    <row r="88" ht="14.25" customHeight="1">
      <c r="A88">
        <v>33</v>
      </c>
      <c r="B88" t="str">
        <v>SD-2: Soap Dish - Shower, Bobrick Washroom Equipment, Inc B-26617</v>
      </c>
      <c r="C88" t="str">
        <v>Y</v>
      </c>
      <c r="I88" s="8">
        <v>0</v>
      </c>
      <c r="J88" t="str">
        <v>Y</v>
      </c>
      <c r="M88" t="str">
        <v>Y</v>
      </c>
      <c r="P88" t="str">
        <v>Y</v>
      </c>
    </row>
    <row r="89" ht="14.25" customHeight="1">
      <c r="A89">
        <v>34</v>
      </c>
      <c r="B89" t="str">
        <v>SND: Sanitary Napkin Disposal, Bobrick Washroom Equipment, Inc B-35139</v>
      </c>
      <c r="C89" t="str">
        <v>Y</v>
      </c>
      <c r="I89" s="8">
        <v>0</v>
      </c>
      <c r="J89" t="str">
        <v>Y</v>
      </c>
      <c r="M89" t="str">
        <v>Y</v>
      </c>
      <c r="P89" t="str">
        <v>Y</v>
      </c>
    </row>
    <row r="90" ht="14.25" customHeight="1">
      <c r="A90">
        <v>35</v>
      </c>
      <c r="B90" t="str">
        <v>SNV: Sanitary Napkin Vendor, Bobrick Washroom Equipment, Inc B-35139</v>
      </c>
      <c r="C90" t="str">
        <v>Y</v>
      </c>
      <c r="I90" s="8">
        <v>0</v>
      </c>
      <c r="J90" t="str">
        <v>Y</v>
      </c>
      <c r="M90" t="str">
        <v>Y</v>
      </c>
      <c r="P90" t="str">
        <v>Y</v>
      </c>
    </row>
    <row r="91" ht="14.25" customHeight="1">
      <c r="A91">
        <v>36</v>
      </c>
      <c r="B91" t="str">
        <v>TB: Towel Bar</v>
      </c>
      <c r="C91" t="str">
        <v>Y</v>
      </c>
      <c r="I91" s="8">
        <v>0</v>
      </c>
      <c r="J91" t="str">
        <v>Y</v>
      </c>
      <c r="M91" t="str">
        <v>Y</v>
      </c>
      <c r="P91" t="str">
        <v>Y</v>
      </c>
    </row>
    <row r="92" ht="14.25" customHeight="1">
      <c r="A92">
        <v>37</v>
      </c>
      <c r="B92" t="str">
        <v>TH: Towel Hook, Accessible</v>
      </c>
      <c r="C92" t="str">
        <v>Y</v>
      </c>
      <c r="I92" s="8">
        <v>0</v>
      </c>
      <c r="J92" t="str">
        <v>Y</v>
      </c>
      <c r="M92" t="str">
        <v>Y</v>
      </c>
      <c r="P92" t="str">
        <v>Y</v>
      </c>
    </row>
    <row r="93" ht="14.25" customHeight="1">
      <c r="A93">
        <v>38</v>
      </c>
      <c r="B93" t="str">
        <v>TH-1: Towel Hook</v>
      </c>
      <c r="C93" t="str">
        <v>Y</v>
      </c>
      <c r="I93" s="8">
        <v>0</v>
      </c>
      <c r="J93" t="str">
        <v>Y</v>
      </c>
      <c r="M93" t="str">
        <v>Y</v>
      </c>
      <c r="P93" t="str">
        <v>Y</v>
      </c>
    </row>
    <row r="94" ht="14.25" customHeight="1">
      <c r="A94">
        <v>39</v>
      </c>
      <c r="B94" t="str">
        <v>US: Utility Shelf</v>
      </c>
      <c r="C94" t="str">
        <v>Y</v>
      </c>
      <c r="I94" s="8">
        <v>0</v>
      </c>
      <c r="J94" t="str">
        <v>Y</v>
      </c>
      <c r="M94" t="str">
        <v>Y</v>
      </c>
      <c r="P94" t="str">
        <v>Y</v>
      </c>
    </row>
    <row r="95" ht="14.25" customHeight="1">
      <c r="A95">
        <v>40</v>
      </c>
      <c r="B95" t="str">
        <v>BCS: Baby Changing Station, Koala Kare Products; Bobrick Washroom Equipment, Inc. KB300-SS</v>
      </c>
      <c r="C95" t="str">
        <v>Y</v>
      </c>
      <c r="I95" s="8">
        <v>0</v>
      </c>
      <c r="J95" t="str">
        <v>Y</v>
      </c>
      <c r="M95" t="str">
        <v>Y</v>
      </c>
      <c r="P95" t="str">
        <v>Y</v>
      </c>
    </row>
    <row r="96" ht="14.25" customHeight="1">
      <c r="A96">
        <v>41</v>
      </c>
      <c r="B96" t="str">
        <v xml:space="preserve">CU: Combination Unit </v>
      </c>
      <c r="C96" t="str">
        <v>Y</v>
      </c>
      <c r="I96" s="8">
        <v>0</v>
      </c>
      <c r="J96" t="str">
        <v>Y</v>
      </c>
      <c r="M96" t="str">
        <v>Y</v>
      </c>
      <c r="P96" t="str">
        <v>Y</v>
      </c>
    </row>
    <row r="97" ht="14.25" customHeight="1">
      <c r="A97">
        <v>42</v>
      </c>
      <c r="B97" t="str">
        <v>FLM: Full Length Mirror, Bobrick Washroom Equipment, Inc B-290</v>
      </c>
      <c r="C97" t="str">
        <v>Y</v>
      </c>
      <c r="I97" s="8">
        <v>0</v>
      </c>
      <c r="J97" t="str">
        <v>Y</v>
      </c>
      <c r="M97" t="str">
        <v>Y</v>
      </c>
      <c r="P97" t="str">
        <v>Y</v>
      </c>
    </row>
    <row r="98" ht="14.25" customHeight="1">
      <c r="A98">
        <v>43</v>
      </c>
      <c r="B98" t="str">
        <v>FSS: Folding Show Seat, Bobrick Washroom Equipment, Inc B-5181</v>
      </c>
      <c r="C98" t="str">
        <v>Y</v>
      </c>
      <c r="I98" s="8">
        <v>0</v>
      </c>
      <c r="J98" t="str">
        <v>Y</v>
      </c>
      <c r="M98" t="str">
        <v>Y</v>
      </c>
      <c r="P98" t="str">
        <v>Y</v>
      </c>
    </row>
    <row r="99" ht="14.25" customHeight="1">
      <c r="A99">
        <v>44</v>
      </c>
      <c r="B99" t="str">
        <v>GB-1: Grab Bar (Back Wall), Bobrick Washroom Equipment, Inc B-5806</v>
      </c>
      <c r="C99" t="str">
        <v>Y</v>
      </c>
      <c r="I99" s="8">
        <v>0</v>
      </c>
      <c r="J99" t="str">
        <v>Y</v>
      </c>
      <c r="M99" t="str">
        <v>Y</v>
      </c>
      <c r="P99" t="str">
        <v>Y</v>
      </c>
    </row>
    <row r="100" ht="14.25" customHeight="1">
      <c r="A100">
        <v>45</v>
      </c>
      <c r="B100" t="str">
        <v>GB-2: Grab Bar (Side Wall), Bobrick Washroom Equipment, Inc B-5806</v>
      </c>
      <c r="C100" t="str">
        <v>Y</v>
      </c>
      <c r="I100" s="8">
        <v>0</v>
      </c>
      <c r="J100" t="str">
        <v>Y</v>
      </c>
      <c r="M100" t="str">
        <v>Y</v>
      </c>
      <c r="P100" t="str">
        <v>Y</v>
      </c>
    </row>
    <row r="101" ht="14.25" customHeight="1">
      <c r="A101">
        <v>46</v>
      </c>
      <c r="B101" t="str">
        <v>GB-3: Grab Bar (Vertical), Bobrick Washroom Equipment, Inc B-5806</v>
      </c>
      <c r="C101" t="str">
        <v>Y</v>
      </c>
      <c r="I101" s="8">
        <v>0</v>
      </c>
      <c r="J101" t="str">
        <v>Y</v>
      </c>
      <c r="M101" t="str">
        <v>Y</v>
      </c>
      <c r="P101" t="str">
        <v>Y</v>
      </c>
    </row>
    <row r="102" ht="14.25" customHeight="1">
      <c r="A102">
        <v>47</v>
      </c>
      <c r="B102" t="str">
        <v>GB-4: Grab Bar (Shower), Bobrick Washroom Equipment, Inc B-5806</v>
      </c>
      <c r="C102" t="str">
        <v>Y</v>
      </c>
      <c r="I102" s="8">
        <v>0</v>
      </c>
      <c r="J102" t="str">
        <v>Y</v>
      </c>
      <c r="M102" t="str">
        <v>Y</v>
      </c>
      <c r="P102" t="str">
        <v>Y</v>
      </c>
    </row>
    <row r="103" ht="14.25" customHeight="1">
      <c r="A103">
        <v>48</v>
      </c>
      <c r="B103" t="str">
        <v>GB-5: Grab Bar (Back wall-shifted to open side of toilet), Bobrick Washroom Equipment, Inc B-5806</v>
      </c>
      <c r="C103" t="str">
        <v>Y</v>
      </c>
      <c r="I103" s="8">
        <v>0</v>
      </c>
      <c r="J103" t="str">
        <v>Y</v>
      </c>
      <c r="M103" t="str">
        <v>Y</v>
      </c>
      <c r="P103" t="str">
        <v>Y</v>
      </c>
    </row>
    <row r="104" ht="14.25" customHeight="1">
      <c r="A104">
        <v>49</v>
      </c>
    </row>
    <row r="105" ht="14.25" customHeight="1">
      <c r="A105">
        <v>50</v>
      </c>
      <c r="B105" t="str">
        <v xml:space="preserve">Fire Protection Services </v>
      </c>
    </row>
    <row r="106" ht="14.25" customHeight="1">
      <c r="A106">
        <v>51</v>
      </c>
      <c r="B106" t="str">
        <v xml:space="preserve">Furnish fire extinguishers and cabinets including all accessories for a complete installation: </v>
      </c>
      <c r="C106" t="str">
        <v>Y</v>
      </c>
      <c r="I106" s="8">
        <v>0</v>
      </c>
      <c r="J106" t="str">
        <v>Y</v>
      </c>
      <c r="M106" t="str">
        <v>Y</v>
      </c>
      <c r="P106" t="str">
        <v>Y</v>
      </c>
    </row>
    <row r="107" ht="14.25" customHeight="1">
      <c r="A107">
        <v>52</v>
      </c>
      <c r="B107" t="str">
        <v>Recessed Fire Cabinet, Larsen's Manufacturing Company 2409-R, Flat Trim</v>
      </c>
      <c r="C107" t="str">
        <v>Y</v>
      </c>
      <c r="I107" s="8">
        <v>0</v>
      </c>
      <c r="J107" t="str">
        <v>Y</v>
      </c>
      <c r="M107" t="str">
        <v>Y</v>
      </c>
      <c r="P107" t="str">
        <v>Y</v>
      </c>
    </row>
    <row r="108" ht="14.25" customHeight="1">
      <c r="A108">
        <v>53</v>
      </c>
      <c r="B108" t="str">
        <v xml:space="preserve">Semirecessed Cabinet, Larsen's Manufacturing Company 2409-6R </v>
      </c>
      <c r="C108" t="str">
        <v>Y</v>
      </c>
      <c r="I108" s="8">
        <v>0</v>
      </c>
      <c r="J108" t="str">
        <v>Y</v>
      </c>
      <c r="M108" t="str">
        <v>Y</v>
      </c>
      <c r="P108" t="str">
        <v>Y</v>
      </c>
    </row>
    <row r="109" ht="14.25" customHeight="1">
      <c r="A109">
        <v>54</v>
      </c>
      <c r="B109" t="str">
        <v>Surface-Mounted Cabinet, Larsen's Manufacturing Company 2409-SM</v>
      </c>
      <c r="C109" t="str">
        <v>Y</v>
      </c>
      <c r="I109" s="8">
        <v>0</v>
      </c>
      <c r="J109" t="str">
        <v>Y</v>
      </c>
      <c r="M109" t="str">
        <v>Y</v>
      </c>
      <c r="P109" t="str">
        <v>Y</v>
      </c>
    </row>
    <row r="110" ht="14.25" customHeight="1">
      <c r="A110">
        <v>55</v>
      </c>
      <c r="B110" t="str">
        <v xml:space="preserve">Portable, Hand Carried Fire Extinguishers </v>
      </c>
      <c r="C110" t="str">
        <v>Y</v>
      </c>
      <c r="I110" s="8">
        <v>0</v>
      </c>
      <c r="J110" t="str">
        <v>Y</v>
      </c>
      <c r="M110" t="str">
        <v>Y</v>
      </c>
      <c r="P110" t="str">
        <v>Y</v>
      </c>
    </row>
    <row r="111" ht="14.25" customHeight="1">
      <c r="A111">
        <v>56</v>
      </c>
      <c r="B111" t="str">
        <v xml:space="preserve">Wet Chemical Fire Extinguishers </v>
      </c>
      <c r="C111" t="str">
        <v>Y</v>
      </c>
      <c r="I111" s="8">
        <v>0</v>
      </c>
      <c r="J111" t="str">
        <v>Y</v>
      </c>
      <c r="M111" t="str">
        <v>Y</v>
      </c>
      <c r="P111" t="str">
        <v>Y</v>
      </c>
    </row>
    <row r="112" ht="14.25" customHeight="1">
      <c r="A112">
        <v>57</v>
      </c>
      <c r="B112" t="str">
        <v xml:space="preserve">Multipurpose Dry Chemical Fire Extinguishers </v>
      </c>
      <c r="C112" t="str">
        <v>Y</v>
      </c>
      <c r="I112" s="8">
        <v>0</v>
      </c>
      <c r="J112" t="str">
        <v>Y</v>
      </c>
      <c r="M112" t="str">
        <v>Y</v>
      </c>
      <c r="P112" t="str">
        <v>Y</v>
      </c>
    </row>
    <row r="113" ht="14.25" customHeight="1">
      <c r="A113">
        <v>58</v>
      </c>
      <c r="B113" t="str">
        <v xml:space="preserve">Include all required accessories </v>
      </c>
      <c r="C113" t="str">
        <v>Y</v>
      </c>
      <c r="I113" s="8">
        <v>0</v>
      </c>
      <c r="J113" t="str">
        <v>Y</v>
      </c>
      <c r="M113" t="str">
        <v>Y</v>
      </c>
      <c r="P113" t="str">
        <v>Y</v>
      </c>
    </row>
    <row r="114" ht="14.25" customHeight="1">
      <c r="A114">
        <v>59</v>
      </c>
    </row>
    <row r="115" ht="14.25" customHeight="1">
      <c r="A115">
        <v>60</v>
      </c>
      <c r="B115" t="str">
        <v xml:space="preserve">Lockers </v>
      </c>
    </row>
    <row r="116" ht="14.25" customHeight="1">
      <c r="A116">
        <v>61</v>
      </c>
      <c r="B116" t="str">
        <v xml:space="preserve">Furnish and install lockers according to the Contract Documents: </v>
      </c>
      <c r="C116" t="str">
        <v>Y</v>
      </c>
      <c r="I116" s="8">
        <v>0</v>
      </c>
      <c r="J116" t="str">
        <v>Y</v>
      </c>
      <c r="M116" t="str">
        <v>Y</v>
      </c>
      <c r="P116" t="str">
        <v>Y</v>
      </c>
    </row>
    <row r="117" ht="14.25" customHeight="1">
      <c r="A117">
        <v>62</v>
      </c>
      <c r="B117" t="str">
        <v xml:space="preserve">LOC-01: Lockers, ASI Accurate Traditional Phenolic Lockers, or approved equal </v>
      </c>
      <c r="C117" t="str">
        <v>Y</v>
      </c>
      <c r="I117" s="8">
        <v>0</v>
      </c>
      <c r="J117" t="str">
        <v>Y</v>
      </c>
      <c r="M117" t="str">
        <v>Y</v>
      </c>
      <c r="P117" t="str">
        <v>Y</v>
      </c>
    </row>
    <row r="118" ht="14.25" customHeight="1">
      <c r="A118">
        <v>63</v>
      </c>
    </row>
    <row r="119" ht="14.25" customHeight="1">
      <c r="A119">
        <v>64</v>
      </c>
      <c r="B119" t="str">
        <v>Corner Gaurds</v>
      </c>
    </row>
    <row r="120" ht="14.25" customHeight="1">
      <c r="A120">
        <v>65</v>
      </c>
      <c r="B120" t="str">
        <v xml:space="preserve">Furnish corner guards according to the Contract Documents: </v>
      </c>
      <c r="C120" t="str">
        <v>Y</v>
      </c>
      <c r="I120" s="8">
        <v>0</v>
      </c>
      <c r="J120" t="str">
        <v>Y</v>
      </c>
      <c r="M120" t="str">
        <v>N</v>
      </c>
      <c r="N120" t="str">
        <v>ADD - Nelson</v>
      </c>
    </row>
    <row r="121" ht="14.25" customHeight="1">
      <c r="A121">
        <v>66</v>
      </c>
      <c r="B121" t="str">
        <v xml:space="preserve">CGD-01: Corner Guards, Inpro, 3/4", surface mounted </v>
      </c>
      <c r="C121" t="str">
        <v>Y</v>
      </c>
      <c r="I121" s="8">
        <v>0</v>
      </c>
      <c r="J121" t="str">
        <v>Y</v>
      </c>
      <c r="M121" t="str">
        <v>N</v>
      </c>
      <c r="N121" t="str">
        <v>Excluded</v>
      </c>
    </row>
    <row r="122" ht="14.25" customHeight="1">
      <c r="A122">
        <v>67</v>
      </c>
    </row>
    <row r="123" ht="14.25" customHeight="1">
      <c r="A123">
        <v>68</v>
      </c>
      <c r="B123" t="str">
        <v xml:space="preserve">Entrance Floor Mats 9 (Walk-off Grilles) </v>
      </c>
      <c r="C123" t="str">
        <v>Y</v>
      </c>
      <c r="J123" t="str">
        <v>N</v>
      </c>
      <c r="M123" t="str">
        <v>N</v>
      </c>
    </row>
    <row r="124" ht="14.25" customHeight="1">
      <c r="A124">
        <v>69</v>
      </c>
      <c r="B124" t="str">
        <v>Furnish entrance floor mats according to the Contract Documents:</v>
      </c>
      <c r="C124" t="str">
        <v>Y</v>
      </c>
      <c r="I124" s="8">
        <v>0</v>
      </c>
      <c r="J124" t="str">
        <v>N</v>
      </c>
      <c r="M124" t="str">
        <v>N</v>
      </c>
    </row>
    <row r="125" ht="14.25" customHeight="1">
      <c r="A125">
        <v>70</v>
      </c>
      <c r="B125" t="str">
        <v xml:space="preserve">WOG-01: Construction Specialties , Gridline G6, Stainless Steel </v>
      </c>
      <c r="C125" t="str">
        <v>Y</v>
      </c>
      <c r="I125" s="8">
        <v>0</v>
      </c>
      <c r="J125" t="str">
        <v>N</v>
      </c>
      <c r="K125" t="str">
        <v>ADD - Nelson</v>
      </c>
      <c r="M125" t="str">
        <v>N</v>
      </c>
      <c r="N125" t="str">
        <v>ADD - Nelson</v>
      </c>
      <c r="P125" t="str">
        <v>Y</v>
      </c>
      <c r="Q125" t="str">
        <v xml:space="preserve">Included </v>
      </c>
      <c r="S125" t="str">
        <v>N</v>
      </c>
      <c r="T125" t="str">
        <v>ADD - Nelson</v>
      </c>
    </row>
    <row r="126" ht="14.25" customHeight="1">
      <c r="A126">
        <v>71</v>
      </c>
      <c r="B126" t="str">
        <v xml:space="preserve">Include accessories to include mounting brackets, repair stand, hardware, etc. </v>
      </c>
      <c r="C126" t="str">
        <v>Y</v>
      </c>
      <c r="I126" s="8">
        <v>0</v>
      </c>
      <c r="J126" t="str">
        <v>N</v>
      </c>
      <c r="M126" t="str">
        <v>N</v>
      </c>
    </row>
    <row r="127" ht="14.25" customHeight="1">
      <c r="A127">
        <v>72</v>
      </c>
    </row>
    <row r="128" ht="14.25" customHeight="1">
      <c r="A128">
        <v>73</v>
      </c>
      <c r="B128" t="str">
        <v xml:space="preserve">Folding Panel Partitions </v>
      </c>
    </row>
    <row r="129" ht="29.25" customHeight="1">
      <c r="A129">
        <v>74</v>
      </c>
      <c r="B129" t="str">
        <v xml:space="preserve">Provide manual operable acoustical panel partitions according to the Contract Documents </v>
      </c>
      <c r="C129" t="str">
        <v>Y</v>
      </c>
      <c r="J129" t="str">
        <v>Y</v>
      </c>
      <c r="M129" t="str">
        <v>Y</v>
      </c>
    </row>
    <row r="130" ht="14.25" customHeight="1">
      <c r="A130">
        <v>75</v>
      </c>
    </row>
    <row r="131" ht="14.25" customHeight="1">
      <c r="A131">
        <v>76</v>
      </c>
      <c r="B131" t="str">
        <v>Standard/General Scope</v>
      </c>
    </row>
    <row r="132" ht="14.25" customHeight="1">
      <c r="A132">
        <v>77</v>
      </c>
      <c r="B132" t="str">
        <v>Include all mat'l, labor, tools, equipment, hoisting, supervision, etc for your work</v>
      </c>
      <c r="C132" t="str">
        <v>Y</v>
      </c>
      <c r="I132" s="8">
        <v>0</v>
      </c>
      <c r="J132" t="str">
        <v>Y</v>
      </c>
      <c r="M132" t="str">
        <v>Y</v>
      </c>
    </row>
    <row r="133" ht="14.25" customHeight="1">
      <c r="A133">
        <v>78</v>
      </c>
      <c r="B133" t="str">
        <v xml:space="preserve">Include all necessary accessories, fasteners, and applicable hardware required for complete installation. </v>
      </c>
      <c r="C133" t="str">
        <v>Y</v>
      </c>
      <c r="I133" s="8">
        <v>0</v>
      </c>
      <c r="J133" t="str">
        <v>Y</v>
      </c>
      <c r="M133" t="str">
        <v>Y</v>
      </c>
    </row>
    <row r="134" ht="14.25" customHeight="1">
      <c r="A134">
        <v>79</v>
      </c>
      <c r="B134" t="str">
        <v>Clean up to MCN dumpster</v>
      </c>
      <c r="C134" t="str">
        <v>Y</v>
      </c>
      <c r="I134" s="8">
        <v>0</v>
      </c>
      <c r="J134" t="str">
        <v>Y</v>
      </c>
      <c r="M134" t="str">
        <v>Y</v>
      </c>
    </row>
    <row r="135" ht="14.25" customHeight="1">
      <c r="A135">
        <v>80</v>
      </c>
      <c r="B135" t="str">
        <v>Shop dwgs, samples, product data, etc</v>
      </c>
      <c r="C135" t="str">
        <v>Y</v>
      </c>
      <c r="I135" s="8">
        <v>0</v>
      </c>
      <c r="J135" t="str">
        <v>Y</v>
      </c>
      <c r="M135" t="str">
        <v>Y</v>
      </c>
    </row>
    <row r="136" ht="14.25" customHeight="1">
      <c r="A136" t="str">
        <v>C</v>
      </c>
      <c r="B136" t="str">
        <v>Exclusions</v>
      </c>
    </row>
    <row r="137" ht="14.25" customHeight="1">
      <c r="A137">
        <v>1</v>
      </c>
      <c r="B137" t="str">
        <v xml:space="preserve">In-wall blocking </v>
      </c>
      <c r="C137" t="str">
        <v>N</v>
      </c>
      <c r="D137" t="str">
        <v xml:space="preserve">By Rough Carpentry Subcontractor </v>
      </c>
      <c r="J137" t="str">
        <v>N</v>
      </c>
      <c r="M137" t="str">
        <v>N</v>
      </c>
      <c r="P137" t="str">
        <v>N</v>
      </c>
      <c r="S137" t="str">
        <v>N</v>
      </c>
    </row>
    <row r="138" ht="14.25" customHeight="1">
      <c r="A138">
        <v>2</v>
      </c>
      <c r="B138" t="str">
        <v xml:space="preserve">Installation of toilet and laundry accessories </v>
      </c>
      <c r="C138" t="str">
        <v>N</v>
      </c>
      <c r="D138" t="str">
        <v xml:space="preserve">By Drywall Subcontractor </v>
      </c>
      <c r="J138" t="str">
        <v>N</v>
      </c>
      <c r="M138" t="str">
        <v>N</v>
      </c>
      <c r="P138" t="str">
        <v>N</v>
      </c>
      <c r="S138" t="str">
        <v>N</v>
      </c>
    </row>
    <row r="139" ht="14.25" customHeight="1">
      <c r="A139">
        <v>3</v>
      </c>
      <c r="B139" t="str">
        <v xml:space="preserve">Installation of corner guards </v>
      </c>
      <c r="C139" t="str">
        <v>N</v>
      </c>
      <c r="D139" t="str">
        <v xml:space="preserve">By Drywall Subcontractor </v>
      </c>
      <c r="J139" t="str">
        <v>Y</v>
      </c>
      <c r="M139" t="str">
        <v>N</v>
      </c>
      <c r="P139" t="str">
        <v>N</v>
      </c>
      <c r="S139" t="str">
        <v>N</v>
      </c>
    </row>
    <row r="140" ht="14.25" customHeight="1">
      <c r="A140">
        <v>4</v>
      </c>
      <c r="B140" t="str">
        <v xml:space="preserve">Installation of visual display </v>
      </c>
      <c r="C140" t="str">
        <v>N</v>
      </c>
      <c r="D140" t="str">
        <v xml:space="preserve">By Others </v>
      </c>
      <c r="J140" t="str">
        <v>N</v>
      </c>
      <c r="K140" t="str">
        <v>See Allowance</v>
      </c>
      <c r="M140" t="str">
        <v>N</v>
      </c>
      <c r="N140" t="str">
        <v>See Allowance</v>
      </c>
      <c r="P140" t="str">
        <v>N</v>
      </c>
      <c r="Q140" t="str">
        <v xml:space="preserve">See Allowance </v>
      </c>
      <c r="S140" t="str">
        <v>N</v>
      </c>
      <c r="T140" t="str">
        <v xml:space="preserve">See Allowance </v>
      </c>
    </row>
    <row r="141" ht="14.25" customHeight="1">
      <c r="A141">
        <v>5</v>
      </c>
      <c r="B141" t="str">
        <v>Installation of fire extinguisher cabinets</v>
      </c>
      <c r="C141" t="str">
        <v>N</v>
      </c>
      <c r="D141" t="str">
        <v xml:space="preserve">By Drywall Subcontractor </v>
      </c>
      <c r="J141" t="str">
        <v>N</v>
      </c>
      <c r="M141" t="str">
        <v>N</v>
      </c>
      <c r="P141" t="str">
        <v>N</v>
      </c>
      <c r="S141" t="str">
        <v>N</v>
      </c>
    </row>
    <row r="142" ht="14.25" customHeight="1">
      <c r="A142">
        <v>6</v>
      </c>
      <c r="B142" t="str">
        <v xml:space="preserve">Installation of toilet partitions </v>
      </c>
      <c r="C142" t="str">
        <v>N</v>
      </c>
      <c r="D142" t="str">
        <v xml:space="preserve">By Drywall Subcontractor </v>
      </c>
      <c r="J142" t="str">
        <v>N</v>
      </c>
      <c r="M142" t="str">
        <v>N</v>
      </c>
      <c r="P142" t="str">
        <v>N</v>
      </c>
      <c r="S142" t="str">
        <v>N</v>
      </c>
    </row>
    <row r="143" ht="14.25" customHeight="1">
      <c r="A143" t="str">
        <v>D</v>
      </c>
      <c r="B143" t="str">
        <v>Schedule</v>
      </c>
    </row>
    <row r="144" ht="14.25" customHeight="1">
      <c r="A144">
        <v>1</v>
      </c>
      <c r="B144" t="str">
        <v>Meet MCN Schedule</v>
      </c>
      <c r="C144" t="str">
        <v>Y</v>
      </c>
    </row>
    <row r="145" ht="14.25" customHeight="1">
      <c r="A145">
        <f>A144+1</f>
        <v>2</v>
      </c>
      <c r="B145" t="str">
        <v>Advise of Durations</v>
      </c>
    </row>
    <row r="146" ht="14.25" customHeight="1">
      <c r="A146">
        <f>A145+1</f>
        <v>3</v>
      </c>
      <c r="B146" t="str">
        <v xml:space="preserve">Submittals </v>
      </c>
      <c r="C146" t="str">
        <v>---&gt;</v>
      </c>
    </row>
    <row r="147" ht="14.25" customHeight="1">
      <c r="A147">
        <f>A146+1</f>
        <v>4</v>
      </c>
      <c r="B147" t="str">
        <v xml:space="preserve">Shop Drawings </v>
      </c>
      <c r="C147" t="str">
        <v>---&gt;</v>
      </c>
    </row>
    <row r="148" ht="14.25" customHeight="1">
      <c r="A148">
        <v>5</v>
      </c>
      <c r="C148" t="str">
        <v>---&gt;</v>
      </c>
    </row>
    <row r="149" ht="14.25" customHeight="1">
      <c r="A149">
        <f>A148+1</f>
        <v>6</v>
      </c>
      <c r="B149" t="str">
        <v>Advise of Lead Times</v>
      </c>
    </row>
    <row r="150" ht="14.25" customHeight="1">
      <c r="A150">
        <f>A149+1</f>
        <v>7</v>
      </c>
      <c r="B150" t="str">
        <v xml:space="preserve">Lockers </v>
      </c>
      <c r="C150" t="str">
        <v>---&gt;</v>
      </c>
    </row>
    <row r="151" ht="14.25" customHeight="1">
      <c r="A151">
        <f>A150+1</f>
        <v>8</v>
      </c>
      <c r="B151" t="str">
        <v xml:space="preserve">Toilet Partitions </v>
      </c>
      <c r="C151" t="str">
        <v>---&gt;</v>
      </c>
    </row>
    <row r="152" ht="14.25" customHeight="1">
      <c r="A152">
        <v>9</v>
      </c>
      <c r="B152" t="str">
        <v xml:space="preserve">Folding Panel Partitions </v>
      </c>
      <c r="C152" t="str">
        <v>---&gt;</v>
      </c>
    </row>
    <row r="153" ht="14.25" customHeight="1"/>
    <row r="154" ht="14.25" customHeight="1"/>
    <row r="155" ht="14.25" customHeight="1">
      <c r="B155" t="str">
        <v>Allowances</v>
      </c>
    </row>
    <row r="156" ht="14.25" customHeight="1">
      <c r="A156">
        <v>1</v>
      </c>
      <c r="B156" t="str">
        <v xml:space="preserve">Allowance #1 - Specification 10 11 00 - Visual Display Units call out for visual display units; however, it is not shown on the Contract Drawings (MB-01 &amp; TB-01 - Markerboard &amp; Tackboard Panels) </v>
      </c>
      <c r="C156" t="str">
        <v>#</v>
      </c>
      <c r="J156" t="str">
        <v>N</v>
      </c>
      <c r="K156" t="str">
        <v>ADD</v>
      </c>
      <c r="M156" t="str">
        <v>N</v>
      </c>
      <c r="N156" t="str">
        <v>ADD</v>
      </c>
      <c r="P156" t="str">
        <v>Y</v>
      </c>
      <c r="Q156" t="str">
        <v>ADD</v>
      </c>
      <c r="S156" t="str">
        <v>N</v>
      </c>
      <c r="T156" t="str">
        <v>ADD</v>
      </c>
    </row>
    <row r="157" ht="14.25" customHeight="1">
      <c r="A157">
        <f>A156+1</f>
        <v>2</v>
      </c>
    </row>
    <row r="158" ht="14.25" customHeight="1">
      <c r="A158">
        <f>A157+1</f>
        <v>3</v>
      </c>
    </row>
    <row r="159" ht="14.25" customHeight="1">
      <c r="A159">
        <f>A158+1</f>
        <v>4</v>
      </c>
    </row>
    <row r="160" ht="14.25" customHeight="1"/>
    <row r="161" ht="14.25" customHeight="1"/>
    <row r="162" ht="14.25" customHeight="1">
      <c r="B162" t="str">
        <v>Alternates</v>
      </c>
    </row>
    <row r="163" ht="14.25" customHeight="1">
      <c r="A163">
        <v>1</v>
      </c>
      <c r="B163" t="str">
        <v>Installation of visual displays</v>
      </c>
      <c r="C163" t="str">
        <v>#</v>
      </c>
    </row>
    <row r="164" ht="14.25" customHeight="1">
      <c r="A164">
        <f>A163+1</f>
        <v>2</v>
      </c>
      <c r="C164" t="str">
        <v>#</v>
      </c>
    </row>
    <row r="165" ht="14.25" customHeight="1">
      <c r="A165">
        <f>A164+1</f>
        <v>3</v>
      </c>
      <c r="C165" t="str">
        <v>#</v>
      </c>
    </row>
    <row r="166" ht="14.25" customHeight="1">
      <c r="A166">
        <f>A165+1</f>
        <v>4</v>
      </c>
      <c r="C166" t="str">
        <v>#</v>
      </c>
    </row>
    <row r="167" ht="14.25" customHeight="1">
      <c r="C167" t="str">
        <v>#</v>
      </c>
    </row>
    <row r="168" ht="14.25" customHeight="1">
      <c r="B168" t="str">
        <v>Unit Prices</v>
      </c>
    </row>
    <row r="169" ht="14.25" customHeight="1">
      <c r="A169">
        <v>1</v>
      </c>
      <c r="C169" t="str">
        <v>#</v>
      </c>
    </row>
    <row r="170" ht="14.25" customHeight="1">
      <c r="A170">
        <f>A169+1</f>
        <v>2</v>
      </c>
      <c r="C170" t="str">
        <v>#</v>
      </c>
    </row>
    <row r="171" ht="14.25" customHeight="1">
      <c r="A171">
        <f>A170+1</f>
        <v>3</v>
      </c>
      <c r="C171" t="str">
        <v>#</v>
      </c>
    </row>
    <row r="172" ht="14.25" customHeight="1">
      <c r="A172">
        <f>A171+1</f>
        <v>4</v>
      </c>
      <c r="C172" t="str">
        <v>#</v>
      </c>
    </row>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Q3" r:id="rId3"/>
    <hyperlink ref="T3" r:id="rId4"/>
    <hyperlink ref="B8" r:id="rId5"/>
  </hyperlinks>
  <pageMargins left="0.7" right="0.7" top="0.25" bottom="0.75" header="0" footer="0"/>
  <ignoredErrors>
    <ignoredError numberStoredAsText="1" sqref="A1:AO1000"/>
  </ignoredErrors>
</worksheet>
</file>

<file path=xl/worksheets/sheet27.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Singer</v>
      </c>
      <c r="N1" t="str">
        <v>11400, Inc.</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Jason Locke</v>
      </c>
      <c r="N2" t="str">
        <v xml:space="preserve">John </v>
      </c>
      <c r="Q2" t="str">
        <v>Name</v>
      </c>
      <c r="T2" t="str">
        <v>Name</v>
      </c>
      <c r="W2" t="str">
        <v>Name</v>
      </c>
      <c r="Z2" t="str">
        <v>Name</v>
      </c>
      <c r="AC2" t="str">
        <v>Name</v>
      </c>
      <c r="AH2" t="str">
        <v>MCN</v>
      </c>
      <c r="AM2" s="8">
        <f>I9</f>
        <v>0</v>
      </c>
    </row>
    <row r="3" ht="14.25" customHeight="1" outlineLevel="1">
      <c r="I3" t="str">
        <v>Email:</v>
      </c>
      <c r="K3" t="str">
        <v>jlocke@singerequipment.com</v>
      </c>
      <c r="N3" t="str">
        <v>jerisman@11400llc.com</v>
      </c>
      <c r="Q3" t="str">
        <v>Email</v>
      </c>
      <c r="T3" t="str">
        <v>Email</v>
      </c>
      <c r="W3" t="str">
        <v>Email</v>
      </c>
      <c r="Z3" t="str">
        <v>Email</v>
      </c>
      <c r="AC3" t="str">
        <v>Email</v>
      </c>
      <c r="AH3">
        <v>1</v>
      </c>
      <c r="AI3" t="str">
        <f>IFNA(INDEX($K$1:$AE$1,1,MATCH($AH3,$K$10:$AE$10,0)),"")</f>
        <v>Singer</v>
      </c>
      <c r="AJ3" s="3">
        <f t="array" ref="AJ3">IFNA(INDEX($K$6:$AE$6,1,MATCH($AH3,$K$10:$AE$10,0)+1),"")</f>
        <v>122135</v>
      </c>
      <c r="AK3" s="3">
        <f t="array" ref="AK3">IFNA(INDEX($K$7:$AE$7,1,MATCH($AH3,$K$10:$AE$10,0)+1),"")</f>
        <v>7500</v>
      </c>
      <c r="AL3" s="3">
        <f t="array" ref="AL3">IFNA(INDEX($K$8:$AE$8,1,MATCH($AH3,$K$10:$AE$10,0)+1),"")</f>
        <v>2592.7</v>
      </c>
      <c r="AM3" s="3">
        <f t="array" ref="AM3">IFNA(INDEX($K$9:$AE$9,1,MATCH($AH3,$K$10:$AE$10,0)+1),"")</f>
        <v>132227.7</v>
      </c>
      <c r="AO3" s="9">
        <f>IFERROR(AN3*AM3,0)</f>
        <v>0</v>
      </c>
    </row>
    <row r="4" ht="14.25" customHeight="1" outlineLevel="1">
      <c r="A4" t="str">
        <v>Trade:</v>
      </c>
      <c r="B4" t="str">
        <v>11 - Kitchen Equipment</v>
      </c>
      <c r="I4" t="str">
        <v>Phone:</v>
      </c>
      <c r="K4" t="str">
        <v>410-683-5925</v>
      </c>
      <c r="N4" t="str">
        <v>717-847-1090</v>
      </c>
      <c r="Q4" t="str">
        <v>Number</v>
      </c>
      <c r="T4" t="str">
        <v>Number</v>
      </c>
      <c r="W4" t="str">
        <v>Number</v>
      </c>
      <c r="Z4" t="str">
        <v>Number</v>
      </c>
      <c r="AC4" t="str">
        <v>Number</v>
      </c>
      <c r="AH4">
        <v>2</v>
      </c>
      <c r="AI4" t="str">
        <f>IFNA(INDEX($K$1:$AE$1,1,MATCH($AH4,$K$10:$AE$10,0)),"")</f>
        <v>11400, Inc.</v>
      </c>
      <c r="AJ4" s="3">
        <f t="array" ref="AJ4">IFNA(INDEX($K$6:$AE$6,1,MATCH($AH4,$K$10:$AE$10,0)+1),"")</f>
        <v>160000</v>
      </c>
      <c r="AK4" s="3">
        <f t="array" ref="AK4">IFNA(INDEX($K$7:$AE$7,1,MATCH($AH4,$K$10:$AE$10,0)+1),"")</f>
        <v>7500</v>
      </c>
      <c r="AL4" s="3">
        <f t="array" ref="AL4">IFNA(INDEX($K$8:$AE$8,1,MATCH($AH4,$K$10:$AE$10,0)+1),"")</f>
        <v>3350</v>
      </c>
      <c r="AM4" s="3">
        <f t="array" ref="AM4">IFNA(INDEX($K$9:$AE$9,1,MATCH($AH4,$K$10:$AE$10,0)+1),"")</f>
        <v>170850</v>
      </c>
      <c r="AO4" s="9">
        <f>IFERROR(AN4*AM4,0)</f>
        <v>0</v>
      </c>
    </row>
    <row r="5" ht="14.25" customHeight="1" outlineLevel="1">
      <c r="A5" t="str">
        <v>Rev/Date:</v>
      </c>
      <c r="B5" t="str">
        <v>Date Issued 02-01-2026</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122135</v>
      </c>
      <c r="N6" t="str">
        <v>Base Bid:</v>
      </c>
      <c r="O6" s="4">
        <v>160000</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SUM(I20:I99,I13:I18)</f>
        <v>0</v>
      </c>
      <c r="K7" t="str">
        <v>Adjustments:</v>
      </c>
      <c r="L7" s="4">
        <f>SUM(L13:L18,L20:L99)</f>
        <v>7500</v>
      </c>
      <c r="N7" t="str">
        <v>Adjustments:</v>
      </c>
      <c r="O7" s="4">
        <f>SUM(O13:O18,O20:O99)</f>
        <v>7500</v>
      </c>
      <c r="Q7" t="str">
        <v>Adjustments:</v>
      </c>
      <c r="R7" s="4">
        <f>SUM(R13:R18,R20:R99)</f>
        <v>0</v>
      </c>
      <c r="T7" t="str">
        <v>Adjustments:</v>
      </c>
      <c r="U7" s="4">
        <f>SUM(U13:U18,U20:U99)</f>
        <v>0</v>
      </c>
      <c r="W7" t="str">
        <v>Adjustments:</v>
      </c>
      <c r="X7" s="4">
        <f>SUM(X13:X18,X20:X99)</f>
        <v>0</v>
      </c>
      <c r="Z7" t="str">
        <v>Adjustments:</v>
      </c>
      <c r="AA7" s="4">
        <f>SUM(AA13:AA18,AA20:AA99)</f>
        <v>0</v>
      </c>
      <c r="AC7" t="str">
        <v>Adjustments:</v>
      </c>
      <c r="AD7" s="4">
        <f>SUM(AD13:AD18,AD20:AD99)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2592.7</v>
      </c>
      <c r="M8" s="10">
        <v>0.02</v>
      </c>
      <c r="N8" t="str">
        <v>Bond:</v>
      </c>
      <c r="O8" s="4">
        <f>M8*SUM(O6:O7)</f>
        <v>3350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f>IF(L5="FULL SCOPE",SUM(L6:L8),"not level")</f>
        <v>132227.7</v>
      </c>
      <c r="N9" t="str">
        <v>Total Bid:</v>
      </c>
      <c r="O9" s="4">
        <f>IF(O5="FULL SCOPE",SUM(O6:O8),"not level")</f>
        <v>170850</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f>IF(O5="NO","INCOMPLETE",RANK.EQ(O9,$L$9:$AE$9,1))</f>
        <v>2</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122135</v>
      </c>
      <c r="O19" s="8">
        <f>O6</f>
        <v>160000</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Residential Appliances</v>
      </c>
      <c r="C22" t="str">
        <v>#</v>
      </c>
      <c r="D22" t="str">
        <v>$</v>
      </c>
      <c r="I22" s="8">
        <f>H22*F22</f>
        <v>0</v>
      </c>
    </row>
    <row r="23" ht="14.25" customHeight="1">
      <c r="A23">
        <f>A22+1</f>
        <v>5</v>
      </c>
      <c r="B23" t="str">
        <v>Foodservice Equipment</v>
      </c>
      <c r="C23" t="str">
        <v>#</v>
      </c>
      <c r="D23" t="str">
        <v>$</v>
      </c>
      <c r="I23" s="8">
        <f>H23*F23</f>
        <v>0</v>
      </c>
    </row>
    <row r="24" ht="14.25" customHeight="1">
      <c r="A24">
        <f>A23+1</f>
        <v>6</v>
      </c>
      <c r="I24" s="8">
        <f>H24*F24</f>
        <v>0</v>
      </c>
    </row>
    <row r="25" ht="14.25" customHeight="1">
      <c r="A25">
        <f>A24+1</f>
        <v>7</v>
      </c>
      <c r="B25" t="str">
        <v>Key Quantity Breakdown</v>
      </c>
      <c r="I25" s="8">
        <f>H25*F25</f>
        <v>0</v>
      </c>
    </row>
    <row r="26" ht="14.25" customHeight="1">
      <c r="A26">
        <f>A25+1</f>
        <v>8</v>
      </c>
      <c r="B26" t="str">
        <v>Residential Appliances</v>
      </c>
      <c r="C26" t="str">
        <v>#</v>
      </c>
      <c r="D26" t="str">
        <v>EA</v>
      </c>
      <c r="I26" s="8">
        <f>H26*F26</f>
        <v>0</v>
      </c>
    </row>
    <row r="27" ht="14.25" customHeight="1">
      <c r="A27">
        <f>A26+1</f>
        <v>9</v>
      </c>
      <c r="B27" t="str">
        <v>Foodservice Equipment</v>
      </c>
      <c r="C27" t="str">
        <v>#</v>
      </c>
      <c r="D27" t="str">
        <v>EA</v>
      </c>
      <c r="I27" s="8">
        <f>H27*F27</f>
        <v>0</v>
      </c>
    </row>
    <row r="28" ht="14.25" customHeight="1">
      <c r="I28" s="8">
        <f>H28*F28</f>
        <v>0</v>
      </c>
    </row>
    <row r="29" ht="14.25" customHeight="1">
      <c r="B29" t="str">
        <v>Section 3 - Scope of Work</v>
      </c>
    </row>
    <row r="30" ht="14.25" customHeight="1">
      <c r="B30" t="str">
        <v>Furnish and Install All Items UON</v>
      </c>
      <c r="C30" t="str">
        <v>Y</v>
      </c>
    </row>
    <row r="31" ht="14.25" customHeight="1">
      <c r="A31" t="str">
        <v>A</v>
      </c>
      <c r="B31" t="str">
        <v>Specifications</v>
      </c>
    </row>
    <row r="32" ht="14.25" customHeight="1">
      <c r="B32" t="str">
        <v>Division 01 - General Requirements</v>
      </c>
      <c r="C32" t="str">
        <v>Y</v>
      </c>
    </row>
    <row r="33" ht="14.25" customHeight="1">
      <c r="B33" t="str">
        <v>113013 - RESIDENTIAL APPLIANCES</v>
      </c>
      <c r="C33" t="str">
        <v>Y</v>
      </c>
    </row>
    <row r="34" ht="14.25" customHeight="1">
      <c r="B34" t="str">
        <v>114000 - FOODSERVICE EQUIPMENT</v>
      </c>
      <c r="C34" t="str">
        <v>Y</v>
      </c>
    </row>
    <row r="35" ht="14.25" customHeight="1">
      <c r="B35" t="str">
        <v>Geotech Report ID # by Engineer dated YYYY-MM-DD</v>
      </c>
      <c r="C35" t="str">
        <v>Y</v>
      </c>
    </row>
    <row r="36" ht="14.25" customHeight="1">
      <c r="A36" t="str">
        <v>B</v>
      </c>
      <c r="B36" t="str">
        <v>Inclusions</v>
      </c>
    </row>
    <row r="37" ht="14.25" customHeight="1">
      <c r="A37">
        <v>1</v>
      </c>
      <c r="B37" t="str">
        <v>SPECIFIC SCOPE ITEMS</v>
      </c>
      <c r="C37" t="str">
        <v>Y</v>
      </c>
      <c r="I37" s="8">
        <f>H37*F37</f>
        <v>0</v>
      </c>
    </row>
    <row r="38" ht="14.25" customHeight="1">
      <c r="A38">
        <v>2</v>
      </c>
      <c r="B38" t="str">
        <v xml:space="preserve"> Appliances</v>
      </c>
      <c r="C38" t="str">
        <v>Y</v>
      </c>
      <c r="I38" s="8">
        <f>H38*F38</f>
        <v>0</v>
      </c>
      <c r="J38" t="str">
        <v>N/</v>
      </c>
      <c r="L38" s="8">
        <v>7500</v>
      </c>
      <c r="M38" t="str">
        <v>N/</v>
      </c>
      <c r="O38" s="8">
        <v>7500</v>
      </c>
    </row>
    <row r="39" ht="14.25" customHeight="1">
      <c r="A39">
        <v>3</v>
      </c>
      <c r="B39" t="str">
        <v xml:space="preserve">Furnish and deliver (FOB jobsite) the following </v>
      </c>
      <c r="C39" t="str">
        <v>Y</v>
      </c>
      <c r="I39" s="8">
        <f>H39*F39</f>
        <v>0</v>
      </c>
    </row>
    <row r="40" ht="14.25" customHeight="1">
      <c r="A40">
        <v>4</v>
      </c>
      <c r="B40" t="str">
        <v>Cloth Washer</v>
      </c>
      <c r="C40" t="str">
        <v>Y</v>
      </c>
      <c r="I40" s="8">
        <f>H40*F40</f>
        <v>0</v>
      </c>
    </row>
    <row r="41" ht="14.25" customHeight="1">
      <c r="A41">
        <v>5</v>
      </c>
      <c r="B41" t="str">
        <v>Clothes Dryer</v>
      </c>
      <c r="C41" t="str">
        <v>Y</v>
      </c>
      <c r="I41" s="8">
        <f>H41*F41</f>
        <v>0</v>
      </c>
    </row>
    <row r="42" ht="14.25" customHeight="1">
      <c r="A42">
        <v>6</v>
      </c>
      <c r="B42" t="str">
        <v>Include the following accessories:</v>
      </c>
      <c r="C42" t="str">
        <v>Y</v>
      </c>
      <c r="I42" s="8">
        <f>H42*F42</f>
        <v>0</v>
      </c>
    </row>
    <row r="43" ht="14.25" customHeight="1">
      <c r="A43">
        <v>7</v>
      </c>
      <c r="B43" t="str">
        <v>Washer supply &amp; discharge hoses</v>
      </c>
      <c r="C43" t="str">
        <v>Y</v>
      </c>
      <c r="I43" s="8">
        <f>H43*F43</f>
        <v>0</v>
      </c>
    </row>
    <row r="44" ht="14.25" customHeight="1">
      <c r="A44">
        <v>8</v>
      </c>
      <c r="B44" t="str">
        <v>5' of flexible dryer vent duct</v>
      </c>
      <c r="C44" t="str">
        <v>Y</v>
      </c>
      <c r="I44" s="8">
        <f>H44*F44</f>
        <v>0</v>
      </c>
    </row>
    <row r="45" ht="14.25" customHeight="1">
      <c r="A45">
        <v>9</v>
      </c>
      <c r="B45" t="str">
        <v>Use of manufacturers/products specified</v>
      </c>
      <c r="C45" t="str">
        <v>Y</v>
      </c>
      <c r="I45" s="8">
        <f>H45*F45</f>
        <v>0</v>
      </c>
    </row>
    <row r="46" ht="14.25" customHeight="1">
      <c r="A46">
        <v>10</v>
      </c>
      <c r="C46" t="str">
        <v>Y</v>
      </c>
      <c r="I46" s="8">
        <f>H46*F46</f>
        <v>0</v>
      </c>
    </row>
    <row r="47" ht="14.25" customHeight="1">
      <c r="A47">
        <v>11</v>
      </c>
      <c r="B47" t="str">
        <v>Foodservices Equipment</v>
      </c>
      <c r="C47" t="str">
        <v>Y</v>
      </c>
      <c r="I47" s="8">
        <f>H47*F47</f>
        <v>0</v>
      </c>
      <c r="J47" t="str">
        <v>Y</v>
      </c>
    </row>
    <row r="48" ht="14.25" customHeight="1">
      <c r="A48">
        <v>12</v>
      </c>
      <c r="B48" t="str">
        <v>Refer FS drawings</v>
      </c>
      <c r="C48" t="str">
        <v>Y</v>
      </c>
      <c r="I48" s="8">
        <f>H48*F48</f>
        <v>0</v>
      </c>
    </row>
    <row r="49" ht="14.25" customHeight="1">
      <c r="A49">
        <v>13</v>
      </c>
      <c r="C49" t="str">
        <v>Y</v>
      </c>
      <c r="I49" s="8">
        <f>H49*F49</f>
        <v>0</v>
      </c>
    </row>
    <row r="50" ht="14.25" customHeight="1">
      <c r="A50">
        <v>14</v>
      </c>
      <c r="C50" t="str">
        <v>Y</v>
      </c>
      <c r="I50" s="8">
        <f>H50*F50</f>
        <v>0</v>
      </c>
    </row>
    <row r="51" ht="14.25" customHeight="1">
      <c r="A51">
        <v>15</v>
      </c>
      <c r="C51" t="str">
        <v>Y</v>
      </c>
      <c r="I51" s="8">
        <f>H51*F51</f>
        <v>0</v>
      </c>
    </row>
    <row r="52" ht="14.25" customHeight="1">
      <c r="A52">
        <v>16</v>
      </c>
      <c r="C52" t="str">
        <v>Y</v>
      </c>
      <c r="I52" s="8">
        <f>H52*F52</f>
        <v>0</v>
      </c>
    </row>
    <row r="53" ht="14.25" customHeight="1">
      <c r="A53">
        <v>17</v>
      </c>
      <c r="C53" t="str">
        <v>Y</v>
      </c>
      <c r="I53" s="8">
        <f>H53*F53</f>
        <v>0</v>
      </c>
    </row>
    <row r="54" ht="14.25" customHeight="1">
      <c r="A54">
        <v>18</v>
      </c>
      <c r="C54" t="str">
        <v>Y</v>
      </c>
      <c r="I54" s="8">
        <f>H54*F54</f>
        <v>0</v>
      </c>
    </row>
    <row r="55" ht="14.25" customHeight="1">
      <c r="A55">
        <v>19</v>
      </c>
      <c r="C55" t="str">
        <v>Y</v>
      </c>
      <c r="I55" s="8">
        <f>H55*F55</f>
        <v>0</v>
      </c>
    </row>
    <row r="56" ht="14.25" customHeight="1">
      <c r="A56">
        <v>20</v>
      </c>
      <c r="C56" t="str">
        <v>Y</v>
      </c>
      <c r="I56" s="8">
        <f>H56*F56</f>
        <v>0</v>
      </c>
    </row>
    <row r="57" ht="14.25" customHeight="1">
      <c r="A57">
        <v>21</v>
      </c>
      <c r="C57" t="str">
        <v>Y</v>
      </c>
      <c r="I57" s="8">
        <f>H57*F57</f>
        <v>0</v>
      </c>
    </row>
    <row r="58" ht="14.25" customHeight="1">
      <c r="A58">
        <v>22</v>
      </c>
      <c r="C58" t="str">
        <v>Y</v>
      </c>
      <c r="I58" s="8">
        <f>H58*F58</f>
        <v>0</v>
      </c>
    </row>
    <row r="59" ht="14.25" customHeight="1">
      <c r="A59">
        <v>23</v>
      </c>
      <c r="C59" t="str">
        <v>Y</v>
      </c>
      <c r="I59" s="8">
        <f>H59*F59</f>
        <v>0</v>
      </c>
    </row>
    <row r="60" ht="14.25" customHeight="1">
      <c r="A60">
        <v>24</v>
      </c>
      <c r="C60" t="str">
        <v>Y</v>
      </c>
      <c r="I60" s="8">
        <f>H60*F60</f>
        <v>0</v>
      </c>
    </row>
    <row r="61" ht="14.25" customHeight="1">
      <c r="A61">
        <v>25</v>
      </c>
      <c r="C61" t="str">
        <v>Y</v>
      </c>
      <c r="I61" s="8">
        <f>H61*F61</f>
        <v>0</v>
      </c>
    </row>
    <row r="62" ht="14.25" customHeight="1">
      <c r="A62">
        <v>26</v>
      </c>
      <c r="C62" t="str">
        <v>Y</v>
      </c>
      <c r="I62" s="8">
        <f>H62*F62</f>
        <v>0</v>
      </c>
    </row>
    <row r="63" ht="14.25" customHeight="1">
      <c r="A63">
        <v>27</v>
      </c>
      <c r="C63" t="str">
        <v>Y</v>
      </c>
      <c r="I63" s="8">
        <f>H63*F63</f>
        <v>0</v>
      </c>
    </row>
    <row r="64" ht="14.25" customHeight="1">
      <c r="A64">
        <v>28</v>
      </c>
      <c r="C64" t="str">
        <v>Y</v>
      </c>
      <c r="I64" s="8">
        <f>H64*F64</f>
        <v>0</v>
      </c>
    </row>
    <row r="65" ht="14.25" customHeight="1">
      <c r="A65">
        <v>29</v>
      </c>
      <c r="C65" t="str">
        <v>Y</v>
      </c>
      <c r="I65" s="8">
        <f>H65*F65</f>
        <v>0</v>
      </c>
    </row>
    <row r="66" ht="14.25" customHeight="1">
      <c r="A66">
        <v>30</v>
      </c>
      <c r="C66" t="str">
        <v>Y</v>
      </c>
      <c r="I66" s="8">
        <f>H66*F66</f>
        <v>0</v>
      </c>
    </row>
    <row r="67" ht="14.25" customHeight="1">
      <c r="A67">
        <v>31</v>
      </c>
      <c r="C67" t="str">
        <v>Y</v>
      </c>
      <c r="I67" s="8">
        <f>H67*F67</f>
        <v>0</v>
      </c>
    </row>
    <row r="68" ht="14.25" customHeight="1">
      <c r="A68">
        <v>32</v>
      </c>
      <c r="C68" t="str">
        <v>Y</v>
      </c>
      <c r="I68" s="8">
        <f>H68*F68</f>
        <v>0</v>
      </c>
    </row>
    <row r="69" ht="14.25" customHeight="1">
      <c r="A69">
        <v>33</v>
      </c>
      <c r="C69" t="str">
        <v>Y</v>
      </c>
      <c r="I69" s="8">
        <f>H69*F69</f>
        <v>0</v>
      </c>
    </row>
    <row r="70" ht="14.25" customHeight="1">
      <c r="A70">
        <v>34</v>
      </c>
      <c r="C70" t="str">
        <v>Y</v>
      </c>
      <c r="I70" s="8">
        <f>H70*F70</f>
        <v>0</v>
      </c>
    </row>
    <row r="71" ht="14.25" customHeight="1">
      <c r="A71">
        <v>35</v>
      </c>
      <c r="B71" t="str">
        <v>STANDARD / GENERAL SCOPE</v>
      </c>
      <c r="C71" t="str">
        <v>Y</v>
      </c>
      <c r="I71" s="8">
        <f>H71*F71</f>
        <v>0</v>
      </c>
    </row>
    <row r="72" ht="14.25" customHeight="1">
      <c r="A72">
        <v>36</v>
      </c>
      <c r="B72" t="str">
        <v>Include all mat'l, labor, tools, equipment, hoisting, supervision, etc for your work</v>
      </c>
      <c r="C72" t="str">
        <v>Y</v>
      </c>
      <c r="I72" s="8">
        <f>H72*F72</f>
        <v>0</v>
      </c>
    </row>
    <row r="73" ht="14.25" customHeight="1">
      <c r="A73">
        <v>37</v>
      </c>
      <c r="B73" t="str">
        <v>Assume free use of GC's material hoist</v>
      </c>
      <c r="C73" t="str">
        <v>Y</v>
      </c>
      <c r="I73" s="8">
        <f>H73*F73</f>
        <v>0</v>
      </c>
    </row>
    <row r="74" ht="14.25" customHeight="1">
      <c r="A74">
        <v>38</v>
      </c>
      <c r="B74" t="str">
        <v>Clean up to MCN dumpster</v>
      </c>
      <c r="C74" t="str">
        <v>Y</v>
      </c>
      <c r="I74" s="8">
        <f>H74*F74</f>
        <v>0</v>
      </c>
    </row>
    <row r="75" ht="14.25" customHeight="1">
      <c r="A75">
        <v>39</v>
      </c>
      <c r="B75" t="str">
        <v>Shop dwgs, samples, product data, etc</v>
      </c>
      <c r="C75" t="str">
        <v>Y</v>
      </c>
      <c r="I75" s="8">
        <f>H75*F75</f>
        <v>0</v>
      </c>
    </row>
    <row r="76" ht="14.25" customHeight="1">
      <c r="I76" s="8">
        <f>H76*F76</f>
        <v>0</v>
      </c>
    </row>
    <row r="77" ht="14.25" customHeight="1">
      <c r="A77" t="str">
        <v>C</v>
      </c>
      <c r="B77" t="str">
        <v>Exclusions</v>
      </c>
    </row>
    <row r="78" ht="14.25" customHeight="1">
      <c r="A78">
        <v>1</v>
      </c>
      <c r="B78" t="str">
        <v>Plumbing and HVAC hook-ups</v>
      </c>
      <c r="C78" t="str">
        <v>N</v>
      </c>
      <c r="D78" t="str">
        <v>by M/P</v>
      </c>
    </row>
    <row r="79" ht="14.25" customHeight="1">
      <c r="A79">
        <f>A78+1</f>
        <v>2</v>
      </c>
      <c r="B79" t="str">
        <v>Pans at diswashers/washing machines</v>
      </c>
      <c r="C79" t="str">
        <v>N</v>
      </c>
      <c r="D79" t="str">
        <v>by plumbing</v>
      </c>
    </row>
    <row r="80" ht="14.25" customHeight="1"/>
    <row r="81" ht="14.25" customHeight="1">
      <c r="A81" t="str">
        <v>D</v>
      </c>
      <c r="B81" t="str">
        <v>Schedule</v>
      </c>
    </row>
    <row r="82" ht="14.25" customHeight="1">
      <c r="A82">
        <v>1</v>
      </c>
      <c r="B82" t="str">
        <v>Meet MCN Schedule</v>
      </c>
      <c r="C82" t="str">
        <v>Y</v>
      </c>
    </row>
    <row r="83" ht="14.25" customHeight="1">
      <c r="A83">
        <f>A82+1</f>
        <v>2</v>
      </c>
      <c r="B83" t="str">
        <v>Advise of Durations</v>
      </c>
    </row>
    <row r="84" ht="14.25" customHeight="1">
      <c r="A84">
        <f>A83+1</f>
        <v>3</v>
      </c>
      <c r="B84" t="str">
        <v>Activity 1</v>
      </c>
      <c r="C84" t="str">
        <v>---&gt;</v>
      </c>
    </row>
    <row r="85" ht="14.25" customHeight="1">
      <c r="A85">
        <f>A84+1</f>
        <v>4</v>
      </c>
      <c r="B85" t="str">
        <v>Activity 2</v>
      </c>
      <c r="C85" t="str">
        <v>---&gt;</v>
      </c>
    </row>
    <row r="86" ht="14.25" customHeight="1">
      <c r="A86">
        <f>A85+1</f>
        <v>5</v>
      </c>
      <c r="B86" t="str">
        <v>Activity 3</v>
      </c>
      <c r="C86" t="str">
        <v>---&gt;</v>
      </c>
    </row>
    <row r="87" ht="14.25" customHeight="1">
      <c r="A87">
        <f>A86+1</f>
        <v>6</v>
      </c>
      <c r="B87" t="str">
        <v>Duration for Submittals and Shop Drawings</v>
      </c>
      <c r="C87" t="str">
        <v>---&gt;</v>
      </c>
    </row>
    <row r="88" ht="14.25" customHeight="1">
      <c r="A88">
        <f>A87+1</f>
        <v>7</v>
      </c>
      <c r="B88" t="str">
        <v>Advise of Lead Times:</v>
      </c>
    </row>
    <row r="89" ht="14.25" customHeight="1">
      <c r="A89">
        <f>A88+1</f>
        <v>8</v>
      </c>
      <c r="B89" t="str">
        <v>Material 1</v>
      </c>
      <c r="C89" t="str">
        <v>---&gt;</v>
      </c>
    </row>
    <row r="90" ht="14.25" customHeight="1">
      <c r="A90">
        <f>A89+1</f>
        <v>9</v>
      </c>
      <c r="B90" t="str">
        <v>Material 2</v>
      </c>
      <c r="C90" t="str">
        <v>---&gt;</v>
      </c>
    </row>
    <row r="91" ht="14.25" customHeight="1">
      <c r="A91">
        <f>A90+1</f>
        <v>10</v>
      </c>
      <c r="B91" t="str">
        <v>Material 3</v>
      </c>
      <c r="C91" t="str">
        <v>---&gt;</v>
      </c>
    </row>
    <row r="92" ht="14.25" customHeight="1"/>
    <row r="93" ht="14.25" customHeight="1"/>
    <row r="94" ht="14.25" customHeight="1">
      <c r="B94" t="str">
        <v>Allowances</v>
      </c>
    </row>
    <row r="95" ht="14.25" customHeight="1">
      <c r="A95">
        <v>1</v>
      </c>
    </row>
    <row r="96" ht="14.25" customHeight="1">
      <c r="A96">
        <f>A95+1</f>
        <v>2</v>
      </c>
    </row>
    <row r="97" ht="14.25" customHeight="1">
      <c r="A97">
        <f>A96+1</f>
        <v>3</v>
      </c>
    </row>
    <row r="98" ht="14.25" customHeight="1">
      <c r="A98">
        <f>A97+1</f>
        <v>4</v>
      </c>
    </row>
    <row r="99" ht="14.25" customHeight="1"/>
    <row r="100" ht="14.25" customHeight="1"/>
    <row r="101" ht="14.25" customHeight="1">
      <c r="B101" t="str">
        <v>Alternates</v>
      </c>
    </row>
    <row r="102" ht="14.25" customHeight="1">
      <c r="A102">
        <v>1</v>
      </c>
      <c r="B102" t="str">
        <v>Provide an add price to unload, uncrate &amp; install/set in place appliances</v>
      </c>
      <c r="C102" t="str">
        <v>#</v>
      </c>
    </row>
    <row r="103" ht="14.25" customHeight="1">
      <c r="A103">
        <f>A102+1</f>
        <v>2</v>
      </c>
      <c r="C103" t="str">
        <v>#</v>
      </c>
    </row>
    <row r="104" ht="14.25" customHeight="1">
      <c r="A104">
        <f>A103+1</f>
        <v>3</v>
      </c>
      <c r="C104" t="str">
        <v>#</v>
      </c>
    </row>
    <row r="105" ht="14.25" customHeight="1">
      <c r="A105">
        <f>A104+1</f>
        <v>4</v>
      </c>
      <c r="C105" t="str">
        <v>#</v>
      </c>
    </row>
    <row r="106" ht="14.25" customHeight="1">
      <c r="C106" t="str">
        <v>#</v>
      </c>
    </row>
    <row r="107" ht="14.25" customHeight="1">
      <c r="B107" t="str">
        <v>Unit Prices</v>
      </c>
    </row>
    <row r="108" ht="14.25" customHeight="1">
      <c r="A108">
        <v>1</v>
      </c>
      <c r="C108" t="str">
        <v>#</v>
      </c>
    </row>
    <row r="109" ht="14.25" customHeight="1">
      <c r="A109">
        <f>A108+1</f>
        <v>2</v>
      </c>
      <c r="C109" t="str">
        <v>#</v>
      </c>
    </row>
    <row r="110" ht="14.25" customHeight="1">
      <c r="A110">
        <f>A109+1</f>
        <v>3</v>
      </c>
      <c r="C110" t="str">
        <v>#</v>
      </c>
    </row>
    <row r="111" ht="14.25" customHeight="1">
      <c r="A111">
        <f>A110+1</f>
        <v>4</v>
      </c>
      <c r="C111" t="str">
        <v>#</v>
      </c>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s>
  <pageMargins left="0.7" right="0.7" top="0.25" bottom="0.75" header="0" footer="0"/>
  <ignoredErrors>
    <ignoredError numberStoredAsText="1" sqref="A1:AO1000"/>
  </ignoredErrors>
</worksheet>
</file>

<file path=xl/worksheets/sheet28.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29"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Degler Whiting</v>
      </c>
      <c r="N1" t="str">
        <v>TJ Distributor</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Andrew</v>
      </c>
      <c r="N2" t="str">
        <v>Jason</v>
      </c>
      <c r="Q2" t="str">
        <v>Name</v>
      </c>
      <c r="T2" t="str">
        <v>Name</v>
      </c>
      <c r="W2" t="str">
        <v>Name</v>
      </c>
      <c r="Z2" t="str">
        <v>Name</v>
      </c>
      <c r="AC2" t="str">
        <v>Name</v>
      </c>
      <c r="AH2" t="str">
        <v>MCN</v>
      </c>
      <c r="AM2" s="8">
        <f>I9</f>
        <v>0</v>
      </c>
    </row>
    <row r="3" ht="14.25" customHeight="1" outlineLevel="1">
      <c r="I3" t="str">
        <v>Email:</v>
      </c>
      <c r="K3" t="str">
        <v xml:space="preserve">andrew@deglerwhiting.com </v>
      </c>
      <c r="N3" t="str">
        <v xml:space="preserve">jason@tjdistributors.com </v>
      </c>
      <c r="Q3" t="str">
        <v>Email</v>
      </c>
      <c r="T3" t="str">
        <v>Email</v>
      </c>
      <c r="W3" t="str">
        <v>Email</v>
      </c>
      <c r="Z3" t="str">
        <v>Email</v>
      </c>
      <c r="AC3" t="str">
        <v>Email</v>
      </c>
      <c r="AH3">
        <v>1</v>
      </c>
      <c r="AI3" t="str">
        <f>IFNA(INDEX($K$1:$AE$1,1,MATCH($AH3,$K$10:$AE$10,0)),"")</f>
        <v>TJ Distributor</v>
      </c>
      <c r="AJ3" s="3">
        <f t="array" ref="AJ3">IFNA(INDEX($K$6:$AE$6,1,MATCH($AH3,$K$10:$AE$10,0)+1),"")</f>
        <v>173300</v>
      </c>
      <c r="AK3" s="3">
        <f t="array" ref="AK3">IFNA(INDEX($K$7:$AE$7,1,MATCH($AH3,$K$10:$AE$10,0)+1),"")</f>
        <v>23700</v>
      </c>
      <c r="AL3" s="3">
        <f t="array" ref="AL3">IFNA(INDEX($K$8:$AE$8,1,MATCH($AH3,$K$10:$AE$10,0)+1),"")</f>
        <v>3940</v>
      </c>
      <c r="AM3" s="3">
        <f t="array" ref="AM3">IFNA(INDEX($K$9:$AE$9,1,MATCH($AH3,$K$10:$AE$10,0)+1),"")</f>
        <v>200940</v>
      </c>
      <c r="AO3" s="9">
        <f>IFERROR(AN3*AM3,0)</f>
        <v>0</v>
      </c>
    </row>
    <row r="4" ht="14.25" customHeight="1" outlineLevel="1">
      <c r="A4" t="str">
        <v>Trade:</v>
      </c>
      <c r="B4" t="str">
        <v>11 - ATHELTIC EQUIPMENT</v>
      </c>
      <c r="I4" t="str">
        <v>Phone:</v>
      </c>
      <c r="K4" t="str">
        <v xml:space="preserve">484-323-2316 </v>
      </c>
      <c r="N4" t="str">
        <v>410-638-6358</v>
      </c>
      <c r="Q4" t="str">
        <v>Number</v>
      </c>
      <c r="T4" t="str">
        <v>Number</v>
      </c>
      <c r="W4" t="str">
        <v>Number</v>
      </c>
      <c r="Z4" t="str">
        <v>Number</v>
      </c>
      <c r="AC4" t="str">
        <v>Number</v>
      </c>
      <c r="AH4">
        <v>2</v>
      </c>
      <c r="AI4" t="str">
        <f>IFNA(INDEX($K$1:$AE$1,1,MATCH($AH4,$K$10:$AE$10,0)),"")</f>
        <v>Degler Whiting</v>
      </c>
      <c r="AJ4" s="3">
        <f t="array" ref="AJ4">IFNA(INDEX($K$6:$AE$6,1,MATCH($AH4,$K$10:$AE$10,0)+1),"")</f>
        <v>147940</v>
      </c>
      <c r="AK4" s="3">
        <f t="array" ref="AK4">IFNA(INDEX($K$7:$AE$7,1,MATCH($AH4,$K$10:$AE$10,0)+1),"")</f>
        <v>53606</v>
      </c>
      <c r="AL4" s="3">
        <f t="array" ref="AL4">IFNA(INDEX($K$8:$AE$8,1,MATCH($AH4,$K$10:$AE$10,0)+1),"")</f>
        <v>4030.92</v>
      </c>
      <c r="AM4" s="3">
        <f t="array" ref="AM4">IFNA(INDEX($K$9:$AE$9,1,MATCH($AH4,$K$10:$AE$10,0)+1),"")</f>
        <v>205576.92</v>
      </c>
      <c r="AO4" s="9">
        <f>IFERROR(AN4*AM4,0)</f>
        <v>0</v>
      </c>
    </row>
    <row r="5" ht="14.25" customHeight="1" outlineLevel="1">
      <c r="A5" t="str">
        <v>Rev/Date:</v>
      </c>
      <c r="B5" t="str">
        <v>Date Issued MM-DD-YYYY</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147940</v>
      </c>
      <c r="N6" t="str">
        <v>Base Bid:</v>
      </c>
      <c r="O6" s="4">
        <v>173300</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SUM(I20:I94,I13:I18)</f>
        <v>0</v>
      </c>
      <c r="K7" t="str">
        <v>Adjustments:</v>
      </c>
      <c r="L7" s="4">
        <f>SUM(L13:L18,L20:L94)</f>
        <v>53606</v>
      </c>
      <c r="N7" t="str">
        <v>Adjustments:</v>
      </c>
      <c r="O7" s="4">
        <f>SUM(O13:O18,O20:O94)</f>
        <v>23700</v>
      </c>
      <c r="Q7" t="str">
        <v>Adjustments:</v>
      </c>
      <c r="R7" s="4">
        <f>SUM(R13:R18,R20:R94)</f>
        <v>0</v>
      </c>
      <c r="T7" t="str">
        <v>Adjustments:</v>
      </c>
      <c r="U7" s="4">
        <f>SUM(U13:U18,U20:U94)</f>
        <v>0</v>
      </c>
      <c r="W7" t="str">
        <v>Adjustments:</v>
      </c>
      <c r="X7" s="4">
        <f>SUM(X13:X18,X20:X94)</f>
        <v>0</v>
      </c>
      <c r="Z7" t="str">
        <v>Adjustments:</v>
      </c>
      <c r="AA7" s="4">
        <f>SUM(AA13:AA18,AA20:AA94)</f>
        <v>0</v>
      </c>
      <c r="AC7" t="str">
        <v>Adjustments:</v>
      </c>
      <c r="AD7" s="4">
        <f>SUM(AD13:AD18,AD20:AD94)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4030.92</v>
      </c>
      <c r="M8" s="10">
        <v>0.02</v>
      </c>
      <c r="N8" t="str">
        <v>Bond:</v>
      </c>
      <c r="O8" s="4">
        <f>M8*SUM(O6:O7)</f>
        <v>3940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f>IF(L5="FULL SCOPE",SUM(L6:L8),"not level")</f>
        <v>205576.92</v>
      </c>
      <c r="N9" t="str">
        <v>Total Bid:</v>
      </c>
      <c r="O9" s="4">
        <f>IF(O5="FULL SCOPE",SUM(O6:O8),"not level")</f>
        <v>200940</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147940</v>
      </c>
      <c r="O19" s="8">
        <f>O6</f>
        <v>173300</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 xml:space="preserve">GYMNASIUM EQUIPMENT </v>
      </c>
      <c r="C22" t="str">
        <v>#</v>
      </c>
      <c r="D22" t="str">
        <v>$</v>
      </c>
      <c r="I22" s="8">
        <f>H22*F22</f>
        <v>0</v>
      </c>
    </row>
    <row r="23" ht="14.25" customHeight="1">
      <c r="A23">
        <f>A22+1</f>
        <v>5</v>
      </c>
      <c r="B23" t="str">
        <v xml:space="preserve">DIVIDERS </v>
      </c>
      <c r="C23" t="str">
        <v>#</v>
      </c>
      <c r="D23" t="str">
        <v>$</v>
      </c>
      <c r="I23" s="8">
        <f>H23*F23</f>
        <v>0</v>
      </c>
    </row>
    <row r="24" ht="14.25" customHeight="1">
      <c r="A24">
        <f>A23+1</f>
        <v>6</v>
      </c>
      <c r="B24" t="str">
        <v>FIXED BLEACHER</v>
      </c>
      <c r="C24" t="str">
        <v>#</v>
      </c>
      <c r="D24" t="str">
        <v>$</v>
      </c>
      <c r="I24" s="8">
        <f>H24*F24</f>
        <v>0</v>
      </c>
    </row>
    <row r="25" ht="14.25" customHeight="1">
      <c r="A25">
        <f>A24+1</f>
        <v>7</v>
      </c>
      <c r="I25" s="8">
        <f>H25*F25</f>
        <v>0</v>
      </c>
    </row>
    <row r="26" hidden="1" ht="14.25" customHeight="1">
      <c r="A26">
        <f>A25+1</f>
        <v>8</v>
      </c>
      <c r="B26" t="str">
        <v>Key Quantity Breakdown</v>
      </c>
      <c r="I26" s="8">
        <f>H26*F26</f>
        <v>0</v>
      </c>
    </row>
    <row r="27" hidden="1" ht="14.25" customHeight="1">
      <c r="A27">
        <f>A26+1</f>
        <v>9</v>
      </c>
      <c r="B27" t="str">
        <v>Stuff</v>
      </c>
      <c r="C27" t="str">
        <v>#</v>
      </c>
      <c r="D27" t="str">
        <v>CY</v>
      </c>
      <c r="I27" s="8">
        <f>H27*F27</f>
        <v>0</v>
      </c>
    </row>
    <row r="28" hidden="1" ht="14.25" customHeight="1">
      <c r="A28">
        <f>A27+1</f>
        <v>10</v>
      </c>
      <c r="B28" t="str">
        <v>Thing</v>
      </c>
      <c r="C28" t="str">
        <v>#</v>
      </c>
      <c r="D28" t="str">
        <v>SF</v>
      </c>
      <c r="I28" s="8">
        <f>H28*F28</f>
        <v>0</v>
      </c>
    </row>
    <row r="29" hidden="1" ht="14.25" customHeight="1">
      <c r="A29">
        <f>A28+1</f>
        <v>11</v>
      </c>
      <c r="B29" t="str">
        <v>Stuff 2</v>
      </c>
      <c r="C29" t="str">
        <v>#</v>
      </c>
      <c r="D29" t="str">
        <v>LF</v>
      </c>
      <c r="I29" s="8">
        <f>H29*F29</f>
        <v>0</v>
      </c>
    </row>
    <row r="30" hidden="1" ht="14.25" customHeight="1">
      <c r="A30">
        <f>A29+1</f>
        <v>12</v>
      </c>
      <c r="B30" t="str">
        <v>Item</v>
      </c>
      <c r="C30" t="str">
        <v>#</v>
      </c>
      <c r="D30" t="str">
        <v>EA</v>
      </c>
      <c r="I30" s="8">
        <f>H30*F30</f>
        <v>0</v>
      </c>
    </row>
    <row r="31" hidden="1" ht="14.25" customHeight="1">
      <c r="I31" s="8">
        <f>H31*F31</f>
        <v>0</v>
      </c>
    </row>
    <row r="32" ht="14.25" customHeight="1">
      <c r="B32" t="str">
        <v>Section 3 - Scope of Work</v>
      </c>
    </row>
    <row r="33" ht="14.25" customHeight="1">
      <c r="B33" t="str">
        <v>Furnish and Install All Items UON</v>
      </c>
      <c r="C33" t="str">
        <v>Y</v>
      </c>
    </row>
    <row r="34" ht="14.25" customHeight="1">
      <c r="A34" t="str">
        <v>A</v>
      </c>
      <c r="B34" t="str">
        <v>Specifications</v>
      </c>
    </row>
    <row r="35" ht="14.25" customHeight="1">
      <c r="B35" t="str">
        <v>Division 01 - General Requirements</v>
      </c>
      <c r="C35" t="str">
        <v>Y</v>
      </c>
    </row>
    <row r="36" ht="14.25" customHeight="1">
      <c r="B36" t="str">
        <v xml:space="preserve">11 66 23 -  GYMNASIUM EQUIPMENT </v>
      </c>
      <c r="C36" t="str">
        <v>Y</v>
      </c>
    </row>
    <row r="37" ht="14.25" customHeight="1">
      <c r="B37" t="str">
        <v xml:space="preserve">11 66 53 - GYMNASIUM DIVIDERS </v>
      </c>
      <c r="C37" t="str">
        <v>Y</v>
      </c>
    </row>
    <row r="38" ht="14.25" customHeight="1">
      <c r="B38" t="str">
        <v>Geotech Report ID # by Engineer dated YYYY-MM-DD</v>
      </c>
      <c r="C38" t="str">
        <v>Y</v>
      </c>
    </row>
    <row r="39" ht="14.25" customHeight="1">
      <c r="A39" t="str">
        <v>B</v>
      </c>
      <c r="B39" t="str">
        <v>Inclusions</v>
      </c>
    </row>
    <row r="40" ht="14.25" customHeight="1">
      <c r="A40">
        <v>1</v>
      </c>
      <c r="B40" t="str">
        <v>SPECIFIC SCOPE ITEMS</v>
      </c>
      <c r="C40" t="str">
        <v>Y</v>
      </c>
      <c r="I40" s="8">
        <f>H40*F40</f>
        <v>0</v>
      </c>
      <c r="J40" t="str">
        <v>Y</v>
      </c>
      <c r="M40" t="str">
        <v>Y</v>
      </c>
    </row>
    <row r="41" ht="14.25" customHeight="1">
      <c r="A41">
        <f>A40+1</f>
        <v>2</v>
      </c>
      <c r="B41" t="str">
        <v xml:space="preserve"> GYMNASIUM EQUIPMENT </v>
      </c>
      <c r="C41" t="str">
        <v>Y</v>
      </c>
      <c r="I41" s="8">
        <f>H41*F41</f>
        <v>0</v>
      </c>
      <c r="J41" t="str">
        <v>Y</v>
      </c>
      <c r="L41" s="8">
        <f>5040+1493</f>
        <v>6533</v>
      </c>
      <c r="M41" t="str">
        <v>Y</v>
      </c>
    </row>
    <row r="42" ht="14.25" customHeight="1">
      <c r="A42">
        <f>A41+1</f>
        <v>3</v>
      </c>
      <c r="B42" t="str">
        <v>Furnish and Install gym equipments in the drawings including but not limited to:</v>
      </c>
      <c r="C42" t="str">
        <v>Y</v>
      </c>
      <c r="I42" s="8">
        <f>H42*F42</f>
        <v>0</v>
      </c>
      <c r="J42" t="str">
        <v>Y</v>
      </c>
      <c r="M42" t="str">
        <v>Y</v>
      </c>
    </row>
    <row r="43" ht="14.25" customHeight="1">
      <c r="A43">
        <f>A42+1</f>
        <v>4</v>
      </c>
      <c r="B43" t="str">
        <v>Basketball Equipment</v>
      </c>
      <c r="C43" t="str">
        <v>Y</v>
      </c>
      <c r="I43" s="8">
        <f>H43*F43</f>
        <v>0</v>
      </c>
      <c r="J43" t="str">
        <v>Y</v>
      </c>
      <c r="M43" t="str">
        <v>Y</v>
      </c>
    </row>
    <row r="44" ht="14.25" customHeight="1">
      <c r="A44">
        <f>A43+1</f>
        <v>5</v>
      </c>
      <c r="B44" t="str">
        <v>Volleyball Equipment</v>
      </c>
      <c r="C44" t="str">
        <v>Y</v>
      </c>
      <c r="I44" s="8">
        <f>H44*F44</f>
        <v>0</v>
      </c>
      <c r="J44" t="str">
        <v>N</v>
      </c>
      <c r="L44" s="8">
        <v>21500</v>
      </c>
      <c r="M44" t="str">
        <v>Y</v>
      </c>
    </row>
    <row r="45" ht="14.25" customHeight="1">
      <c r="A45">
        <f>A44+1</f>
        <v>6</v>
      </c>
      <c r="B45" t="str">
        <v>Safety Pads</v>
      </c>
      <c r="C45" t="str">
        <v>Y</v>
      </c>
      <c r="I45" s="8">
        <f>H45*F45</f>
        <v>0</v>
      </c>
      <c r="J45" t="str">
        <v>Y</v>
      </c>
      <c r="M45" t="str">
        <v>Y</v>
      </c>
    </row>
    <row r="46" ht="14.25" customHeight="1">
      <c r="A46">
        <f>A45+1</f>
        <v>7</v>
      </c>
      <c r="B46" t="str">
        <v xml:space="preserve">Gymnasium control center </v>
      </c>
      <c r="C46" t="str">
        <v>Y</v>
      </c>
      <c r="I46" s="8">
        <f>H46*F46</f>
        <v>0</v>
      </c>
      <c r="J46" t="str">
        <v>Y</v>
      </c>
      <c r="M46" t="str">
        <v>Y</v>
      </c>
    </row>
    <row r="47" ht="14.25" customHeight="1">
      <c r="A47">
        <f>A46+1</f>
        <v>8</v>
      </c>
      <c r="B47" t="str">
        <v>Scoreboards</v>
      </c>
      <c r="C47" t="str">
        <v>Y</v>
      </c>
      <c r="I47" s="8">
        <f>H47*F47</f>
        <v>0</v>
      </c>
      <c r="J47" t="str">
        <v>Y</v>
      </c>
      <c r="M47" t="str">
        <v>Y</v>
      </c>
    </row>
    <row r="48" ht="14.25" customHeight="1">
      <c r="A48">
        <f>A47+1</f>
        <v>9</v>
      </c>
      <c r="B48" t="str">
        <v>Provide mounting plates, brackets, anchors, hardware, electrical wiring and components, structural steel fabrications</v>
      </c>
      <c r="C48" t="str">
        <v>Y</v>
      </c>
      <c r="I48" s="8">
        <f>H48*F48</f>
        <v>0</v>
      </c>
      <c r="J48" t="str">
        <v>Y</v>
      </c>
      <c r="M48" t="str">
        <v>Y</v>
      </c>
    </row>
    <row r="49" ht="14.25" customHeight="1">
      <c r="A49">
        <f>A48+1</f>
        <v>10</v>
      </c>
      <c r="B49" t="str">
        <v>Basketbal equipment to include but not limited to backstop assembly, backboard, goal, overhead structure</v>
      </c>
      <c r="C49" t="str">
        <v>Y</v>
      </c>
      <c r="I49" s="8">
        <f>H49*F49</f>
        <v>0</v>
      </c>
      <c r="J49" t="str">
        <v>Y</v>
      </c>
      <c r="M49" t="str">
        <v>Y</v>
      </c>
    </row>
    <row r="50" ht="14.25" customHeight="1">
      <c r="A50">
        <f>A49+1</f>
        <v>11</v>
      </c>
      <c r="B50" t="str">
        <v>Include wall mounted touch screen control system</v>
      </c>
      <c r="C50" t="str">
        <v>Y</v>
      </c>
      <c r="I50" s="8">
        <f>H50*F50</f>
        <v>0</v>
      </c>
      <c r="J50" t="str">
        <v>Y</v>
      </c>
      <c r="M50" t="str">
        <v>Y</v>
      </c>
    </row>
    <row r="51" ht="14.25" customHeight="1">
      <c r="A51">
        <f>A50+1</f>
        <v>12</v>
      </c>
      <c r="B51" t="str">
        <v>Floor-mounted equipment to include but not limited to: volley ball nets and posts, floor sleeves for posts</v>
      </c>
      <c r="C51" t="str">
        <v>Y</v>
      </c>
      <c r="I51" s="8">
        <f>H51*F51</f>
        <v>0</v>
      </c>
      <c r="J51" t="str">
        <v>Y</v>
      </c>
      <c r="M51" t="str">
        <v>Y</v>
      </c>
    </row>
    <row r="52" ht="14.25" customHeight="1">
      <c r="A52">
        <f>A51+1</f>
        <v>13</v>
      </c>
      <c r="B52" t="str">
        <v>Include Wall padding</v>
      </c>
      <c r="C52" t="str">
        <v>Y</v>
      </c>
      <c r="I52" s="8">
        <f>H52*F52</f>
        <v>0</v>
      </c>
      <c r="J52" t="str">
        <v>Y</v>
      </c>
      <c r="M52" t="str">
        <v>Y</v>
      </c>
    </row>
    <row r="53" ht="14.25" customHeight="1">
      <c r="A53">
        <f>A52+1</f>
        <v>14</v>
      </c>
      <c r="B53" t="str">
        <v>Provide Score Boards and Scoring Console as per specs</v>
      </c>
      <c r="C53" t="str">
        <v>Y</v>
      </c>
      <c r="I53" s="8">
        <f>H53*F53</f>
        <v>0</v>
      </c>
      <c r="J53" t="str">
        <v>Y</v>
      </c>
      <c r="M53" t="str">
        <v>Y</v>
      </c>
    </row>
    <row r="54" ht="14.25" customHeight="1">
      <c r="A54">
        <f>A53+1</f>
        <v>15</v>
      </c>
      <c r="C54" t="str">
        <v>Y</v>
      </c>
      <c r="I54" s="8">
        <f>H54*F54</f>
        <v>0</v>
      </c>
      <c r="J54" t="str">
        <v>Y</v>
      </c>
      <c r="M54" t="str">
        <v>Y</v>
      </c>
    </row>
    <row r="55" ht="14.25" customHeight="1">
      <c r="A55">
        <f>A54+1</f>
        <v>16</v>
      </c>
      <c r="B55" t="str">
        <v xml:space="preserve">GYMNASIUM DIVIDERS </v>
      </c>
      <c r="C55" t="str">
        <v>Y</v>
      </c>
      <c r="I55" s="8">
        <f>H55*F55</f>
        <v>0</v>
      </c>
      <c r="J55" t="str">
        <v>Y</v>
      </c>
      <c r="M55" t="str">
        <v>Y</v>
      </c>
    </row>
    <row r="56" ht="14.25" customHeight="1">
      <c r="A56">
        <f>A55+1</f>
        <v>17</v>
      </c>
      <c r="B56" t="str">
        <v>Furnish and Install gym dividers in the drawings including but not limited to:</v>
      </c>
      <c r="C56" t="str">
        <v>Y</v>
      </c>
      <c r="I56" s="8">
        <f>H56*F56</f>
        <v>0</v>
      </c>
      <c r="J56" t="str">
        <v>Y</v>
      </c>
      <c r="M56" t="str">
        <v>Y</v>
      </c>
    </row>
    <row r="57" ht="14.25" customHeight="1">
      <c r="A57">
        <f>A56+1</f>
        <v>18</v>
      </c>
      <c r="B57" t="str">
        <v>Roll-up divider systems (GYC-01 &amp; GYC-02)</v>
      </c>
      <c r="C57" t="str">
        <v>Y</v>
      </c>
      <c r="I57" s="8">
        <f>H57*F57</f>
        <v>0</v>
      </c>
      <c r="J57" t="str">
        <v>Y</v>
      </c>
      <c r="M57" t="str">
        <v>Y</v>
      </c>
    </row>
    <row r="58" ht="14.25" customHeight="1">
      <c r="A58">
        <f>A57+1</f>
        <v>19</v>
      </c>
      <c r="B58" t="str">
        <v>Divider curtains</v>
      </c>
      <c r="C58" t="str">
        <v>Y</v>
      </c>
      <c r="I58" s="8">
        <f>H58*F58</f>
        <v>0</v>
      </c>
      <c r="J58" t="str">
        <v>Y</v>
      </c>
      <c r="M58" t="str">
        <v>Y</v>
      </c>
    </row>
    <row r="59" ht="14.25" customHeight="1">
      <c r="A59">
        <f>A58+1</f>
        <v>20</v>
      </c>
      <c r="B59" t="str">
        <v>Electric operator for the Work</v>
      </c>
      <c r="C59" t="str">
        <v>Y</v>
      </c>
      <c r="I59" s="8">
        <f>H59*F59</f>
        <v>0</v>
      </c>
      <c r="J59" t="str">
        <v>Y</v>
      </c>
      <c r="M59" t="str">
        <v>Y</v>
      </c>
    </row>
    <row r="60" ht="14.25" customHeight="1">
      <c r="A60">
        <f>A59+1</f>
        <v>21</v>
      </c>
      <c r="B60" t="str">
        <v>Divider system accessories</v>
      </c>
      <c r="C60" t="str">
        <v>Y</v>
      </c>
      <c r="I60" s="8">
        <f>H60*F60</f>
        <v>0</v>
      </c>
      <c r="J60" t="str">
        <v>Y</v>
      </c>
      <c r="M60" t="str">
        <v>Y</v>
      </c>
    </row>
    <row r="61" ht="14.25" customHeight="1">
      <c r="A61">
        <f>A60+1</f>
        <v>22</v>
      </c>
      <c r="C61" t="str">
        <v>Y</v>
      </c>
      <c r="I61" s="8">
        <f>H61*F61</f>
        <v>0</v>
      </c>
      <c r="J61" t="str">
        <v>Y</v>
      </c>
      <c r="M61" t="str">
        <v>Y</v>
      </c>
    </row>
    <row r="62" ht="14.25" customHeight="1">
      <c r="A62">
        <f>A61+1</f>
        <v>23</v>
      </c>
      <c r="B62" t="str">
        <v>FIXED BLEACHER</v>
      </c>
      <c r="C62" t="str">
        <v>Y</v>
      </c>
      <c r="I62" s="8">
        <f>H62*F62</f>
        <v>0</v>
      </c>
      <c r="J62" t="str">
        <v>Y</v>
      </c>
      <c r="L62" s="8">
        <f>24480+845+248</f>
        <v>25573</v>
      </c>
      <c r="M62" t="str">
        <v>Y</v>
      </c>
      <c r="O62" s="8">
        <v>23700</v>
      </c>
    </row>
    <row r="63" ht="14.25" customHeight="1">
      <c r="A63">
        <f>A62+1</f>
        <v>24</v>
      </c>
      <c r="B63" t="str">
        <v>Furnish and Install Portable bleacher in the drawings including but not limited to:</v>
      </c>
      <c r="C63" t="str">
        <v>Y</v>
      </c>
      <c r="I63" s="8">
        <f>H63*F63</f>
        <v>0</v>
      </c>
      <c r="J63" t="str">
        <v>Y</v>
      </c>
      <c r="M63" t="str">
        <v>Y</v>
      </c>
    </row>
    <row r="64" ht="14.25" customHeight="1">
      <c r="A64">
        <f>A63+1</f>
        <v>25</v>
      </c>
      <c r="B64" t="str">
        <v xml:space="preserve">Provide and install bleachers </v>
      </c>
      <c r="C64" t="str">
        <v>Y</v>
      </c>
      <c r="I64" s="8">
        <f>H64*F64</f>
        <v>0</v>
      </c>
      <c r="J64" t="str">
        <v>Y</v>
      </c>
      <c r="M64" t="str">
        <v>Y</v>
      </c>
    </row>
    <row r="65" ht="14.25" customHeight="1">
      <c r="A65">
        <f>A64+1</f>
        <v>26</v>
      </c>
      <c r="C65" t="str">
        <v>Y</v>
      </c>
      <c r="I65" s="8">
        <f>H65*F65</f>
        <v>0</v>
      </c>
      <c r="J65" t="str">
        <v>Y</v>
      </c>
      <c r="M65" t="str">
        <v>Y</v>
      </c>
    </row>
    <row r="66" ht="14.25" customHeight="1">
      <c r="A66">
        <f>A65+1</f>
        <v>27</v>
      </c>
      <c r="B66" t="str">
        <v>STANDARD / GENERAL SCOPE</v>
      </c>
      <c r="C66" t="str">
        <v>Y</v>
      </c>
      <c r="I66" s="8">
        <f>H66*F66</f>
        <v>0</v>
      </c>
      <c r="J66" t="str">
        <v>Y</v>
      </c>
      <c r="M66" t="str">
        <v>Y</v>
      </c>
    </row>
    <row r="67" ht="14.25" customHeight="1">
      <c r="A67">
        <f>A66+1</f>
        <v>28</v>
      </c>
      <c r="B67" t="str">
        <v>Use of specified manufacturers and materials</v>
      </c>
      <c r="C67" t="str">
        <v>Y</v>
      </c>
      <c r="I67" s="8">
        <f>H67*F67</f>
        <v>0</v>
      </c>
      <c r="J67" t="str">
        <v>Y</v>
      </c>
      <c r="M67" t="str">
        <v>Y</v>
      </c>
    </row>
    <row r="68" ht="14.25" customHeight="1">
      <c r="A68">
        <f>A67+1</f>
        <v>29</v>
      </c>
      <c r="B68" t="str">
        <v>Include all anchors and fasteners for this work</v>
      </c>
      <c r="C68" t="str">
        <v>Y</v>
      </c>
      <c r="I68" s="8">
        <f>H68*F68</f>
        <v>0</v>
      </c>
      <c r="J68" t="str">
        <v>Y</v>
      </c>
      <c r="M68" t="str">
        <v>Y</v>
      </c>
    </row>
    <row r="69" ht="14.25" customHeight="1">
      <c r="A69">
        <f>A68+1</f>
        <v>30</v>
      </c>
      <c r="B69" t="str">
        <v>Shop dwgs, samples, product data, certs, etc</v>
      </c>
      <c r="C69" t="str">
        <v>Y</v>
      </c>
      <c r="I69" s="8">
        <f>H69*F69</f>
        <v>0</v>
      </c>
      <c r="J69" t="str">
        <v>Y</v>
      </c>
      <c r="M69" t="str">
        <v>Y</v>
      </c>
    </row>
    <row r="70" ht="14.25" customHeight="1">
      <c r="I70" s="8">
        <f>H70*F70</f>
        <v>0</v>
      </c>
    </row>
    <row r="71" ht="14.25" customHeight="1">
      <c r="A71" t="str">
        <v>C</v>
      </c>
      <c r="B71" t="str">
        <v>Exclusions</v>
      </c>
    </row>
    <row r="72" ht="14.25" customHeight="1">
      <c r="A72">
        <v>1</v>
      </c>
      <c r="C72" t="str">
        <v>N</v>
      </c>
    </row>
    <row r="73" ht="14.25" customHeight="1">
      <c r="A73">
        <f>A72+1</f>
        <v>2</v>
      </c>
      <c r="C73" t="str">
        <v>N</v>
      </c>
    </row>
    <row r="74" ht="14.25" customHeight="1">
      <c r="A74">
        <f>A73+1</f>
        <v>3</v>
      </c>
      <c r="C74" t="str">
        <v>N</v>
      </c>
    </row>
    <row r="75" ht="14.25" customHeight="1"/>
    <row r="76" hidden="1" ht="14.25" customHeight="1">
      <c r="A76" t="str">
        <v>D</v>
      </c>
      <c r="B76" t="str">
        <v>Schedule</v>
      </c>
    </row>
    <row r="77" hidden="1" ht="14.25" customHeight="1">
      <c r="A77">
        <v>1</v>
      </c>
      <c r="B77" t="str">
        <v>Meet MCN Schedule</v>
      </c>
      <c r="C77" t="str">
        <v>Y</v>
      </c>
    </row>
    <row r="78" hidden="1" ht="14.25" customHeight="1">
      <c r="A78">
        <f>A77+1</f>
        <v>2</v>
      </c>
      <c r="B78" t="str">
        <v>Advise of Durations</v>
      </c>
    </row>
    <row r="79" hidden="1" ht="14.25" customHeight="1">
      <c r="A79">
        <f>A78+1</f>
        <v>3</v>
      </c>
      <c r="B79" t="str">
        <v>Activity 1</v>
      </c>
      <c r="C79" t="str">
        <v>---&gt;</v>
      </c>
    </row>
    <row r="80" hidden="1" ht="14.25" customHeight="1">
      <c r="A80">
        <f>A79+1</f>
        <v>4</v>
      </c>
      <c r="B80" t="str">
        <v>Activity 2</v>
      </c>
      <c r="C80" t="str">
        <v>---&gt;</v>
      </c>
    </row>
    <row r="81" hidden="1" ht="14.25" customHeight="1">
      <c r="A81">
        <f>A80+1</f>
        <v>5</v>
      </c>
      <c r="B81" t="str">
        <v>Activity 3</v>
      </c>
      <c r="C81" t="str">
        <v>---&gt;</v>
      </c>
    </row>
    <row r="82" hidden="1" ht="14.25" customHeight="1">
      <c r="A82">
        <f>A81+1</f>
        <v>6</v>
      </c>
      <c r="B82" t="str">
        <v>Duration for Submittals and Shop Drawings</v>
      </c>
      <c r="C82" t="str">
        <v>---&gt;</v>
      </c>
    </row>
    <row r="83" hidden="1" ht="14.25" customHeight="1">
      <c r="A83">
        <f>A82+1</f>
        <v>7</v>
      </c>
      <c r="B83" t="str">
        <v>Advise of Lead Times:</v>
      </c>
    </row>
    <row r="84" hidden="1" ht="14.25" customHeight="1">
      <c r="A84">
        <f>A83+1</f>
        <v>8</v>
      </c>
      <c r="B84" t="str">
        <v>Material 1</v>
      </c>
      <c r="C84" t="str">
        <v>---&gt;</v>
      </c>
    </row>
    <row r="85" hidden="1" ht="14.25" customHeight="1">
      <c r="A85">
        <f>A84+1</f>
        <v>9</v>
      </c>
      <c r="B85" t="str">
        <v>Material 2</v>
      </c>
      <c r="C85" t="str">
        <v>---&gt;</v>
      </c>
    </row>
    <row r="86" hidden="1" ht="14.25" customHeight="1">
      <c r="A86">
        <f>A85+1</f>
        <v>10</v>
      </c>
      <c r="B86" t="str">
        <v>Material 3</v>
      </c>
      <c r="C86" t="str">
        <v>---&gt;</v>
      </c>
    </row>
    <row r="87" hidden="1" ht="14.25" customHeight="1"/>
    <row r="88" hidden="1" ht="14.25" customHeight="1"/>
    <row r="89" ht="14.25" customHeight="1">
      <c r="B89" t="str">
        <v>Allowances</v>
      </c>
    </row>
    <row r="90" ht="14.25" customHeight="1">
      <c r="A90">
        <v>1</v>
      </c>
    </row>
    <row r="91" ht="14.25" customHeight="1">
      <c r="A91">
        <f>A90+1</f>
        <v>2</v>
      </c>
    </row>
    <row r="92" ht="14.25" customHeight="1">
      <c r="A92">
        <f>A91+1</f>
        <v>3</v>
      </c>
    </row>
    <row r="93" ht="14.25" customHeight="1">
      <c r="A93">
        <f>A92+1</f>
        <v>4</v>
      </c>
    </row>
    <row r="94" ht="14.25" customHeight="1"/>
    <row r="95" ht="14.25" customHeight="1"/>
    <row r="96" ht="14.25" customHeight="1">
      <c r="B96" t="str">
        <v>Alternates</v>
      </c>
    </row>
    <row r="97" ht="14.25" customHeight="1">
      <c r="A97">
        <v>1</v>
      </c>
      <c r="C97" t="str">
        <v>#</v>
      </c>
    </row>
    <row r="98" ht="14.25" customHeight="1">
      <c r="A98">
        <f>A97+1</f>
        <v>2</v>
      </c>
      <c r="C98" t="str">
        <v>#</v>
      </c>
    </row>
    <row r="99" ht="14.25" customHeight="1">
      <c r="A99">
        <f>A98+1</f>
        <v>3</v>
      </c>
      <c r="C99" t="str">
        <v>#</v>
      </c>
    </row>
    <row r="100" ht="14.25" customHeight="1">
      <c r="A100">
        <f>A99+1</f>
        <v>4</v>
      </c>
      <c r="C100" t="str">
        <v>#</v>
      </c>
    </row>
    <row r="101" ht="14.25" customHeight="1">
      <c r="C101" t="str">
        <v>#</v>
      </c>
    </row>
    <row r="102" ht="14.25" customHeight="1">
      <c r="B102" t="str">
        <v>Unit Prices</v>
      </c>
    </row>
    <row r="103" ht="14.25" customHeight="1">
      <c r="A103">
        <v>1</v>
      </c>
      <c r="C103" t="str">
        <v>#</v>
      </c>
    </row>
    <row r="104" ht="14.25" customHeight="1">
      <c r="A104">
        <f>A103+1</f>
        <v>2</v>
      </c>
      <c r="C104" t="str">
        <v>#</v>
      </c>
    </row>
    <row r="105" ht="14.25" customHeight="1">
      <c r="A105">
        <f>A104+1</f>
        <v>3</v>
      </c>
      <c r="C105" t="str">
        <v>#</v>
      </c>
    </row>
    <row r="106" ht="14.25" customHeight="1">
      <c r="A106">
        <f>A105+1</f>
        <v>4</v>
      </c>
      <c r="C106" t="str">
        <v>#</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s>
  <pageMargins left="0.7" right="0.7" top="0.25" bottom="0.75" header="0" footer="0"/>
  <ignoredErrors>
    <ignoredError numberStoredAsText="1" sqref="A1:AO1000"/>
  </ignoredErrors>
</worksheet>
</file>

<file path=xl/worksheets/sheet2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12 - FF&amp;E</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SUM(I20:I81,I13:I18)</f>
        <v>0</v>
      </c>
      <c r="K7" t="str">
        <v>Adjustments:</v>
      </c>
      <c r="L7" s="4">
        <f>SUM(L13:L18,L20:L81)</f>
        <v>0</v>
      </c>
      <c r="N7" t="str">
        <v>Adjustments:</v>
      </c>
      <c r="O7" s="4">
        <f>SUM(O13:O18,O20:O81)</f>
        <v>0</v>
      </c>
      <c r="Q7" t="str">
        <v>Adjustments:</v>
      </c>
      <c r="R7" s="4">
        <f>SUM(R13:R18,R20:R81)</f>
        <v>0</v>
      </c>
      <c r="T7" t="str">
        <v>Adjustments:</v>
      </c>
      <c r="U7" s="4">
        <f>SUM(U13:U18,U20:U81)</f>
        <v>0</v>
      </c>
      <c r="W7" t="str">
        <v>Adjustments:</v>
      </c>
      <c r="X7" s="4">
        <f>SUM(X13:X18,X20:X81)</f>
        <v>0</v>
      </c>
      <c r="Z7" t="str">
        <v>Adjustments:</v>
      </c>
      <c r="AA7" s="4">
        <f>SUM(AA13:AA18,AA20:AA81)</f>
        <v>0</v>
      </c>
      <c r="AC7" t="str">
        <v>Adjustments:</v>
      </c>
      <c r="AD7" s="4">
        <f>SUM(AD13:AD18,AD20:AD81)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Int Bike Racks</v>
      </c>
      <c r="C43" t="str">
        <v>Y</v>
      </c>
      <c r="I43" s="8">
        <f>H43*F43</f>
        <v>0</v>
      </c>
    </row>
    <row r="44" ht="14.25" customHeight="1">
      <c r="A44">
        <v>3</v>
      </c>
      <c r="B44" t="str">
        <v>Furnish &amp; install [qty, wall-mounted or floor-mounted, capacity, powder-coated steel] bike racks as indicated in Bike Storage Rooms</v>
      </c>
      <c r="C44" t="str">
        <v>Y</v>
      </c>
      <c r="I44" s="8">
        <f>H44*F44</f>
        <v>0</v>
      </c>
    </row>
    <row r="45" ht="14.25" customHeight="1">
      <c r="A45">
        <v>4</v>
      </c>
      <c r="B45" t="str">
        <v>Include Accessories to include mounting brackets, repair stand, hardware, etc.</v>
      </c>
      <c r="C45" t="str">
        <v>Y</v>
      </c>
      <c r="I45" s="8">
        <f>H45*F45</f>
        <v>0</v>
      </c>
    </row>
    <row r="46" ht="14.25" customHeight="1">
      <c r="A46">
        <v>5</v>
      </c>
      <c r="C46" t="str">
        <v>Y</v>
      </c>
      <c r="I46" s="8">
        <f>H46*F46</f>
        <v>0</v>
      </c>
    </row>
    <row r="47" ht="14.25" customHeight="1">
      <c r="A47">
        <v>6</v>
      </c>
      <c r="B47" t="str">
        <v>STANDARD / GENERAL SCOPE</v>
      </c>
      <c r="C47" t="str">
        <v>Y</v>
      </c>
      <c r="I47" s="8">
        <f>H47*F47</f>
        <v>0</v>
      </c>
    </row>
    <row r="48" ht="14.25" customHeight="1">
      <c r="A48">
        <v>7</v>
      </c>
      <c r="B48" t="str">
        <v>Include all mat'l, labor, tools, equipment, hoisting, supervision, etc for your work</v>
      </c>
      <c r="C48" t="str">
        <v>Y</v>
      </c>
      <c r="I48" s="8">
        <f>H48*F48</f>
        <v>0</v>
      </c>
    </row>
    <row r="49" ht="14.25" customHeight="1">
      <c r="A49">
        <v>8</v>
      </c>
      <c r="B49" t="str">
        <v>Assume free use of GC's material hoist</v>
      </c>
      <c r="C49" t="str">
        <v>Y</v>
      </c>
      <c r="I49" s="8">
        <f>H49*F49</f>
        <v>0</v>
      </c>
    </row>
    <row r="50" ht="14.25" customHeight="1">
      <c r="A50">
        <v>9</v>
      </c>
      <c r="B50" t="str">
        <v>Clean up to MCN dumpster</v>
      </c>
      <c r="C50" t="str">
        <v>Y</v>
      </c>
      <c r="I50" s="8">
        <f>H50*F50</f>
        <v>0</v>
      </c>
    </row>
    <row r="51" ht="14.25" customHeight="1">
      <c r="A51">
        <v>10</v>
      </c>
      <c r="B51" t="str">
        <v>Shop dwgs, samples, product data, etc</v>
      </c>
      <c r="C51" t="str">
        <v>Y</v>
      </c>
      <c r="I51" s="8">
        <f>H51*F51</f>
        <v>0</v>
      </c>
    </row>
    <row r="52" ht="14.25" customHeight="1">
      <c r="I52" s="8">
        <f>H52*F52</f>
        <v>0</v>
      </c>
    </row>
    <row r="53" ht="14.25" customHeight="1">
      <c r="A53" t="str">
        <v>C</v>
      </c>
      <c r="B53" t="str">
        <v>Exclusions</v>
      </c>
    </row>
    <row r="54" ht="14.25" customHeight="1">
      <c r="A54">
        <v>1</v>
      </c>
      <c r="C54" t="str">
        <v>N</v>
      </c>
    </row>
    <row r="55" ht="14.25" customHeight="1">
      <c r="A55">
        <f>A54+1</f>
        <v>2</v>
      </c>
      <c r="C55" t="str">
        <v>N</v>
      </c>
    </row>
    <row r="56" ht="14.25" customHeight="1">
      <c r="A56">
        <f>A55+1</f>
        <v>3</v>
      </c>
      <c r="C56" t="str">
        <v>N</v>
      </c>
    </row>
    <row r="57" ht="14.25" customHeight="1">
      <c r="A57">
        <f>A56+1</f>
        <v>4</v>
      </c>
      <c r="C57" t="str">
        <v>N</v>
      </c>
    </row>
    <row r="58" ht="14.25" customHeight="1">
      <c r="A58">
        <f>A57+1</f>
        <v>5</v>
      </c>
      <c r="C58" t="str">
        <v>N</v>
      </c>
    </row>
    <row r="59" ht="14.25" customHeight="1">
      <c r="A59">
        <f>A58+1</f>
        <v>6</v>
      </c>
      <c r="C59" t="str">
        <v>N</v>
      </c>
    </row>
    <row r="60" ht="14.25" customHeight="1">
      <c r="A60">
        <f>A59+1</f>
        <v>7</v>
      </c>
      <c r="C60" t="str">
        <v>N</v>
      </c>
    </row>
    <row r="61" ht="14.25" customHeight="1">
      <c r="A61">
        <f>A60+1</f>
        <v>8</v>
      </c>
      <c r="C61" t="str">
        <v>N</v>
      </c>
    </row>
    <row r="62" ht="14.25" customHeight="1"/>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Activity 1</v>
      </c>
      <c r="C66" t="str">
        <v>---&gt;</v>
      </c>
    </row>
    <row r="67" ht="14.25" customHeight="1">
      <c r="A67">
        <f>A66+1</f>
        <v>4</v>
      </c>
      <c r="B67" t="str">
        <v>Activity 2</v>
      </c>
      <c r="C67" t="str">
        <v>---&gt;</v>
      </c>
    </row>
    <row r="68" ht="14.25" customHeight="1">
      <c r="A68">
        <f>A67+1</f>
        <v>5</v>
      </c>
      <c r="B68" t="str">
        <v>Activity 3</v>
      </c>
      <c r="C68" t="str">
        <v>---&gt;</v>
      </c>
    </row>
    <row r="69" ht="14.25" customHeight="1">
      <c r="A69">
        <f>A68+1</f>
        <v>6</v>
      </c>
      <c r="B69" t="str">
        <v>Duration for Submittals and Shop Drawings</v>
      </c>
      <c r="C69" t="str">
        <v>---&gt;</v>
      </c>
    </row>
    <row r="70" ht="14.25" customHeight="1">
      <c r="A70">
        <f>A69+1</f>
        <v>7</v>
      </c>
      <c r="B70" t="str">
        <v>Advise of Lead Times:</v>
      </c>
    </row>
    <row r="71" ht="14.25" customHeight="1">
      <c r="A71">
        <f>A70+1</f>
        <v>8</v>
      </c>
      <c r="B71" t="str">
        <v>Material 1</v>
      </c>
      <c r="C71" t="str">
        <v>---&gt;</v>
      </c>
    </row>
    <row r="72" ht="14.25" customHeight="1">
      <c r="A72">
        <f>A71+1</f>
        <v>9</v>
      </c>
      <c r="B72" t="str">
        <v>Material 2</v>
      </c>
      <c r="C72" t="str">
        <v>---&gt;</v>
      </c>
    </row>
    <row r="73" ht="14.25" customHeight="1">
      <c r="A73">
        <f>A72+1</f>
        <v>10</v>
      </c>
      <c r="B73" t="str">
        <v>Material 3</v>
      </c>
      <c r="C73" t="str">
        <v>---&gt;</v>
      </c>
    </row>
    <row r="74" ht="14.25" customHeight="1"/>
    <row r="75" ht="14.25" customHeight="1"/>
    <row r="76" ht="14.25" customHeight="1">
      <c r="B76" t="str">
        <v>Allowances</v>
      </c>
    </row>
    <row r="77" ht="14.25" customHeight="1">
      <c r="A77">
        <v>1</v>
      </c>
    </row>
    <row r="78" ht="14.25" customHeight="1">
      <c r="A78">
        <f>A77+1</f>
        <v>2</v>
      </c>
    </row>
    <row r="79" ht="14.25" customHeight="1">
      <c r="A79">
        <f>A78+1</f>
        <v>3</v>
      </c>
    </row>
    <row r="80" ht="14.25" customHeight="1">
      <c r="A80">
        <f>A79+1</f>
        <v>4</v>
      </c>
    </row>
    <row r="81" ht="14.25" customHeight="1"/>
    <row r="82" ht="14.25" customHeight="1"/>
    <row r="83" ht="14.25" customHeight="1">
      <c r="B83" t="str">
        <v>Alternates</v>
      </c>
    </row>
    <row r="84" ht="14.25" customHeight="1">
      <c r="A84">
        <v>1</v>
      </c>
      <c r="C84" t="str">
        <v>#</v>
      </c>
    </row>
    <row r="85" ht="14.25" customHeight="1">
      <c r="A85">
        <f>A84+1</f>
        <v>2</v>
      </c>
      <c r="C85" t="str">
        <v>#</v>
      </c>
    </row>
    <row r="86" ht="14.25" customHeight="1">
      <c r="A86">
        <f>A85+1</f>
        <v>3</v>
      </c>
      <c r="C86" t="str">
        <v>#</v>
      </c>
    </row>
    <row r="87" ht="14.25" customHeight="1">
      <c r="A87">
        <f>A86+1</f>
        <v>4</v>
      </c>
      <c r="C87" t="str">
        <v>#</v>
      </c>
    </row>
    <row r="88" ht="14.25" customHeight="1">
      <c r="C88" t="str">
        <v>#</v>
      </c>
    </row>
    <row r="89" ht="14.25" customHeight="1">
      <c r="B89" t="str">
        <v>Unit Prices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3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13 - POOLS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SUM(I20:I101,I13:I18)</f>
        <v>0</v>
      </c>
      <c r="K7" t="str">
        <v>Adjustments:</v>
      </c>
      <c r="L7" s="4">
        <f>SUM(L13:L18,L20:L101)</f>
        <v>0</v>
      </c>
      <c r="N7" t="str">
        <v>Adjustments:</v>
      </c>
      <c r="O7" s="4">
        <f>SUM(O13:O18,O20:O101)</f>
        <v>0</v>
      </c>
      <c r="Q7" t="str">
        <v>Adjustments:</v>
      </c>
      <c r="R7" s="4">
        <f>SUM(R13:R18,R20:R101)</f>
        <v>0</v>
      </c>
      <c r="T7" t="str">
        <v>Adjustments:</v>
      </c>
      <c r="U7" s="4">
        <f>SUM(U13:U18,U20:U101)</f>
        <v>0</v>
      </c>
      <c r="W7" t="str">
        <v>Adjustments:</v>
      </c>
      <c r="X7" s="4">
        <f>SUM(X13:X18,X20:X101)</f>
        <v>0</v>
      </c>
      <c r="Z7" t="str">
        <v>Adjustments:</v>
      </c>
      <c r="AA7" s="4">
        <f>SUM(AA13:AA18,AA20:AA101)</f>
        <v>0</v>
      </c>
      <c r="AC7" t="str">
        <v>Adjustments:</v>
      </c>
      <c r="AD7" s="4">
        <f>SUM(AD13:AD18,AD20:AD101)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Trash Chutes</v>
      </c>
      <c r="C43" t="str">
        <v>Y</v>
      </c>
      <c r="I43" s="8">
        <f>H43*F43</f>
        <v>0</v>
      </c>
    </row>
    <row r="44" ht="14.25" customHeight="1">
      <c r="A44">
        <v>3</v>
      </c>
      <c r="B44" t="str">
        <v>[xx] dia, [xx] gauge, [galvanized, SST] trash chute(s)</v>
      </c>
      <c r="C44" t="str">
        <v>Y</v>
      </c>
      <c r="I44" s="8">
        <f>H44*F44</f>
        <v>0</v>
      </c>
    </row>
    <row r="45" ht="14.25" customHeight="1">
      <c r="A45">
        <v>4</v>
      </c>
      <c r="B45" t="str">
        <v>[xx] dia, [xx] gauge, [galvanized, SST] recycling chute(s)</v>
      </c>
      <c r="C45" t="str">
        <v>Y</v>
      </c>
      <c r="I45" s="8">
        <f>H45*F45</f>
        <v>0</v>
      </c>
    </row>
    <row r="46" ht="14.25" customHeight="1">
      <c r="A46">
        <v>5</v>
      </c>
      <c r="B46" t="str">
        <v>Factory applied sound dampening material</v>
      </c>
      <c r="C46" t="str">
        <v>Y</v>
      </c>
      <c r="I46" s="8">
        <f>H46*F46</f>
        <v>0</v>
      </c>
    </row>
    <row r="47" ht="14.25" customHeight="1">
      <c r="A47">
        <v>6</v>
      </c>
      <c r="B47" t="str">
        <v>Provide all necessary floor supports</v>
      </c>
      <c r="C47" t="str">
        <v>Y</v>
      </c>
      <c r="I47" s="8">
        <f>H47*F47</f>
        <v>0</v>
      </c>
    </row>
    <row r="48" ht="14.25" customHeight="1">
      <c r="A48">
        <v>7</v>
      </c>
      <c r="B48" t="str">
        <v>Isolator pads at chute support frames to prevent sound transmission to the floor slab</v>
      </c>
      <c r="C48" t="str">
        <v>Y</v>
      </c>
      <c r="I48" s="8">
        <f>H48*F48</f>
        <v>0</v>
      </c>
    </row>
    <row r="49" ht="14.25" customHeight="1">
      <c r="A49">
        <v>8</v>
      </c>
      <c r="B49" t="str">
        <v>[Provide offsets as required]</v>
      </c>
      <c r="C49" t="str">
        <v>Y</v>
      </c>
      <c r="I49" s="8">
        <f>H49*F49</f>
        <v>0</v>
      </c>
    </row>
    <row r="50" ht="14.25" customHeight="1">
      <c r="A50">
        <v>9</v>
      </c>
      <c r="B50" t="str">
        <v>UL B Label intake doors</v>
      </c>
      <c r="C50" t="str">
        <v>Y</v>
      </c>
      <c r="I50" s="8">
        <f>H50*F50</f>
        <v>0</v>
      </c>
    </row>
    <row r="51" ht="14.25" customHeight="1">
      <c r="A51">
        <v>10</v>
      </c>
      <c r="B51" t="str">
        <v>Door gasket seals as required by NFPA.82</v>
      </c>
      <c r="C51" t="str">
        <v>Y</v>
      </c>
      <c r="I51" s="8">
        <f>H51*F51</f>
        <v>0</v>
      </c>
    </row>
    <row r="52" ht="14.25" customHeight="1">
      <c r="A52">
        <v>11</v>
      </c>
      <c r="B52" t="str">
        <v>Intake door baffles to prevent backdrafting</v>
      </c>
      <c r="C52" t="str">
        <v>Y</v>
      </c>
      <c r="I52" s="8">
        <f>H52*F52</f>
        <v>0</v>
      </c>
    </row>
    <row r="53" ht="14.25" customHeight="1">
      <c r="A53">
        <v>12</v>
      </c>
      <c r="B53" t="str">
        <v>Vent at top of chute(s) that meets NFPA requirements and extends min 4'-0" above roof and includes bird/insect screens and roof flashing</v>
      </c>
      <c r="C53" t="str">
        <v>Y</v>
      </c>
      <c r="I53" s="8">
        <f>H53*F53</f>
        <v>0</v>
      </c>
    </row>
    <row r="54" ht="14.25" customHeight="1">
      <c r="A54">
        <v>13</v>
      </c>
      <c r="B54" t="str">
        <v>3/4" IPS flushing spray head above top intake</v>
      </c>
      <c r="C54" t="str">
        <v>Y</v>
      </c>
      <c r="I54" s="8">
        <f>H54*F54</f>
        <v>0</v>
      </c>
    </row>
    <row r="55" ht="14.25" customHeight="1">
      <c r="A55">
        <v>14</v>
      </c>
      <c r="B55" t="str">
        <v>Disinfecting and sanitizing unit (connected to flushing water supply line by Plumbing)</v>
      </c>
      <c r="C55" t="str">
        <v>Y</v>
      </c>
      <c r="I55" s="8">
        <f>H55*F55</f>
        <v>0</v>
      </c>
    </row>
    <row r="56" ht="14.25" customHeight="1">
      <c r="A56">
        <v>15</v>
      </c>
      <c r="B56" t="str">
        <v>1/2" IPS sprinkler head above the top intake and alternate intakes (connection to building spinkler by Sprinkler)</v>
      </c>
      <c r="C56" t="str">
        <v>Y</v>
      </c>
      <c r="I56" s="8">
        <f>H56*F56</f>
        <v>0</v>
      </c>
    </row>
    <row r="57" ht="14.25" customHeight="1">
      <c r="A57">
        <v>16</v>
      </c>
      <c r="B57" t="str">
        <v>Electric interlocks for intake doors</v>
      </c>
      <c r="C57" t="str">
        <v>Y</v>
      </c>
      <c r="I57" s="8">
        <f>H57*F57</f>
        <v>0</v>
      </c>
    </row>
    <row r="58" ht="14.25" customHeight="1">
      <c r="A58">
        <v>17</v>
      </c>
      <c r="B58" t="str">
        <v>Manual switch at discharge and top intake to lock all intakes</v>
      </c>
      <c r="C58" t="str">
        <v>Y</v>
      </c>
      <c r="I58" s="8">
        <f>H58*F58</f>
        <v>0</v>
      </c>
    </row>
    <row r="59" ht="14.25" customHeight="1">
      <c r="A59">
        <v>18</v>
      </c>
      <c r="B59" t="str">
        <v>Heat detector and smoke detectors</v>
      </c>
      <c r="C59" t="str">
        <v>Y</v>
      </c>
      <c r="I59" s="8">
        <f>H59*F59</f>
        <v>0</v>
      </c>
    </row>
    <row r="60" ht="14.25" customHeight="1">
      <c r="A60">
        <v>19</v>
      </c>
      <c r="B60" t="str">
        <v>Odor control neutralizer</v>
      </c>
      <c r="C60" t="str">
        <v>Y</v>
      </c>
      <c r="I60" s="8">
        <f>H60*F60</f>
        <v>0</v>
      </c>
    </row>
    <row r="61" ht="14.25" customHeight="1">
      <c r="A61">
        <v>20</v>
      </c>
      <c r="B61" t="str">
        <v>[Trisorter / Bisorter]</v>
      </c>
      <c r="C61" t="str">
        <v>Y</v>
      </c>
      <c r="I61" s="8">
        <f>H61*F61</f>
        <v>0</v>
      </c>
    </row>
    <row r="62" ht="14.25" customHeight="1">
      <c r="A62">
        <v>21</v>
      </c>
      <c r="B62" t="str">
        <v>Compactors</v>
      </c>
      <c r="C62" t="str">
        <v>Y</v>
      </c>
      <c r="I62" s="8">
        <f>H62*F62</f>
        <v>0</v>
      </c>
    </row>
    <row r="63" ht="14.25" customHeight="1">
      <c r="A63">
        <v>22</v>
      </c>
      <c r="B63" t="str">
        <v>Trash compactor(s)</v>
      </c>
      <c r="C63" t="str">
        <v>Y</v>
      </c>
      <c r="I63" s="8">
        <f>H63*F63</f>
        <v>0</v>
      </c>
    </row>
    <row r="64" ht="14.25" customHeight="1">
      <c r="A64">
        <v>23</v>
      </c>
      <c r="B64" t="str">
        <v xml:space="preserve">[xx] qty, [xx] capacity, [prod./manufac.] </v>
      </c>
      <c r="C64" t="str">
        <v>Y</v>
      </c>
      <c r="I64" s="8">
        <f>H64*F64</f>
        <v>0</v>
      </c>
    </row>
    <row r="65" ht="14.25" customHeight="1">
      <c r="A65">
        <v>24</v>
      </c>
      <c r="C65" t="str">
        <v>Y</v>
      </c>
      <c r="I65" s="8">
        <f>H65*F65</f>
        <v>0</v>
      </c>
    </row>
    <row r="66" ht="14.25" customHeight="1">
      <c r="A66">
        <v>25</v>
      </c>
      <c r="B66" t="str">
        <v>STANDARD / GENERAL SCOPE</v>
      </c>
      <c r="C66" t="str">
        <v>Y</v>
      </c>
      <c r="I66" s="8">
        <f>H66*F66</f>
        <v>0</v>
      </c>
    </row>
    <row r="67" ht="14.25" customHeight="1">
      <c r="A67">
        <v>26</v>
      </c>
      <c r="B67" t="str">
        <v>Include all mat'l, tools, equipment, hoisting/rigging, supervision, etc for this work</v>
      </c>
      <c r="C67" t="str">
        <v>Y</v>
      </c>
      <c r="I67" s="8">
        <f>H67*F67</f>
        <v>0</v>
      </c>
    </row>
    <row r="68" ht="14.25" customHeight="1">
      <c r="A68">
        <v>27</v>
      </c>
      <c r="B68" t="str">
        <v>Layout from GC control lines and benchmarks</v>
      </c>
      <c r="C68" t="str">
        <v>Y</v>
      </c>
      <c r="I68" s="8">
        <f>H68*F68</f>
        <v>0</v>
      </c>
    </row>
    <row r="69" ht="14.25" customHeight="1">
      <c r="A69">
        <v>28</v>
      </c>
      <c r="B69" t="str">
        <v>Clean up to MCN dumpster</v>
      </c>
      <c r="C69" t="str">
        <v>Y</v>
      </c>
      <c r="I69" s="8">
        <f>H69*F69</f>
        <v>0</v>
      </c>
    </row>
    <row r="70" ht="14.25" customHeight="1">
      <c r="A70">
        <v>29</v>
      </c>
      <c r="B70" t="str">
        <v>Shop dwgs, samples, product data, certs, test reports, manuals, etc</v>
      </c>
      <c r="C70" t="str">
        <v>Y</v>
      </c>
      <c r="I70" s="8">
        <f>H70*F70</f>
        <v>0</v>
      </c>
    </row>
    <row r="71" ht="14.25" customHeight="1">
      <c r="A71">
        <v>30</v>
      </c>
      <c r="B71" t="str">
        <v>Warranties per spec</v>
      </c>
      <c r="C71" t="str">
        <v>Y</v>
      </c>
      <c r="I71" s="8">
        <f>H71*F71</f>
        <v>0</v>
      </c>
    </row>
    <row r="72" ht="14.25" customHeight="1">
      <c r="I72" s="8">
        <f>H72*F72</f>
        <v>0</v>
      </c>
    </row>
    <row r="73" ht="14.25" customHeight="1">
      <c r="A73" t="str">
        <v>C</v>
      </c>
      <c r="B73" t="str">
        <v>Exclusions</v>
      </c>
    </row>
    <row r="74" ht="14.25" customHeight="1">
      <c r="A74">
        <v>1</v>
      </c>
      <c r="B74" t="str">
        <v>Solenoid, backflow preventer and connection of flushing spray head to building plumbing</v>
      </c>
      <c r="C74" t="str">
        <v>N</v>
      </c>
      <c r="D74" t="str">
        <v>by plumb</v>
      </c>
    </row>
    <row r="75" ht="14.25" customHeight="1">
      <c r="A75">
        <f>A74+1</f>
        <v>2</v>
      </c>
      <c r="B75" t="str">
        <v>Connecting sanitizing unit to flushing water supply line</v>
      </c>
      <c r="C75" t="str">
        <v>N</v>
      </c>
      <c r="D75" t="str">
        <v>by plumb</v>
      </c>
    </row>
    <row r="76" ht="14.25" customHeight="1">
      <c r="A76">
        <f>A75+1</f>
        <v>3</v>
      </c>
      <c r="B76" t="str">
        <v>Connecting sprinkler head in chute(s) to building spinkler</v>
      </c>
      <c r="C76" t="str">
        <v>N</v>
      </c>
      <c r="D76" t="str">
        <v>by sprinkler</v>
      </c>
    </row>
    <row r="77" ht="14.25" customHeight="1">
      <c r="A77">
        <f>A76+1</f>
        <v>4</v>
      </c>
      <c r="B77" t="str">
        <v>Conduit, wiring and final connection for interlocks, switches and detectors</v>
      </c>
      <c r="C77" t="str">
        <v>N</v>
      </c>
      <c r="D77" t="str">
        <v>by elec</v>
      </c>
    </row>
    <row r="78" ht="14.25" customHeight="1">
      <c r="A78">
        <f>A77+1</f>
        <v>5</v>
      </c>
      <c r="C78" t="str">
        <v>N</v>
      </c>
    </row>
    <row r="79" ht="14.25" customHeight="1">
      <c r="A79">
        <f>A78+1</f>
        <v>6</v>
      </c>
      <c r="C79" t="str">
        <v>N</v>
      </c>
    </row>
    <row r="80" ht="14.25" customHeight="1">
      <c r="A80">
        <f>A79+1</f>
        <v>7</v>
      </c>
      <c r="C80" t="str">
        <v>N</v>
      </c>
    </row>
    <row r="81" ht="14.25" customHeight="1">
      <c r="A81">
        <f>A80+1</f>
        <v>8</v>
      </c>
      <c r="C81" t="str">
        <v>N</v>
      </c>
    </row>
    <row r="82" ht="14.25" customHeight="1"/>
    <row r="83" ht="14.25" customHeight="1">
      <c r="A83" t="str">
        <v>D</v>
      </c>
      <c r="B83" t="str">
        <v>Schedule</v>
      </c>
    </row>
    <row r="84" ht="14.25" customHeight="1">
      <c r="A84">
        <v>1</v>
      </c>
      <c r="B84" t="str">
        <v>Meet MCN Schedule</v>
      </c>
      <c r="C84" t="str">
        <v>Y</v>
      </c>
    </row>
    <row r="85" ht="14.25" customHeight="1">
      <c r="A85">
        <f>A84+1</f>
        <v>2</v>
      </c>
      <c r="B85" t="str">
        <v>Advise of Durations</v>
      </c>
    </row>
    <row r="86" ht="14.25" customHeight="1">
      <c r="A86">
        <f>A85+1</f>
        <v>3</v>
      </c>
      <c r="B86" t="str">
        <v>Activity 1</v>
      </c>
      <c r="C86" t="str">
        <v>---&gt;</v>
      </c>
    </row>
    <row r="87" ht="14.25" customHeight="1">
      <c r="A87">
        <f>A86+1</f>
        <v>4</v>
      </c>
      <c r="B87" t="str">
        <v>Activity 2</v>
      </c>
      <c r="C87" t="str">
        <v>---&gt;</v>
      </c>
    </row>
    <row r="88" ht="14.25" customHeight="1">
      <c r="A88">
        <f>A87+1</f>
        <v>5</v>
      </c>
      <c r="B88" t="str">
        <v>Activity 3</v>
      </c>
      <c r="C88" t="str">
        <v>---&gt;</v>
      </c>
    </row>
    <row r="89" ht="14.25" customHeight="1">
      <c r="A89">
        <f>A88+1</f>
        <v>6</v>
      </c>
      <c r="B89" t="str">
        <v>Duration for Submittals and Shop Drawings</v>
      </c>
      <c r="C89" t="str">
        <v>---&gt;</v>
      </c>
    </row>
    <row r="90" ht="14.25" customHeight="1">
      <c r="A90">
        <f>A89+1</f>
        <v>7</v>
      </c>
      <c r="B90" t="str">
        <v>Advise of Lead Times:</v>
      </c>
    </row>
    <row r="91" ht="14.25" customHeight="1">
      <c r="A91">
        <f>A90+1</f>
        <v>8</v>
      </c>
      <c r="B91" t="str">
        <v>Material 1</v>
      </c>
      <c r="C91" t="str">
        <v>---&gt;</v>
      </c>
    </row>
    <row r="92" ht="14.25" customHeight="1">
      <c r="A92">
        <f>A91+1</f>
        <v>9</v>
      </c>
      <c r="B92" t="str">
        <v>Material 2</v>
      </c>
      <c r="C92" t="str">
        <v>---&gt;</v>
      </c>
    </row>
    <row r="93" ht="14.25" customHeight="1">
      <c r="A93">
        <f>A92+1</f>
        <v>10</v>
      </c>
      <c r="B93" t="str">
        <v>Material 3</v>
      </c>
      <c r="C93" t="str">
        <v>---&gt;</v>
      </c>
    </row>
    <row r="94" ht="14.25" customHeight="1"/>
    <row r="95" ht="14.25" customHeight="1"/>
    <row r="96" ht="14.25" customHeight="1">
      <c r="B96" t="str">
        <v>Allowances</v>
      </c>
    </row>
    <row r="97" ht="14.25" customHeight="1">
      <c r="A97">
        <v>1</v>
      </c>
    </row>
    <row r="98" ht="14.25" customHeight="1">
      <c r="A98">
        <f>A97+1</f>
        <v>2</v>
      </c>
    </row>
    <row r="99" ht="14.25" customHeight="1">
      <c r="A99">
        <f>A98+1</f>
        <v>3</v>
      </c>
    </row>
    <row r="100" ht="14.25" customHeight="1">
      <c r="A100">
        <f>A99+1</f>
        <v>4</v>
      </c>
    </row>
    <row r="101" ht="14.25" customHeight="1"/>
    <row r="102" ht="14.25" customHeight="1"/>
    <row r="103" ht="14.25" customHeight="1">
      <c r="B103" t="str">
        <v>Alternates</v>
      </c>
    </row>
    <row r="104" ht="14.25" customHeight="1">
      <c r="A104">
        <v>1</v>
      </c>
      <c r="C104" t="str">
        <v>#</v>
      </c>
    </row>
    <row r="105" ht="14.25" customHeight="1">
      <c r="A105">
        <f>A104+1</f>
        <v>2</v>
      </c>
      <c r="C105" t="str">
        <v>#</v>
      </c>
    </row>
    <row r="106" ht="14.25" customHeight="1">
      <c r="A106">
        <f>A105+1</f>
        <v>3</v>
      </c>
      <c r="C106" t="str">
        <v>#</v>
      </c>
    </row>
    <row r="107" ht="14.25" customHeight="1">
      <c r="A107">
        <f>A106+1</f>
        <v>4</v>
      </c>
      <c r="C107" t="str">
        <v>#</v>
      </c>
    </row>
    <row r="108" ht="14.25" customHeight="1">
      <c r="C108" t="str">
        <v>#</v>
      </c>
    </row>
    <row r="109" ht="14.25" customHeight="1">
      <c r="B109" t="str">
        <v>Unit Prices</v>
      </c>
    </row>
    <row r="110" ht="14.25" customHeight="1">
      <c r="A110">
        <v>1</v>
      </c>
      <c r="C110" t="str">
        <v>#</v>
      </c>
    </row>
    <row r="111" ht="14.25" customHeight="1">
      <c r="A111">
        <f>A110+1</f>
        <v>2</v>
      </c>
      <c r="C111" t="str">
        <v>#</v>
      </c>
    </row>
    <row r="112" ht="14.25" customHeight="1">
      <c r="A112">
        <f>A111+1</f>
        <v>3</v>
      </c>
      <c r="C112" t="str">
        <v>#</v>
      </c>
    </row>
    <row r="113" ht="14.25" customHeight="1">
      <c r="A113">
        <f>A112+1</f>
        <v>4</v>
      </c>
      <c r="C113" t="str">
        <v>#</v>
      </c>
    </row>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3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14 - ELEVATORS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SUM(I20:I113,I13:I18)</f>
        <v>0</v>
      </c>
      <c r="K7" t="str">
        <v>Adjustments:</v>
      </c>
      <c r="L7" s="4">
        <f>SUM(L13:L18,L20:L113)</f>
        <v>0</v>
      </c>
      <c r="N7" t="str">
        <v>Adjustments:</v>
      </c>
      <c r="O7" s="4">
        <f>SUM(O13:O18,O20:O113)</f>
        <v>0</v>
      </c>
      <c r="Q7" t="str">
        <v>Adjustments:</v>
      </c>
      <c r="R7" s="4">
        <f>SUM(R13:R18,R20:R113)</f>
        <v>0</v>
      </c>
      <c r="T7" t="str">
        <v>Adjustments:</v>
      </c>
      <c r="U7" s="4">
        <f>SUM(U13:U18,U20:U113)</f>
        <v>0</v>
      </c>
      <c r="W7" t="str">
        <v>Adjustments:</v>
      </c>
      <c r="X7" s="4">
        <f>SUM(X13:X18,X20:X113)</f>
        <v>0</v>
      </c>
      <c r="Z7" t="str">
        <v>Adjustments:</v>
      </c>
      <c r="AA7" s="4">
        <f>SUM(AA13:AA18,AA20:AA113)</f>
        <v>0</v>
      </c>
      <c r="AC7" t="str">
        <v>Adjustments:</v>
      </c>
      <c r="AD7" s="4">
        <f>SUM(AD13:AD18,AD20:AD113)</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Traction Elevators</v>
      </c>
      <c r="C43" t="str">
        <v>Y</v>
      </c>
      <c r="I43" s="8">
        <f>H43*F43</f>
        <v>0</v>
      </c>
    </row>
    <row r="44" ht="14.25" customHeight="1">
      <c r="A44">
        <v>3</v>
      </c>
      <c r="B44" t="str">
        <v>[Qty, Capacity, Speed, Type] Traction Passenger Elevators</v>
      </c>
      <c r="C44" t="str">
        <v>Y</v>
      </c>
      <c r="I44" s="8">
        <f>H44*F44</f>
        <v>0</v>
      </c>
    </row>
    <row r="45" ht="14.25" customHeight="1">
      <c r="A45">
        <v>4</v>
      </c>
      <c r="B45" t="str">
        <v>[Qty, Capacity, Speed, Type] Traction Service Elevators</v>
      </c>
      <c r="C45" t="str">
        <v>Y</v>
      </c>
      <c r="I45" s="8">
        <f>H45*F45</f>
        <v>0</v>
      </c>
    </row>
    <row r="46" ht="14.25" customHeight="1">
      <c r="A46">
        <v>5</v>
      </c>
      <c r="B46" t="str">
        <v>Hoistway equipment to include hoisting &amp; governor ropes, counterweights</v>
      </c>
      <c r="C46" t="str">
        <v>Y</v>
      </c>
      <c r="I46" s="8">
        <f>H46*F46</f>
        <v>0</v>
      </c>
    </row>
    <row r="47" ht="14.25" customHeight="1">
      <c r="A47">
        <v>6</v>
      </c>
      <c r="B47" t="str">
        <v>Machine room equipment to include machines with hoisting motors w/VVVF drives, speed governors, brakes, deflector sheaves</v>
      </c>
      <c r="C47" t="str">
        <v>Y</v>
      </c>
      <c r="I47" s="8">
        <f>H47*F47</f>
        <v>0</v>
      </c>
    </row>
    <row r="48" ht="14.25" customHeight="1">
      <c r="A48">
        <v>7</v>
      </c>
      <c r="B48" t="str">
        <v xml:space="preserve"> </v>
      </c>
      <c r="C48" t="str">
        <v>Y</v>
      </c>
      <c r="I48" s="8">
        <f>H48*F48</f>
        <v>0</v>
      </c>
    </row>
    <row r="49" ht="14.25" customHeight="1">
      <c r="A49">
        <v>8</v>
      </c>
      <c r="B49" t="str">
        <v>Hydraulic Elevators</v>
      </c>
      <c r="C49" t="str">
        <v>Y</v>
      </c>
      <c r="I49" s="8">
        <f>H49*F49</f>
        <v>0</v>
      </c>
    </row>
    <row r="50" ht="14.25" customHeight="1">
      <c r="A50">
        <v>9</v>
      </c>
      <c r="B50" t="str">
        <v>[Qty, Capacity, Speed, Type] Hydraulic Passenger Elevators</v>
      </c>
      <c r="C50" t="str">
        <v>Y</v>
      </c>
      <c r="I50" s="8">
        <f>H50*F50</f>
        <v>0</v>
      </c>
    </row>
    <row r="51" ht="14.25" customHeight="1">
      <c r="A51">
        <v>10</v>
      </c>
      <c r="B51" t="str">
        <v>[Qty, Capacity, Speed, Type] Hydraulic Service Elevators</v>
      </c>
      <c r="C51" t="str">
        <v>Y</v>
      </c>
      <c r="I51" s="8">
        <f>H51*F51</f>
        <v>0</v>
      </c>
    </row>
    <row r="52" ht="14.25" customHeight="1">
      <c r="A52">
        <v>11</v>
      </c>
      <c r="B52" t="str">
        <v>Hoistway equipment to include casing, jack unit assembly &amp; scavenger pump</v>
      </c>
      <c r="C52" t="str">
        <v>Y</v>
      </c>
      <c r="I52" s="8">
        <f>H52*F52</f>
        <v>0</v>
      </c>
    </row>
    <row r="53" ht="14.25" customHeight="1">
      <c r="A53">
        <v>12</v>
      </c>
      <c r="B53" t="str">
        <v>Machine room equipment to include hydraulic pump, power unit, oil tank &amp; piping</v>
      </c>
      <c r="C53" t="str">
        <v>Y</v>
      </c>
      <c r="I53" s="8">
        <f>H53*F53</f>
        <v>0</v>
      </c>
    </row>
    <row r="54" ht="14.25" customHeight="1">
      <c r="A54">
        <v>13</v>
      </c>
      <c r="B54" t="str">
        <v>Augering of jack-hole</v>
      </c>
      <c r="C54" t="str">
        <v>Y</v>
      </c>
      <c r="I54" s="8">
        <f>H54*F54</f>
        <v>0</v>
      </c>
    </row>
    <row r="55" ht="14.25" customHeight="1">
      <c r="A55">
        <v>14</v>
      </c>
      <c r="C55" t="str">
        <v>Y</v>
      </c>
      <c r="I55" s="8">
        <f>H55*F55</f>
        <v>0</v>
      </c>
    </row>
    <row r="56" ht="14.25" customHeight="1">
      <c r="A56">
        <v>15</v>
      </c>
      <c r="B56" t="str">
        <v>STANDARD / GENERAL SCOPE</v>
      </c>
      <c r="C56" t="str">
        <v>Y</v>
      </c>
      <c r="I56" s="8">
        <f>H56*F56</f>
        <v>0</v>
      </c>
    </row>
    <row r="57" ht="14.25" customHeight="1">
      <c r="A57">
        <v>16</v>
      </c>
      <c r="B57" t="str">
        <v>Advise elevator operator rate for elevator shaft point up</v>
      </c>
      <c r="C57" t="str">
        <v>Y</v>
      </c>
      <c r="I57" s="8">
        <f>H57*F57</f>
        <v>0</v>
      </c>
    </row>
    <row r="58" ht="14.25" customHeight="1">
      <c r="A58">
        <v>17</v>
      </c>
      <c r="B58" t="str">
        <v>Temporary inspection for temporary construction use</v>
      </c>
      <c r="C58" t="str">
        <v>Y</v>
      </c>
      <c r="I58" s="8">
        <f>H58*F58</f>
        <v>0</v>
      </c>
    </row>
    <row r="59" ht="14.25" customHeight="1">
      <c r="A59">
        <v>18</v>
      </c>
      <c r="B59" t="str">
        <v>Use of [##] elevator cab(s) for temporary contruction use for [##] months</v>
      </c>
      <c r="C59" t="str">
        <v>Y</v>
      </c>
      <c r="I59" s="8">
        <f>H59*F59</f>
        <v>0</v>
      </c>
    </row>
    <row r="60" ht="14.25" customHeight="1">
      <c r="A60">
        <v>19</v>
      </c>
      <c r="B60" t="str">
        <v>Advise if size of hoistway opening is acceptable for your standard cab req'ments</v>
      </c>
      <c r="C60" t="str">
        <v>Y</v>
      </c>
      <c r="I60" s="8">
        <f>H60*F60</f>
        <v>0</v>
      </c>
    </row>
    <row r="61" ht="14.25" customHeight="1">
      <c r="A61">
        <v>20</v>
      </c>
      <c r="B61" t="str">
        <v>Include all mat'l, tools, equipment, hoisting/rigging, supervision, etc for this work</v>
      </c>
      <c r="C61" t="str">
        <v>Y</v>
      </c>
      <c r="I61" s="8">
        <f>H61*F61</f>
        <v>0</v>
      </c>
    </row>
    <row r="62" ht="14.25" customHeight="1">
      <c r="A62">
        <v>21</v>
      </c>
      <c r="B62" t="str">
        <v>12-month maintenance service</v>
      </c>
      <c r="C62" t="str">
        <v>Y</v>
      </c>
      <c r="I62" s="8">
        <f>H62*F62</f>
        <v>0</v>
      </c>
    </row>
    <row r="63" ht="14.25" customHeight="1">
      <c r="A63">
        <v>22</v>
      </c>
      <c r="B63" t="str">
        <v>ADA compliant</v>
      </c>
      <c r="C63" t="str">
        <v>Y</v>
      </c>
      <c r="I63" s="8">
        <f>H63*F63</f>
        <v>0</v>
      </c>
    </row>
    <row r="64" ht="14.25" customHeight="1">
      <c r="A64">
        <v>23</v>
      </c>
      <c r="B64" t="str">
        <v>Microprocessor-based Controller with Supervisory Control of all elevators</v>
      </c>
      <c r="C64" t="str">
        <v>Y</v>
      </c>
      <c r="I64" s="8">
        <f>H64*F64</f>
        <v>0</v>
      </c>
    </row>
    <row r="65" ht="14.25" customHeight="1">
      <c r="A65">
        <v>24</v>
      </c>
      <c r="B65" t="str">
        <v>Features to include Independent Service, Firefighters' Service, Emergency Service, Anti-Nuisance, Standby Power Operation, Battery back-up; Infrared door re-opening; buzzers, self-leveling, etc</v>
      </c>
      <c r="C65" t="str">
        <v>Y</v>
      </c>
      <c r="I65" s="8">
        <f>H65*F65</f>
        <v>0</v>
      </c>
    </row>
    <row r="66" ht="14.25" customHeight="1">
      <c r="A66">
        <v>25</v>
      </c>
      <c r="B66" t="str">
        <v>Hoistway equipment to include guide rails and brackets, buffers</v>
      </c>
      <c r="C66" t="str">
        <v>Y</v>
      </c>
      <c r="I66" s="8">
        <f>H66*F66</f>
        <v>0</v>
      </c>
    </row>
    <row r="67" ht="14.25" customHeight="1">
      <c r="A67">
        <v>26</v>
      </c>
      <c r="B67" t="str">
        <v>Steel-framed cabs to include wood platform; wall &amp; ceiling finishes, padded blankets &amp; hooks, swing panels, railings, cab doors &amp; door operators, ventilation</v>
      </c>
      <c r="C67" t="str">
        <v>Y</v>
      </c>
      <c r="I67" s="8">
        <f>H67*F67</f>
        <v>0</v>
      </c>
    </row>
    <row r="68" ht="14.25" customHeight="1">
      <c r="A68">
        <v>27</v>
      </c>
      <c r="B68" t="str">
        <v>Include hoistway entrances and doors; furnish sills for grouting by others</v>
      </c>
      <c r="C68" t="str">
        <v>Y</v>
      </c>
      <c r="I68" s="8">
        <f>H68*F68</f>
        <v>0</v>
      </c>
    </row>
    <row r="69" ht="14.25" customHeight="1">
      <c r="A69">
        <v>28</v>
      </c>
      <c r="B69" t="str">
        <v>Include custom elements/material upgrades at Lobby [list custom elements]</v>
      </c>
      <c r="C69" t="str">
        <v>Y</v>
      </c>
      <c r="I69" s="8">
        <f>H69*F69</f>
        <v>0</v>
      </c>
    </row>
    <row r="70" ht="14.25" customHeight="1">
      <c r="A70">
        <v>29</v>
      </c>
      <c r="B70" t="str">
        <v>Signal equipment to include hall stations, car stations, car position indicators, hall annunciators, etc including all fixtrues, text, graphics, faceplates, etc.</v>
      </c>
      <c r="C70" t="str">
        <v>Y</v>
      </c>
      <c r="I70" s="8">
        <f>H70*F70</f>
        <v>0</v>
      </c>
    </row>
    <row r="71" ht="14.25" customHeight="1">
      <c r="A71">
        <v>30</v>
      </c>
      <c r="B71" t="str">
        <v>All electrical wiring &amp; conduit/travel cables back to elevator disconnect; cab/car lighting; wiring/rough-in for security and communications</v>
      </c>
      <c r="C71" t="str">
        <v>Y</v>
      </c>
      <c r="I71" s="8">
        <f>H71*F71</f>
        <v>0</v>
      </c>
    </row>
    <row r="72" ht="14.25" customHeight="1">
      <c r="A72">
        <v>31</v>
      </c>
      <c r="B72" t="str">
        <v>Sound/vibration isolation</v>
      </c>
      <c r="C72" t="str">
        <v>Y</v>
      </c>
      <c r="I72" s="8">
        <f>H72*F72</f>
        <v>0</v>
      </c>
    </row>
    <row r="73" ht="14.25" customHeight="1">
      <c r="A73">
        <v>32</v>
      </c>
      <c r="B73" t="str">
        <v>Permits, Testing, Inspections and related fees for this work</v>
      </c>
      <c r="C73" t="str">
        <v>Y</v>
      </c>
      <c r="I73" s="8">
        <f>H73*F73</f>
        <v>0</v>
      </c>
    </row>
    <row r="74" ht="14.25" customHeight="1">
      <c r="A74">
        <v>33</v>
      </c>
      <c r="B74" t="str">
        <v>Layout from GC control lines and benchmarks</v>
      </c>
      <c r="C74" t="str">
        <v>Y</v>
      </c>
      <c r="I74" s="8">
        <f>H74*F74</f>
        <v>0</v>
      </c>
    </row>
    <row r="75" ht="14.25" customHeight="1">
      <c r="A75">
        <v>34</v>
      </c>
      <c r="B75" t="str">
        <v>Clean up to MCN dumpster</v>
      </c>
      <c r="C75" t="str">
        <v>Y</v>
      </c>
      <c r="I75" s="8">
        <f>H75*F75</f>
        <v>0</v>
      </c>
    </row>
    <row r="76" ht="14.25" customHeight="1">
      <c r="A76">
        <v>35</v>
      </c>
      <c r="B76" t="str">
        <v>Shop dwgs, samples, product data, certs, test reports, manuals, etc</v>
      </c>
      <c r="C76" t="str">
        <v>Y</v>
      </c>
      <c r="I76" s="8">
        <f>H76*F76</f>
        <v>0</v>
      </c>
    </row>
    <row r="77" ht="14.25" customHeight="1">
      <c r="A77">
        <v>36</v>
      </c>
      <c r="B77" t="str">
        <v>Warranties per spec</v>
      </c>
      <c r="C77" t="str">
        <v>Y</v>
      </c>
      <c r="I77" s="8">
        <f>H77*F77</f>
        <v>0</v>
      </c>
    </row>
    <row r="78" ht="14.25" customHeight="1">
      <c r="A78">
        <v>37</v>
      </c>
      <c r="B78" t="str">
        <v xml:space="preserve"> </v>
      </c>
      <c r="C78" t="str">
        <v>Y</v>
      </c>
      <c r="I78" s="8">
        <f>H78*F78</f>
        <v>0</v>
      </c>
    </row>
    <row r="79" ht="14.25" customHeight="1">
      <c r="A79">
        <v>38</v>
      </c>
      <c r="B79" t="str">
        <v>LEED Issues:</v>
      </c>
      <c r="C79" t="str">
        <v>Y</v>
      </c>
      <c r="I79" s="8">
        <f>H79*F79</f>
        <v>0</v>
      </c>
    </row>
    <row r="80" ht="14.25" customHeight="1">
      <c r="A80">
        <v>39</v>
      </c>
      <c r="B80" t="str">
        <v>Energy efficiency achieved with gearless system</v>
      </c>
      <c r="C80" t="str">
        <v>Y</v>
      </c>
      <c r="I80" s="8">
        <f>H80*F80</f>
        <v>0</v>
      </c>
    </row>
    <row r="81" ht="14.25" customHeight="1">
      <c r="A81">
        <v>40</v>
      </c>
      <c r="B81" t="str">
        <v>Bio-based hydraulic oils</v>
      </c>
      <c r="C81" t="str">
        <v>Y</v>
      </c>
      <c r="I81" s="8">
        <f>H81*F81</f>
        <v>0</v>
      </c>
    </row>
    <row r="82" ht="14.25" customHeight="1">
      <c r="A82">
        <v>41</v>
      </c>
      <c r="B82" t="str">
        <v>Fabrication within 500-mile radius</v>
      </c>
      <c r="C82" t="str">
        <v>Y</v>
      </c>
      <c r="I82" s="8">
        <f>H82*F82</f>
        <v>0</v>
      </c>
    </row>
    <row r="83" ht="14.25" customHeight="1">
      <c r="A83">
        <v>42</v>
      </c>
      <c r="B83" t="str">
        <v>LEED documentation</v>
      </c>
      <c r="C83" t="str">
        <v>Y</v>
      </c>
      <c r="I83" s="8">
        <f>H83*F83</f>
        <v>0</v>
      </c>
    </row>
    <row r="84" ht="14.25" customHeight="1">
      <c r="I84" s="8">
        <f>H84*F84</f>
        <v>0</v>
      </c>
    </row>
    <row r="85" ht="14.25" customHeight="1">
      <c r="A85" t="str">
        <v>C</v>
      </c>
      <c r="B85" t="str">
        <v>Exclusions</v>
      </c>
    </row>
    <row r="86" ht="14.25" customHeight="1">
      <c r="A86">
        <v>1</v>
      </c>
      <c r="B86" t="str">
        <v>Elevator cab protection</v>
      </c>
      <c r="C86" t="str">
        <v>N</v>
      </c>
    </row>
    <row r="87" ht="14.25" customHeight="1">
      <c r="A87">
        <f>A86+1</f>
        <v>2</v>
      </c>
      <c r="B87" t="str">
        <v>Hoistway final cleaning</v>
      </c>
      <c r="C87" t="str">
        <v>N</v>
      </c>
    </row>
    <row r="88" ht="14.25" customHeight="1">
      <c r="A88">
        <f>A87+1</f>
        <v>3</v>
      </c>
      <c r="B88" t="str">
        <v>Removal of jack-hole spoils</v>
      </c>
      <c r="C88" t="str">
        <v>N</v>
      </c>
    </row>
    <row r="89" ht="14.25" customHeight="1">
      <c r="A89">
        <f>A88+1</f>
        <v>4</v>
      </c>
      <c r="B89" t="str">
        <v>Temporary safety rails at hoistway openings</v>
      </c>
      <c r="C89" t="str">
        <v>N</v>
      </c>
    </row>
    <row r="90" ht="14.25" customHeight="1">
      <c r="A90">
        <f>A89+1</f>
        <v>5</v>
      </c>
      <c r="B90" t="str">
        <v>Grouting of elevator sills</v>
      </c>
      <c r="C90" t="str">
        <v>N</v>
      </c>
    </row>
    <row r="91" ht="14.25" customHeight="1">
      <c r="A91">
        <f>A90+1</f>
        <v>6</v>
      </c>
      <c r="B91" t="str">
        <v>Miscellaneous metals such as machine beams, hoist beams, divider beams, intermediate guiderail support, sill angles, pit ladders, pit grating, etc</v>
      </c>
      <c r="C91" t="str">
        <v>N</v>
      </c>
    </row>
    <row r="92" ht="14.25" customHeight="1">
      <c r="A92">
        <f>A91+1</f>
        <v>7</v>
      </c>
      <c r="B92" t="str">
        <v>Flooring at elevator cab</v>
      </c>
      <c r="C92" t="str">
        <v>N</v>
      </c>
    </row>
    <row r="93" ht="14.25" customHeight="1">
      <c r="A93">
        <f>A92+1</f>
        <v>8</v>
      </c>
      <c r="C93" t="str">
        <v>N</v>
      </c>
    </row>
    <row r="94" ht="14.25" customHeight="1"/>
    <row r="95" ht="14.25" customHeight="1">
      <c r="A95" t="str">
        <v>D</v>
      </c>
      <c r="B95" t="str">
        <v>Schedule</v>
      </c>
    </row>
    <row r="96" ht="14.25" customHeight="1">
      <c r="A96">
        <v>1</v>
      </c>
      <c r="B96" t="str">
        <v>Meet MCN Schedule</v>
      </c>
      <c r="C96" t="str">
        <v>Y</v>
      </c>
    </row>
    <row r="97" ht="14.25" customHeight="1">
      <c r="A97">
        <f>A96+1</f>
        <v>2</v>
      </c>
      <c r="B97" t="str">
        <v>Advise of Durations</v>
      </c>
    </row>
    <row r="98" ht="14.25" customHeight="1">
      <c r="A98">
        <f>A97+1</f>
        <v>3</v>
      </c>
      <c r="B98" t="str">
        <v>Activity 1</v>
      </c>
      <c r="C98" t="str">
        <v>---&gt;</v>
      </c>
    </row>
    <row r="99" ht="14.25" customHeight="1">
      <c r="A99">
        <f>A98+1</f>
        <v>4</v>
      </c>
      <c r="B99" t="str">
        <v>Activity 2</v>
      </c>
      <c r="C99" t="str">
        <v>---&gt;</v>
      </c>
    </row>
    <row r="100" ht="14.25" customHeight="1">
      <c r="A100">
        <f>A99+1</f>
        <v>5</v>
      </c>
      <c r="B100" t="str">
        <v>Activity 3</v>
      </c>
      <c r="C100" t="str">
        <v>---&gt;</v>
      </c>
    </row>
    <row r="101" ht="14.25" customHeight="1">
      <c r="A101">
        <f>A100+1</f>
        <v>6</v>
      </c>
      <c r="B101" t="str">
        <v>Duration for Submittals and Shop Drawings</v>
      </c>
      <c r="C101" t="str">
        <v>---&gt;</v>
      </c>
    </row>
    <row r="102" ht="14.25" customHeight="1">
      <c r="A102">
        <f>A101+1</f>
        <v>7</v>
      </c>
      <c r="B102" t="str">
        <v>Advise of Lead Times:</v>
      </c>
    </row>
    <row r="103" ht="14.25" customHeight="1">
      <c r="A103">
        <f>A102+1</f>
        <v>8</v>
      </c>
      <c r="B103" t="str">
        <v>Material 1</v>
      </c>
      <c r="C103" t="str">
        <v>---&gt;</v>
      </c>
    </row>
    <row r="104" ht="14.25" customHeight="1">
      <c r="A104">
        <f>A103+1</f>
        <v>9</v>
      </c>
      <c r="B104" t="str">
        <v>Material 2</v>
      </c>
      <c r="C104" t="str">
        <v>---&gt;</v>
      </c>
    </row>
    <row r="105" ht="14.25" customHeight="1">
      <c r="A105">
        <f>A104+1</f>
        <v>10</v>
      </c>
      <c r="B105" t="str">
        <v>Material 3</v>
      </c>
      <c r="C105" t="str">
        <v>---&gt;</v>
      </c>
    </row>
    <row r="106" ht="14.25" customHeight="1"/>
    <row r="107" ht="14.25" customHeight="1"/>
    <row r="108" ht="14.25" customHeight="1">
      <c r="B108" t="str">
        <v>Allowances</v>
      </c>
    </row>
    <row r="109" ht="14.25" customHeight="1">
      <c r="A109">
        <v>1</v>
      </c>
    </row>
    <row r="110" ht="14.25" customHeight="1">
      <c r="A110">
        <f>A109+1</f>
        <v>2</v>
      </c>
    </row>
    <row r="111" ht="14.25" customHeight="1">
      <c r="A111">
        <f>A110+1</f>
        <v>3</v>
      </c>
    </row>
    <row r="112" ht="14.25" customHeight="1">
      <c r="A112">
        <f>A111+1</f>
        <v>4</v>
      </c>
    </row>
    <row r="113" ht="14.25" customHeight="1"/>
    <row r="114" ht="14.25" customHeight="1"/>
    <row r="115" ht="14.25" customHeight="1">
      <c r="B115" t="str">
        <v>Alternates</v>
      </c>
    </row>
    <row r="116" ht="14.25" customHeight="1">
      <c r="A116">
        <v>1</v>
      </c>
      <c r="C116" t="str">
        <v>#</v>
      </c>
    </row>
    <row r="117" ht="14.25" customHeight="1">
      <c r="A117">
        <f>A116+1</f>
        <v>2</v>
      </c>
      <c r="C117" t="str">
        <v>#</v>
      </c>
    </row>
    <row r="118" ht="14.25" customHeight="1">
      <c r="A118">
        <f>A117+1</f>
        <v>3</v>
      </c>
      <c r="C118" t="str">
        <v>#</v>
      </c>
    </row>
    <row r="119" ht="14.25" customHeight="1">
      <c r="A119">
        <f>A118+1</f>
        <v>4</v>
      </c>
      <c r="C119" t="str">
        <v>#</v>
      </c>
    </row>
    <row r="120" ht="14.25" customHeight="1">
      <c r="C120" t="str">
        <v>#</v>
      </c>
    </row>
    <row r="121" ht="14.25" customHeight="1">
      <c r="B121" t="str">
        <v>Unit Prices</v>
      </c>
    </row>
    <row r="122" ht="14.25" customHeight="1">
      <c r="A122">
        <v>1</v>
      </c>
      <c r="C122" t="str">
        <v>#</v>
      </c>
    </row>
    <row r="123" ht="14.25" customHeight="1">
      <c r="A123">
        <f>A122+1</f>
        <v>2</v>
      </c>
      <c r="C123" t="str">
        <v>#</v>
      </c>
    </row>
    <row r="124" ht="14.25" customHeight="1">
      <c r="A124">
        <f>A123+1</f>
        <v>3</v>
      </c>
      <c r="C124" t="str">
        <v>#</v>
      </c>
    </row>
    <row r="125" ht="14.25" customHeight="1">
      <c r="A125">
        <f>A124+1</f>
        <v>4</v>
      </c>
      <c r="C125" t="str">
        <v>#</v>
      </c>
    </row>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3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21 - FIRE PROTECTION</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s="6">
        <v>46049</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Marcel El Khoury</v>
      </c>
      <c r="C7" t="str">
        <v>Contact:</v>
      </c>
      <c r="G7" s="8" t="str">
        <v>| MCN Budget</v>
      </c>
      <c r="I7" s="8">
        <f>SUM(I20:I107,I13:I18)</f>
        <v>0</v>
      </c>
      <c r="K7" t="str">
        <v>Adjustments:</v>
      </c>
      <c r="L7" s="4">
        <f>SUM(L13:L18,L20:L107)</f>
        <v>0</v>
      </c>
      <c r="N7" t="str">
        <v>Adjustments:</v>
      </c>
      <c r="O7" s="4">
        <f>SUM(O13:O18,O20:O107)</f>
        <v>0</v>
      </c>
      <c r="Q7" t="str">
        <v>Adjustments:</v>
      </c>
      <c r="R7" s="4">
        <f>SUM(R13:R18,R20:R107)</f>
        <v>0</v>
      </c>
      <c r="T7" t="str">
        <v>Adjustments:</v>
      </c>
      <c r="U7" s="4">
        <f>SUM(U13:U18,U20:U107)</f>
        <v>0</v>
      </c>
      <c r="W7" t="str">
        <v>Adjustments:</v>
      </c>
      <c r="X7" s="4">
        <f>SUM(X13:X18,X20:X107)</f>
        <v>0</v>
      </c>
      <c r="Z7" t="str">
        <v>Adjustments:</v>
      </c>
      <c r="AA7" s="4">
        <f>SUM(AA13:AA18,AA20:AA107)</f>
        <v>0</v>
      </c>
      <c r="AC7" t="str">
        <v>Adjustments:</v>
      </c>
      <c r="AD7" s="4">
        <f>SUM(AD13:AD18,AD20:AD107)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marcel.el-khoury@mcnbuild.com</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202-394-6792</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idden="1" ht="14.25" customHeight="1">
      <c r="A21">
        <f>A20+1</f>
        <v>3</v>
      </c>
      <c r="B21" t="str">
        <v>Key Cost Breakdown</v>
      </c>
      <c r="I21" s="8">
        <f>H21*F21</f>
        <v>0</v>
      </c>
    </row>
    <row r="22" hidden="1" ht="14.25" customHeight="1">
      <c r="A22">
        <f>A21+1</f>
        <v>4</v>
      </c>
      <c r="B22" t="str">
        <v>Building</v>
      </c>
      <c r="C22" t="str">
        <v>#</v>
      </c>
      <c r="D22" t="str">
        <v>$</v>
      </c>
      <c r="I22" s="8">
        <f>H22*F22</f>
        <v>0</v>
      </c>
    </row>
    <row r="23" hidden="1" ht="14.25" customHeight="1">
      <c r="A23">
        <f>A22+1</f>
        <v>5</v>
      </c>
      <c r="B23" t="str">
        <v>Garage</v>
      </c>
      <c r="C23" t="str">
        <v>#</v>
      </c>
      <c r="D23" t="str">
        <v>$</v>
      </c>
      <c r="I23" s="8">
        <f>H23*F23</f>
        <v>0</v>
      </c>
    </row>
    <row r="24" hidden="1" ht="14.25" customHeight="1">
      <c r="A24">
        <f>A23+1</f>
        <v>6</v>
      </c>
      <c r="B24" t="str">
        <v>Site</v>
      </c>
      <c r="C24" t="str">
        <v>#</v>
      </c>
      <c r="D24" t="str">
        <v>$</v>
      </c>
      <c r="I24" s="8">
        <f>H24*F24</f>
        <v>0</v>
      </c>
    </row>
    <row r="25" hidden="1" ht="14.25" customHeight="1">
      <c r="A25">
        <f>A24+1</f>
        <v>7</v>
      </c>
      <c r="B25" t="str">
        <v>Demolition</v>
      </c>
      <c r="C25" t="str">
        <v>#</v>
      </c>
      <c r="D25" t="str">
        <v>$</v>
      </c>
      <c r="I25" s="8">
        <f>H25*F25</f>
        <v>0</v>
      </c>
    </row>
    <row r="26" hidden="1" ht="14.25" customHeight="1">
      <c r="A26">
        <f>A25+1</f>
        <v>8</v>
      </c>
      <c r="I26" s="8">
        <f>H26*F26</f>
        <v>0</v>
      </c>
    </row>
    <row r="27" hidden="1" ht="14.25" customHeight="1">
      <c r="A27">
        <f>A26+1</f>
        <v>9</v>
      </c>
      <c r="B27" t="str">
        <v>Key Quantity Breakdown</v>
      </c>
      <c r="I27" s="8">
        <f>H27*F27</f>
        <v>0</v>
      </c>
    </row>
    <row r="28" hidden="1" ht="14.25" customHeight="1">
      <c r="A28">
        <f>A27+1</f>
        <v>10</v>
      </c>
      <c r="B28" t="str">
        <v>Stuff</v>
      </c>
      <c r="C28" t="str">
        <v>#</v>
      </c>
      <c r="D28" t="str">
        <v>CY</v>
      </c>
      <c r="I28" s="8">
        <f>H28*F28</f>
        <v>0</v>
      </c>
    </row>
    <row r="29" hidden="1" ht="14.25" customHeight="1">
      <c r="A29">
        <f>A28+1</f>
        <v>11</v>
      </c>
      <c r="B29" t="str">
        <v>Thing</v>
      </c>
      <c r="C29" t="str">
        <v>#</v>
      </c>
      <c r="D29" t="str">
        <v>SF</v>
      </c>
      <c r="I29" s="8">
        <f>H29*F29</f>
        <v>0</v>
      </c>
    </row>
    <row r="30" hidden="1" ht="14.25" customHeight="1">
      <c r="A30">
        <f>A29+1</f>
        <v>12</v>
      </c>
      <c r="B30" t="str">
        <v>Stuff 2</v>
      </c>
      <c r="C30" t="str">
        <v>#</v>
      </c>
      <c r="D30" t="str">
        <v>LF</v>
      </c>
      <c r="I30" s="8">
        <f>H30*F30</f>
        <v>0</v>
      </c>
    </row>
    <row r="31" hidden="1" ht="14.25" customHeight="1">
      <c r="A31">
        <f>A30+1</f>
        <v>13</v>
      </c>
      <c r="B31" t="str">
        <v>Item</v>
      </c>
      <c r="C31" t="str">
        <v>#</v>
      </c>
      <c r="D31" t="str">
        <v>EA</v>
      </c>
      <c r="I31" s="8">
        <f>H31*F31</f>
        <v>0</v>
      </c>
    </row>
    <row r="32" hidden="1"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 xml:space="preserve">210500  COMMON WORK RESULTS FOR FIRE SUPPRESSION </v>
      </c>
      <c r="C37" t="str">
        <v>Y</v>
      </c>
    </row>
    <row r="38" ht="14.25" customHeight="1">
      <c r="B38" t="str">
        <v xml:space="preserve">210523  GENERAL-DUTY VALVES FOR WATER-BASED FIRE-SUPPRESSION PIPING </v>
      </c>
      <c r="C38" t="str">
        <v>Y</v>
      </c>
    </row>
    <row r="39" ht="14.25" customHeight="1">
      <c r="B39" t="str">
        <v xml:space="preserve">210529  HANGERS AND SUPPORTS FOR FIRE-SUPPRESSION PIPING AND EQUIPMENT </v>
      </c>
      <c r="C39" t="str">
        <v>Y</v>
      </c>
    </row>
    <row r="40" ht="14.25" customHeight="1">
      <c r="B40" t="str">
        <v xml:space="preserve">210553  IDENTIFICATION FOR FIRE-SUPPRESSION PIPING AND EQUIPMENT </v>
      </c>
      <c r="C40" t="str">
        <v>Y</v>
      </c>
    </row>
    <row r="41" ht="14.25" customHeight="1">
      <c r="B41" t="str">
        <v xml:space="preserve">211000  WATER-BASED FIRE-SUPPRESSION SYSTEMS </v>
      </c>
      <c r="C41" t="str">
        <v>Y</v>
      </c>
    </row>
    <row r="42" ht="14.25" customHeight="1">
      <c r="A42" t="str">
        <v>B</v>
      </c>
      <c r="B42" t="str">
        <v>Inclusions</v>
      </c>
    </row>
    <row r="43" ht="14.25" customHeight="1">
      <c r="A43">
        <v>1</v>
      </c>
      <c r="B43" t="str">
        <v>SPECIFIC SCOPE ITEMS</v>
      </c>
      <c r="C43" t="str">
        <v>Y</v>
      </c>
      <c r="I43" s="8">
        <f>H43*F43</f>
        <v>0</v>
      </c>
    </row>
    <row r="44" ht="14.25" customHeight="1">
      <c r="A44">
        <v>2</v>
      </c>
      <c r="B44" t="str">
        <v>Furnish and install tamper switches, flow switches, pressure switches</v>
      </c>
      <c r="C44" t="str">
        <v>Y</v>
      </c>
      <c r="I44" s="8">
        <f>H44*F44</f>
        <v>0</v>
      </c>
    </row>
    <row r="45" ht="14.25" customHeight="1">
      <c r="A45">
        <v>3</v>
      </c>
      <c r="B45" t="str">
        <v>Furnish and install a UL listed fire stopping and sealing of all floor and wall penetrations associated with this scope of work</v>
      </c>
      <c r="C45" t="str">
        <v>Y</v>
      </c>
      <c r="I45" s="8">
        <f>H45*F45</f>
        <v>0</v>
      </c>
    </row>
    <row r="46" ht="14.25" customHeight="1" xml:space="preserve">
      <c r="A46">
        <v>4</v>
      </c>
      <c r="B46" t="str" xml:space="preserve">
        <v xml:space="preserve">
Design, furnish and install a complete fire protection system hydraulically calculated in compliance with the latest adopted edition N.F.P.A. 13,14,20,70, 101 and the requirements of all authorities having jurisdiction.</v>
      </c>
      <c r="C46" t="str">
        <v>Y</v>
      </c>
      <c r="I46" s="8">
        <f>H46*F46</f>
        <v>0</v>
      </c>
    </row>
    <row r="47" ht="14.25" customHeight="1">
      <c r="A47">
        <v>5</v>
      </c>
      <c r="B47" t="str">
        <v xml:space="preserve">Furnish and layout all access doors for concealed equipment, valves, and devices </v>
      </c>
      <c r="C47" t="str">
        <v>Y</v>
      </c>
      <c r="I47" s="8">
        <f>H47*F47</f>
        <v>0</v>
      </c>
    </row>
    <row r="48" ht="14.25" customHeight="1">
      <c r="A48">
        <v>6</v>
      </c>
      <c r="B48" t="str">
        <v>Furnish all close-out requirements and documents (As-builts, O&amp;M Manuals, testing certifications, attic stock, etc.)</v>
      </c>
      <c r="C48" t="str">
        <v>Y</v>
      </c>
      <c r="I48" s="8">
        <f>H48*F48</f>
        <v>0</v>
      </c>
    </row>
    <row r="49" ht="14.25" customHeight="1">
      <c r="A49">
        <v>7</v>
      </c>
      <c r="B49" t="str">
        <v xml:space="preserve">Furnish and install identification, color coding, stenciling, tagging and underground marking for this scope of work. </v>
      </c>
      <c r="C49" t="str">
        <v>Y</v>
      </c>
      <c r="I49" s="8">
        <f>H49*F49</f>
        <v>0</v>
      </c>
    </row>
    <row r="50" ht="14.25" customHeight="1">
      <c r="A50">
        <v>8</v>
      </c>
      <c r="B50" t="str">
        <v>Furnish and install all hangers, and supports any other items required for support of your work.</v>
      </c>
      <c r="C50" t="str">
        <v>Y</v>
      </c>
      <c r="I50" s="8">
        <f>H50*F50</f>
        <v>0</v>
      </c>
    </row>
    <row r="51" ht="14.25" customHeight="1">
      <c r="A51">
        <v>9</v>
      </c>
      <c r="B51" t="str">
        <v>Furnish and install all miscellaneous supports, hanging supports required for equipment included in this scope of work including physical layout</v>
      </c>
      <c r="C51" t="str">
        <v>Y</v>
      </c>
      <c r="I51" s="8">
        <f>H51*F51</f>
        <v>0</v>
      </c>
    </row>
    <row r="52" ht="14.25" customHeight="1">
      <c r="A52">
        <v>10</v>
      </c>
      <c r="B52" t="str">
        <v>Provide coordination with architect/engineer for all cutting &amp; core drilling &amp; patching of walls, floors and/or structural members required for this scope of work</v>
      </c>
      <c r="C52" t="str">
        <v>Y</v>
      </c>
      <c r="I52" s="8">
        <f>H52*F52</f>
        <v>0</v>
      </c>
    </row>
    <row r="53" ht="14.25" customHeight="1">
      <c r="A53">
        <v>11</v>
      </c>
      <c r="B53" t="str">
        <v>Provide x-ray or GPR for all core drills</v>
      </c>
      <c r="C53" t="str">
        <v>Y</v>
      </c>
      <c r="I53" s="8">
        <f>H53*F53</f>
        <v>0</v>
      </c>
    </row>
    <row r="54" ht="14.25" customHeight="1">
      <c r="A54">
        <v>12</v>
      </c>
      <c r="B54" t="str">
        <v>Provide all rigging &amp; hoisting required for sprinkler work</v>
      </c>
      <c r="C54" t="str">
        <v>Y</v>
      </c>
      <c r="I54" s="8">
        <f>H54*F54</f>
        <v>0</v>
      </c>
    </row>
    <row r="55" ht="14.25" customHeight="1">
      <c r="A55">
        <v>13</v>
      </c>
      <c r="B55" t="str">
        <v>Provide all trade specific permits, inspections and associated fees</v>
      </c>
      <c r="C55" t="str">
        <v>Y</v>
      </c>
      <c r="I55" s="8">
        <f>H55*F55</f>
        <v>0</v>
      </c>
    </row>
    <row r="56" ht="14.25" customHeight="1">
      <c r="A56">
        <v>14</v>
      </c>
      <c r="B56" t="str">
        <v>Schedule, coordinate and assist with all testing and inspections, 3rd party inspections, and commissioning for this work</v>
      </c>
      <c r="C56" t="str">
        <v>Y</v>
      </c>
      <c r="I56" s="8">
        <f>H56*F56</f>
        <v>0</v>
      </c>
    </row>
    <row r="57" ht="14.25" customHeight="1">
      <c r="A57">
        <v>15</v>
      </c>
      <c r="B57" t="str">
        <v>All work requiring downtime of an enabled Fire Protection system of any area shall be scheduled 2 weeks in advance, and shall comply with interim life safety measures</v>
      </c>
      <c r="C57" t="str">
        <v>Y</v>
      </c>
      <c r="I57" s="8">
        <f>H57*F57</f>
        <v>0</v>
      </c>
    </row>
    <row r="58" ht="14.25" customHeight="1">
      <c r="A58">
        <v>16</v>
      </c>
      <c r="B58" t="str">
        <v>Provide BIM Coordination design assistance - Mechanical sub to lead</v>
      </c>
      <c r="C58" t="str">
        <v>Y</v>
      </c>
      <c r="I58" s="8">
        <f>H58*F58</f>
        <v>0</v>
      </c>
    </row>
    <row r="59" ht="14.25" customHeight="1">
      <c r="A59">
        <v>17</v>
      </c>
      <c r="B59" t="str">
        <v>comply with specifications for coordinated drawings</v>
      </c>
      <c r="C59" t="str">
        <v>Y</v>
      </c>
      <c r="I59" s="8">
        <f>H59*F59</f>
        <v>0</v>
      </c>
    </row>
    <row r="60" ht="14.25" customHeight="1">
      <c r="A60">
        <v>18</v>
      </c>
      <c r="B60" t="str">
        <v>Coordinate all work with project phasing requirements</v>
      </c>
      <c r="C60" t="str">
        <v>Y</v>
      </c>
      <c r="I60" s="8">
        <f>H60*F60</f>
        <v>0</v>
      </c>
    </row>
    <row r="61" ht="14.25" customHeight="1">
      <c r="A61">
        <v>19</v>
      </c>
      <c r="B61" t="str">
        <v>Standpipes and fire dept valves at egress stairwells per contract documents and specifications if required, if not, provide fire sprinkler riser</v>
      </c>
      <c r="C61" t="str">
        <v>Y</v>
      </c>
      <c r="I61" s="8">
        <f>H61*F61</f>
        <v>0</v>
      </c>
    </row>
    <row r="62" ht="14.25" customHeight="1">
      <c r="A62">
        <v>20</v>
      </c>
      <c r="B62" t="str">
        <v>Furnish and install FDC that is attached to the building, if any required</v>
      </c>
      <c r="C62" t="str">
        <v>Y</v>
      </c>
      <c r="I62" s="8">
        <f>H62*F62</f>
        <v>0</v>
      </c>
    </row>
    <row r="63" ht="14.25" customHeight="1">
      <c r="A63">
        <v>21</v>
      </c>
      <c r="B63" t="str">
        <v>Furnish FDC Post (typ) - refer to 11/FP3.1 - Post is on site - all water connections to post in the building to be furnished and installed by you and stubbed out to 5' outside of build - site utlities subcontractor to connect to stubbed out pipe and install FDC post furnished by you.</v>
      </c>
      <c r="C63" t="str">
        <v>Y</v>
      </c>
    </row>
    <row r="64" ht="14.25" customHeight="1">
      <c r="A64">
        <v>22</v>
      </c>
      <c r="B64" t="str">
        <v>Provide all equipment neccesssary to comply with vibration and seismic controls requirements</v>
      </c>
      <c r="C64" t="str">
        <v>Y</v>
      </c>
      <c r="I64" s="8">
        <f>H64*F64</f>
        <v>0</v>
      </c>
    </row>
    <row r="65" ht="14.25" customHeight="1">
      <c r="A65">
        <v>23</v>
      </c>
      <c r="B65" t="str">
        <v>Provide Alarm Valve at fire service entrance at buildings</v>
      </c>
      <c r="C65" t="str">
        <v>Y</v>
      </c>
      <c r="I65" s="8">
        <f>H65*F65</f>
        <v>0</v>
      </c>
    </row>
    <row r="66" ht="14.25" customHeight="1">
      <c r="A66">
        <v>24</v>
      </c>
      <c r="B66" t="str">
        <v>Control panels</v>
      </c>
      <c r="C66" t="str">
        <v>Y</v>
      </c>
      <c r="I66" s="8">
        <f>H66*F66</f>
        <v>0</v>
      </c>
    </row>
    <row r="67" ht="14.25" customHeight="1">
      <c r="A67">
        <v>25</v>
      </c>
      <c r="B67" t="str">
        <v>Fire Hose valves with hose rack assembly &amp; cabinet</v>
      </c>
      <c r="C67" t="str">
        <v>Y</v>
      </c>
      <c r="I67" s="8">
        <f>H67*F67</f>
        <v>0</v>
      </c>
    </row>
    <row r="68" ht="14.25" customHeight="1">
      <c r="A68">
        <v>26</v>
      </c>
      <c r="C68" t="str">
        <v>Y</v>
      </c>
      <c r="I68" s="8">
        <f>H68*F68</f>
        <v>0</v>
      </c>
    </row>
    <row r="69" ht="14.25" customHeight="1">
      <c r="A69">
        <v>27</v>
      </c>
      <c r="B69" t="str">
        <v>note: Sprinkler pipe tpo be schedule 40 black steel</v>
      </c>
      <c r="C69" t="str">
        <v>Y</v>
      </c>
      <c r="I69" s="8">
        <f>H69*F69</f>
        <v>0</v>
      </c>
    </row>
    <row r="70" ht="14.25" customHeight="1">
      <c r="A70">
        <v>28</v>
      </c>
      <c r="B70" t="str">
        <v>note: Drain pipe to be schedule 40 GI</v>
      </c>
      <c r="C70" t="str">
        <v>Y</v>
      </c>
      <c r="I70" s="8">
        <f>H70*F70</f>
        <v>0</v>
      </c>
    </row>
    <row r="71" ht="14.25" customHeight="1">
      <c r="A71">
        <v>29</v>
      </c>
      <c r="I71" s="8">
        <f>H71*F71</f>
        <v>0</v>
      </c>
    </row>
    <row r="72" ht="14.25" customHeight="1">
      <c r="A72">
        <v>30</v>
      </c>
      <c r="B72" t="str">
        <v>General</v>
      </c>
      <c r="C72" t="str">
        <v>Y</v>
      </c>
      <c r="I72" s="8">
        <f>H72*F72</f>
        <v>0</v>
      </c>
    </row>
    <row r="73" ht="14.25" customHeight="1">
      <c r="A73">
        <v>31</v>
      </c>
      <c r="B73" t="str">
        <v>All shop drawings, submittals and final permit drawings for final inspection</v>
      </c>
      <c r="C73" t="str">
        <v>Y</v>
      </c>
      <c r="I73" s="8">
        <f>H73*F73</f>
        <v>0</v>
      </c>
    </row>
    <row r="74" ht="14.25" customHeight="1">
      <c r="A74">
        <v>32</v>
      </c>
      <c r="B74" t="str">
        <v>Hydraulic Calculations</v>
      </c>
      <c r="C74" t="str">
        <v>Y</v>
      </c>
    </row>
    <row r="75" ht="14.25" customHeight="1">
      <c r="A75">
        <v>33</v>
      </c>
      <c r="B75" t="str">
        <v>Identification &amp; Tagging</v>
      </c>
      <c r="C75" t="str">
        <v>Y</v>
      </c>
    </row>
    <row r="76" ht="14.25" customHeight="1">
      <c r="A76">
        <v>34</v>
      </c>
      <c r="B76" t="str">
        <v>System final test and as required per plans and specs</v>
      </c>
      <c r="C76" t="str">
        <v>Y</v>
      </c>
    </row>
    <row r="77" ht="14.25" customHeight="1">
      <c r="A77">
        <v>35</v>
      </c>
      <c r="B77" t="str">
        <v>Hydrostatic, Function and backflow tests, etc…</v>
      </c>
      <c r="C77" t="str">
        <v>Y</v>
      </c>
    </row>
    <row r="78" ht="14.25" customHeight="1">
      <c r="A78">
        <v>36</v>
      </c>
    </row>
    <row r="79" ht="14.25" customHeight="1">
      <c r="A79" t="str">
        <v>C</v>
      </c>
      <c r="B79" t="str">
        <v>Exclusions</v>
      </c>
    </row>
    <row r="80" ht="14.25" customHeight="1">
      <c r="A80">
        <v>1</v>
      </c>
      <c r="B80" t="str">
        <v>Concrete Pads</v>
      </c>
      <c r="C80" t="str">
        <v>N</v>
      </c>
      <c r="D80" t="str">
        <v>by concrete</v>
      </c>
    </row>
    <row r="81" ht="14.25" customHeight="1">
      <c r="A81">
        <f>A80+1</f>
        <v>2</v>
      </c>
      <c r="B81" t="str">
        <v>Installation of Access Doors</v>
      </c>
      <c r="C81" t="str">
        <v>N</v>
      </c>
      <c r="D81" t="str">
        <v>by drywall</v>
      </c>
    </row>
    <row r="82" ht="14.25" customHeight="1">
      <c r="A82">
        <f>A81+1</f>
        <v>3</v>
      </c>
      <c r="B82" t="str">
        <v>Power Wiring of fire protection equipment</v>
      </c>
      <c r="C82" t="str">
        <v>N</v>
      </c>
      <c r="D82" t="str">
        <v>by elec</v>
      </c>
    </row>
    <row r="83" ht="14.25" customHeight="1">
      <c r="A83">
        <f>A82+1</f>
        <v>4</v>
      </c>
      <c r="B83" t="str">
        <v>Sales Tax</v>
      </c>
      <c r="C83" t="str">
        <v>N</v>
      </c>
      <c r="D83" t="str">
        <v>Public Job</v>
      </c>
    </row>
    <row r="84" ht="14.25" customHeight="1">
      <c r="A84">
        <f>A83+1</f>
        <v>5</v>
      </c>
      <c r="C84" t="str">
        <v>N</v>
      </c>
    </row>
    <row r="85" hidden="1" ht="14.25" customHeight="1">
      <c r="A85">
        <f>A84+1</f>
        <v>6</v>
      </c>
      <c r="C85" t="str">
        <v>N</v>
      </c>
    </row>
    <row r="86" hidden="1" ht="14.25" customHeight="1">
      <c r="A86">
        <f>A85+1</f>
        <v>7</v>
      </c>
      <c r="C86" t="str">
        <v>N</v>
      </c>
    </row>
    <row r="87" hidden="1" ht="14.25" customHeight="1">
      <c r="A87">
        <f>A86+1</f>
        <v>8</v>
      </c>
      <c r="C87" t="str">
        <v>N</v>
      </c>
    </row>
    <row r="88" hidden="1" ht="14.25" customHeight="1"/>
    <row r="89" ht="14.25" customHeight="1">
      <c r="A89" t="str">
        <v>D</v>
      </c>
      <c r="B89" t="str">
        <v>Schedule</v>
      </c>
    </row>
    <row r="90" ht="14.25" customHeight="1">
      <c r="A90">
        <v>1</v>
      </c>
      <c r="B90" t="str">
        <v>Meet MCN Schedule</v>
      </c>
      <c r="C90" t="str">
        <v>Y</v>
      </c>
    </row>
    <row r="91" ht="14.25" customHeight="1">
      <c r="A91">
        <f>A90+1</f>
        <v>2</v>
      </c>
      <c r="B91" t="str">
        <v>Advise of Durations</v>
      </c>
    </row>
    <row r="92" ht="14.25" customHeight="1">
      <c r="A92">
        <f>A91+1</f>
        <v>3</v>
      </c>
      <c r="B92" t="str">
        <v>Duration to install sprinkler pipe network</v>
      </c>
      <c r="C92" t="str">
        <v>---&gt;</v>
      </c>
    </row>
    <row r="93" ht="14.25" customHeight="1">
      <c r="A93">
        <f>A92+1</f>
        <v>4</v>
      </c>
      <c r="B93" t="str">
        <v>Duration to install sprinkler heads</v>
      </c>
      <c r="C93" t="str">
        <v>---&gt;</v>
      </c>
    </row>
    <row r="94" ht="14.25" customHeight="1">
      <c r="A94">
        <f>A93+1</f>
        <v>5</v>
      </c>
      <c r="C94" t="str">
        <v>---&gt;</v>
      </c>
    </row>
    <row r="95" ht="14.25" customHeight="1">
      <c r="A95">
        <f>A94+1</f>
        <v>6</v>
      </c>
      <c r="B95" t="str">
        <v>Duration for Submittals and Shop Drawings</v>
      </c>
      <c r="C95" t="str">
        <v>---&gt;</v>
      </c>
    </row>
    <row r="96" ht="14.25" customHeight="1">
      <c r="A96">
        <f>A95+1</f>
        <v>7</v>
      </c>
      <c r="B96" t="str">
        <v>Advise of Lead Times:</v>
      </c>
    </row>
    <row r="97" ht="14.25" customHeight="1">
      <c r="A97">
        <f>A96+1</f>
        <v>8</v>
      </c>
      <c r="B97" t="str">
        <v>Engineered Drawings/Submittals</v>
      </c>
      <c r="C97" t="str">
        <v>---&gt;</v>
      </c>
    </row>
    <row r="98" ht="14.25" customHeight="1">
      <c r="A98">
        <f>A97+1</f>
        <v>9</v>
      </c>
      <c r="B98" t="str">
        <v>Sprinkler Pipe</v>
      </c>
      <c r="C98" t="str">
        <v>---&gt;</v>
      </c>
    </row>
    <row r="99" ht="14.25" customHeight="1">
      <c r="A99">
        <f>A98+1</f>
        <v>10</v>
      </c>
      <c r="B99" t="str">
        <v>Sprinkler heads</v>
      </c>
      <c r="C99" t="str">
        <v>---&gt;</v>
      </c>
    </row>
    <row r="100" ht="14.25" customHeight="1"/>
    <row r="101" ht="14.25" customHeight="1"/>
    <row r="102" ht="14.25" customHeight="1">
      <c r="B102" t="str">
        <v>Allowances</v>
      </c>
    </row>
    <row r="103" ht="14.25" customHeight="1">
      <c r="A103">
        <v>1</v>
      </c>
    </row>
    <row r="104" ht="14.25" customHeight="1">
      <c r="A104">
        <f>A103+1</f>
        <v>2</v>
      </c>
      <c r="B104" t="str">
        <v>N/A</v>
      </c>
    </row>
    <row r="105" ht="14.25" customHeight="1">
      <c r="A105">
        <f>A104+1</f>
        <v>3</v>
      </c>
    </row>
    <row r="106" hidden="1" ht="14.25" customHeight="1">
      <c r="A106">
        <f>A105+1</f>
        <v>4</v>
      </c>
    </row>
    <row r="107" hidden="1" ht="14.25" customHeight="1"/>
    <row r="108" ht="14.25" customHeight="1"/>
    <row r="109" ht="14.25" customHeight="1">
      <c r="B109" t="str">
        <v>Alternates</v>
      </c>
    </row>
    <row r="110" ht="14.25" customHeight="1">
      <c r="A110">
        <v>1</v>
      </c>
      <c r="C110" t="str">
        <v>#</v>
      </c>
    </row>
    <row r="111" ht="14.25" customHeight="1">
      <c r="A111">
        <f>A110+1</f>
        <v>2</v>
      </c>
      <c r="B111" t="str">
        <v>ALT 01: Provide Payment &amp; Performance Bond</v>
      </c>
      <c r="C111" t="str">
        <v>#</v>
      </c>
    </row>
    <row r="112" ht="14.25" customHeight="1">
      <c r="A112">
        <f>A111+1</f>
        <v>3</v>
      </c>
      <c r="B112" t="str">
        <v>ALT 02: Jockey pump and or fire pump (advise if needed - non shown)</v>
      </c>
      <c r="C112" t="str">
        <v>#</v>
      </c>
    </row>
    <row r="113" ht="14.25" customHeight="1">
      <c r="A113">
        <f>A112+1</f>
        <v>4</v>
      </c>
      <c r="B113" t="str">
        <v>ALT 03: Furnish fire protection backflow preventer (installed by plumber)</v>
      </c>
      <c r="C113" t="str">
        <v>#</v>
      </c>
    </row>
    <row r="114" ht="14.25" customHeight="1">
      <c r="A114">
        <f>A113+1</f>
        <v>5</v>
      </c>
    </row>
    <row r="115" hidden="1" ht="14.25" customHeight="1">
      <c r="B115" t="str">
        <v>Unit Prices</v>
      </c>
    </row>
    <row r="116" hidden="1" ht="14.25" customHeight="1">
      <c r="A116">
        <v>1</v>
      </c>
      <c r="C116" t="str">
        <v>#</v>
      </c>
    </row>
    <row r="117" hidden="1" ht="14.25" customHeight="1">
      <c r="A117">
        <f>A116+1</f>
        <v>2</v>
      </c>
      <c r="C117" t="str">
        <v>#</v>
      </c>
    </row>
    <row r="118" hidden="1" ht="14.25" customHeight="1">
      <c r="A118">
        <f>A117+1</f>
        <v>3</v>
      </c>
      <c r="C118" t="str">
        <v>#</v>
      </c>
    </row>
    <row r="119" hidden="1" ht="14.25" customHeight="1">
      <c r="A119">
        <f>A118+1</f>
        <v>4</v>
      </c>
      <c r="C119" t="str">
        <v>#</v>
      </c>
    </row>
    <row r="120" hidden="1"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B8" r:id="rId1"/>
  </hyperlinks>
  <pageMargins left="0.7" right="0.7" top="0.25" bottom="0.75" header="0" footer="0"/>
  <ignoredErrors>
    <ignoredError numberStoredAsText="1" sqref="A1:AO1000"/>
  </ignoredErrors>
</worksheet>
</file>

<file path=xl/worksheets/sheet3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22 - PLUMBING</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s="6">
        <v>46049</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Marcel El Khoury</v>
      </c>
      <c r="C7" t="str">
        <v>Contact:</v>
      </c>
      <c r="G7" s="8" t="str">
        <v>| MCN Budget</v>
      </c>
      <c r="I7" s="8">
        <f>SUM(I20:I166,I13:I18)</f>
        <v>0</v>
      </c>
      <c r="K7" t="str">
        <v>Adjustments:</v>
      </c>
      <c r="L7" s="4">
        <f>SUM(L13:L18,L20:L166)</f>
        <v>0</v>
      </c>
      <c r="N7" t="str">
        <v>Adjustments:</v>
      </c>
      <c r="O7" s="4">
        <f>SUM(O13:O18,O20:O166)</f>
        <v>0</v>
      </c>
      <c r="Q7" t="str">
        <v>Adjustments:</v>
      </c>
      <c r="R7" s="4">
        <f>SUM(R13:R18,R20:R166)</f>
        <v>0</v>
      </c>
      <c r="T7" t="str">
        <v>Adjustments:</v>
      </c>
      <c r="U7" s="4">
        <f>SUM(U13:U18,U20:U166)</f>
        <v>0</v>
      </c>
      <c r="W7" t="str">
        <v>Adjustments:</v>
      </c>
      <c r="X7" s="4">
        <f>SUM(X13:X18,X20:X166)</f>
        <v>0</v>
      </c>
      <c r="Z7" t="str">
        <v>Adjustments:</v>
      </c>
      <c r="AA7" s="4">
        <f>SUM(AA13:AA18,AA20:AA166)</f>
        <v>0</v>
      </c>
      <c r="AC7" t="str">
        <v>Adjustments:</v>
      </c>
      <c r="AD7" s="4">
        <f>SUM(AD13:AD18,AD20:AD166)</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marcel.el-khoury@mcnbuild.com</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202-394-6792</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Plumbing Fixtures</v>
      </c>
      <c r="C22" t="str">
        <v>#</v>
      </c>
      <c r="D22" t="str">
        <v>$</v>
      </c>
      <c r="I22" s="8">
        <f>H22*F22</f>
        <v>0</v>
      </c>
    </row>
    <row r="23" ht="14.25" customHeight="1">
      <c r="A23">
        <f>A22+1</f>
        <v>5</v>
      </c>
      <c r="B23" t="str">
        <v>Water Source Heat pump Water Heater</v>
      </c>
      <c r="C23" t="str">
        <v>#</v>
      </c>
      <c r="D23" t="str">
        <v>$</v>
      </c>
      <c r="I23" s="8">
        <f>H23*F23</f>
        <v>0</v>
      </c>
    </row>
    <row r="24" ht="14.25" customHeight="1">
      <c r="A24">
        <f>A23+1</f>
        <v>6</v>
      </c>
      <c r="B24" t="str">
        <v>electric Domestic water Heaters</v>
      </c>
      <c r="C24" t="str">
        <v>#</v>
      </c>
      <c r="D24" t="str">
        <v>$</v>
      </c>
      <c r="I24" s="8">
        <f>H24*F24</f>
        <v>0</v>
      </c>
    </row>
    <row r="25" ht="14.25" customHeight="1">
      <c r="A25">
        <f>A24+1</f>
        <v>7</v>
      </c>
      <c r="B25" t="str">
        <v>Domestic water distribution pipes</v>
      </c>
      <c r="C25" t="str">
        <v>#</v>
      </c>
      <c r="D25" t="str">
        <v>$</v>
      </c>
      <c r="I25" s="8">
        <f>H25*F25</f>
        <v>0</v>
      </c>
    </row>
    <row r="26" ht="14.25" customHeight="1">
      <c r="A26">
        <f>A25+1</f>
        <v>8</v>
      </c>
      <c r="B26" t="str">
        <v>Sanitary and Waste water pipes</v>
      </c>
      <c r="C26" t="str">
        <v>#</v>
      </c>
      <c r="D26" t="str">
        <v>$</v>
      </c>
    </row>
    <row r="27" ht="14.25" customHeight="1">
      <c r="A27">
        <f>A26+1</f>
        <v>9</v>
      </c>
      <c r="B27" t="str">
        <v>Storm water and roof drainage pipes</v>
      </c>
      <c r="C27" t="str">
        <v>#</v>
      </c>
      <c r="D27" t="str">
        <v>$</v>
      </c>
    </row>
    <row r="28" hidden="1" ht="12.75" customHeight="1">
      <c r="A28">
        <f>A27+1</f>
        <v>10</v>
      </c>
      <c r="C28" t="str">
        <v>#</v>
      </c>
      <c r="D28" t="str">
        <v>$</v>
      </c>
    </row>
    <row r="29" ht="14.25" customHeight="1">
      <c r="A29">
        <f>A28+1</f>
        <v>11</v>
      </c>
      <c r="I29" s="8">
        <f>H29*F29</f>
        <v>0</v>
      </c>
    </row>
    <row r="30" ht="14.25" customHeight="1">
      <c r="A30">
        <f>A29+1</f>
        <v>12</v>
      </c>
      <c r="B30" t="str">
        <v>Key Quantity Breakdown</v>
      </c>
      <c r="I30" s="8">
        <f>H30*F30</f>
        <v>0</v>
      </c>
    </row>
    <row r="31" ht="14.25" customHeight="1">
      <c r="A31">
        <f>A30+1</f>
        <v>13</v>
      </c>
      <c r="B31" t="str">
        <v>Domestic water distribution pipes</v>
      </c>
      <c r="C31" t="str">
        <v>#</v>
      </c>
      <c r="D31" t="str">
        <v>LF</v>
      </c>
      <c r="I31" s="8">
        <f>H31*F31</f>
        <v>0</v>
      </c>
    </row>
    <row r="32" ht="14.25" customHeight="1">
      <c r="A32">
        <f>A31+1</f>
        <v>14</v>
      </c>
      <c r="B32" t="str">
        <v>Sanitary and Waste water pipes</v>
      </c>
      <c r="C32" t="str">
        <v>#</v>
      </c>
      <c r="D32" t="str">
        <v>LF</v>
      </c>
      <c r="I32" s="8">
        <f>H32*F32</f>
        <v>0</v>
      </c>
    </row>
    <row r="33" ht="14.25" customHeight="1">
      <c r="A33">
        <f>A32+1</f>
        <v>15</v>
      </c>
      <c r="B33" t="str">
        <v>Storm water and roof drainage pipes</v>
      </c>
      <c r="C33" t="str">
        <v>#</v>
      </c>
      <c r="D33" t="str">
        <v>LF</v>
      </c>
      <c r="I33" s="8">
        <f>H33*F33</f>
        <v>0</v>
      </c>
    </row>
    <row r="34" ht="14.25" customHeight="1">
      <c r="A34">
        <f>A33+1</f>
        <v>16</v>
      </c>
      <c r="C34" t="str">
        <v>#</v>
      </c>
      <c r="D34" t="str">
        <v>EA</v>
      </c>
      <c r="I34" s="8">
        <f>H34*F34</f>
        <v>0</v>
      </c>
    </row>
    <row r="35" hidden="1" ht="14.25" customHeight="1">
      <c r="A35">
        <f>A34+1</f>
        <v>17</v>
      </c>
      <c r="C35" t="str">
        <v>#</v>
      </c>
      <c r="D35" t="str">
        <v>EA</v>
      </c>
    </row>
    <row r="36" hidden="1" ht="14.25" customHeight="1">
      <c r="A36">
        <f>A35+1</f>
        <v>18</v>
      </c>
      <c r="I36" s="8">
        <f>H36*F36</f>
        <v>0</v>
      </c>
    </row>
    <row r="37" ht="14.25" customHeight="1">
      <c r="B37" t="str">
        <v>Section 3 - Scope of Work</v>
      </c>
    </row>
    <row r="38" ht="14.25" customHeight="1">
      <c r="B38" t="str">
        <v>Furnish and Install All Items UON</v>
      </c>
      <c r="C38" t="str">
        <v>Y</v>
      </c>
    </row>
    <row r="39" ht="14.25" customHeight="1">
      <c r="A39" t="str">
        <v>A</v>
      </c>
      <c r="B39" t="str">
        <v>Specifications</v>
      </c>
    </row>
    <row r="40" ht="14.25" customHeight="1">
      <c r="A40">
        <v>1</v>
      </c>
      <c r="B40" t="str">
        <v>Division 01 - General Requirements</v>
      </c>
      <c r="C40" t="str">
        <v>Y</v>
      </c>
    </row>
    <row r="41" ht="14.25" customHeight="1">
      <c r="A41">
        <v>2</v>
      </c>
      <c r="B41" t="str">
        <v xml:space="preserve">220500  COMMON WORK RESULTS FOR PLUMBING </v>
      </c>
      <c r="C41" t="str">
        <v>Y</v>
      </c>
    </row>
    <row r="42" ht="14.25" customHeight="1">
      <c r="A42">
        <v>3</v>
      </c>
      <c r="B42" t="str">
        <v xml:space="preserve">220523  GENERAL-DUTY VALVES FOR PLUMBING PIPING </v>
      </c>
      <c r="C42" t="str">
        <v>Y</v>
      </c>
    </row>
    <row r="43" ht="14.25" customHeight="1">
      <c r="A43">
        <v>4</v>
      </c>
      <c r="B43" t="str">
        <v xml:space="preserve">220529  HANGERS AND SUPPORTS FOR PLUMBING PIPING AND EQUIPMENT </v>
      </c>
      <c r="C43" t="str">
        <v>Y</v>
      </c>
    </row>
    <row r="44" ht="14.25" customHeight="1">
      <c r="A44">
        <v>5</v>
      </c>
      <c r="B44" t="str">
        <v xml:space="preserve">220533  HEAT TRACING FOR PLUMBING PIPING </v>
      </c>
      <c r="C44" t="str">
        <v>Y</v>
      </c>
    </row>
    <row r="45" ht="14.25" customHeight="1">
      <c r="A45">
        <v>6</v>
      </c>
      <c r="B45" t="str">
        <v xml:space="preserve">220548.13 VIBRATION CONTROLS FOR PLUMBING PIPING AND EQUIPMENT </v>
      </c>
      <c r="C45" t="str">
        <v>Y</v>
      </c>
    </row>
    <row r="46" ht="14.25" customHeight="1">
      <c r="A46">
        <v>7</v>
      </c>
      <c r="B46" t="str">
        <v xml:space="preserve">220553  IDENTIFICATION FOR PLUMBING PIPING AND EQUIPMENT </v>
      </c>
      <c r="C46" t="str">
        <v>Y</v>
      </c>
    </row>
    <row r="47" ht="14.25" customHeight="1">
      <c r="A47">
        <v>8</v>
      </c>
      <c r="B47" t="str">
        <v xml:space="preserve">221116  DOMESTIC WATER PIPING </v>
      </c>
      <c r="C47" t="str">
        <v>Y</v>
      </c>
    </row>
    <row r="48" ht="14.25" customHeight="1">
      <c r="A48">
        <v>9</v>
      </c>
      <c r="B48" t="str">
        <v xml:space="preserve">221119  DOMESTIC WATER PIPING SPECIALTIES </v>
      </c>
      <c r="C48" t="str">
        <v>Y</v>
      </c>
    </row>
    <row r="49" ht="14.25" customHeight="1">
      <c r="A49">
        <v>10</v>
      </c>
      <c r="B49" t="str">
        <v xml:space="preserve">221123.13 DOMESTIC-WATER PACKAGED BOOSTER PUMPS </v>
      </c>
      <c r="C49" t="str">
        <v>Y</v>
      </c>
    </row>
    <row r="50" ht="14.25" customHeight="1">
      <c r="A50">
        <v>11</v>
      </c>
      <c r="B50" t="str">
        <v xml:space="preserve">221123.21 INLINE, DOMESTIC-WATER PUMPS </v>
      </c>
      <c r="C50" t="str">
        <v>Y</v>
      </c>
    </row>
    <row r="51" ht="14.25" customHeight="1">
      <c r="A51">
        <v>12</v>
      </c>
      <c r="B51" t="str">
        <v xml:space="preserve">221316  SANITARY WASTE AND VENT PIPING </v>
      </c>
      <c r="C51" t="str">
        <v>Y</v>
      </c>
    </row>
    <row r="52" ht="14.25" customHeight="1">
      <c r="A52">
        <v>13</v>
      </c>
      <c r="B52" t="str">
        <v xml:space="preserve">221319  SANITARY WASTE PIPING SPECIALTIES </v>
      </c>
      <c r="C52" t="str">
        <v>Y</v>
      </c>
    </row>
    <row r="53" ht="14.25" customHeight="1">
      <c r="A53">
        <v>14</v>
      </c>
      <c r="B53" t="str">
        <v xml:space="preserve">221319.13 SANITARY DRAINS </v>
      </c>
      <c r="C53" t="str">
        <v>Y</v>
      </c>
    </row>
    <row r="54" ht="14.25" customHeight="1">
      <c r="A54">
        <v>15</v>
      </c>
      <c r="B54" t="str">
        <v xml:space="preserve">221323  SANITARY WASTE INTERCEPTORS </v>
      </c>
      <c r="C54" t="str">
        <v>Y</v>
      </c>
    </row>
    <row r="55" ht="14.25" customHeight="1">
      <c r="A55">
        <v>16</v>
      </c>
      <c r="B55" t="str">
        <v xml:space="preserve">221414  STORM DRAINAGE PIPING </v>
      </c>
      <c r="C55" t="str">
        <v>Y</v>
      </c>
    </row>
    <row r="56" ht="14.25" customHeight="1">
      <c r="A56">
        <v>17</v>
      </c>
      <c r="B56" t="str">
        <v xml:space="preserve">221423  STORM DRAINAGE PIPING SPECIALTIES </v>
      </c>
      <c r="C56" t="str">
        <v>Y</v>
      </c>
    </row>
    <row r="57" ht="14.25" customHeight="1">
      <c r="A57">
        <v>18</v>
      </c>
      <c r="B57" t="str">
        <v xml:space="preserve">221429  SUMP PUMPS </v>
      </c>
      <c r="C57" t="str">
        <v>Y</v>
      </c>
    </row>
    <row r="58" ht="14.25" customHeight="1">
      <c r="A58">
        <v>19</v>
      </c>
      <c r="B58" t="str">
        <v xml:space="preserve">223300  ELECTRIC, DOMESTIC-WATER HEATERS </v>
      </c>
      <c r="C58" t="str">
        <v>Y</v>
      </c>
    </row>
    <row r="59" ht="14.25" customHeight="1">
      <c r="A59">
        <v>20</v>
      </c>
      <c r="B59" t="str">
        <v xml:space="preserve">224200  COMMERCIAL PLUMBING FIXTURES </v>
      </c>
      <c r="C59" t="str">
        <v>Y</v>
      </c>
    </row>
    <row r="60" ht="14.25" customHeight="1">
      <c r="A60">
        <v>21</v>
      </c>
      <c r="B60" t="str">
        <v xml:space="preserve">224500  EMERGENCY PLUMBING FIXTURES </v>
      </c>
      <c r="C60" t="str">
        <v>Y</v>
      </c>
    </row>
    <row r="61" ht="14.25" customHeight="1">
      <c r="A61">
        <v>22</v>
      </c>
      <c r="B61" t="str">
        <v xml:space="preserve">224700  DRINKING FOUNTAINS AND WATER COOLERS </v>
      </c>
      <c r="C61" t="str">
        <v>Y</v>
      </c>
    </row>
    <row r="62" ht="14.25" customHeight="1">
      <c r="A62" t="str">
        <v>B</v>
      </c>
      <c r="B62" t="str">
        <v>Inclusions</v>
      </c>
    </row>
    <row r="63" ht="14.25" customHeight="1">
      <c r="A63">
        <v>1</v>
      </c>
      <c r="B63" t="str">
        <v>SPECIFIC SCOPE ITEMS</v>
      </c>
      <c r="C63" t="str">
        <v>Y</v>
      </c>
      <c r="I63" s="8">
        <f>H63*F63</f>
        <v>0</v>
      </c>
    </row>
    <row r="64" ht="14.25" customHeight="1">
      <c r="A64">
        <v>2</v>
      </c>
    </row>
    <row r="65" ht="14.25" customHeight="1">
      <c r="A65">
        <v>3</v>
      </c>
      <c r="B65" t="str">
        <v>Furnish and install a complete Domestic Water, Storm, Sanitary with all components, accessories, tests and adjustments as necessary to render a fully operational and complete working system.</v>
      </c>
      <c r="C65" t="str">
        <v>Y</v>
      </c>
    </row>
    <row r="66" ht="14.25" customHeight="1">
      <c r="A66">
        <v>4</v>
      </c>
      <c r="B66" t="str">
        <v>Cut, Cape and Make safe - demolition is by others</v>
      </c>
      <c r="C66" t="str">
        <v>Y</v>
      </c>
    </row>
    <row r="67" ht="14.25" customHeight="1">
      <c r="A67">
        <v>5</v>
      </c>
      <c r="B67" t="str">
        <v>Installation of plumbing equipment per code and service access</v>
      </c>
      <c r="C67" t="str">
        <v>Y</v>
      </c>
    </row>
    <row r="68" ht="14.25" customHeight="1">
      <c r="A68">
        <v>6</v>
      </c>
      <c r="B68" t="str">
        <v>coordinate slab penetrations w/strut, mech, electrical and utilities subcontractor</v>
      </c>
      <c r="C68" t="str">
        <v>Y</v>
      </c>
    </row>
    <row r="69" ht="14.25" customHeight="1">
      <c r="A69">
        <v>7</v>
      </c>
      <c r="B69" t="str">
        <v xml:space="preserve">Flush, pressure test, sanitize and sterilize piping systems in compliance with state and local codes </v>
      </c>
      <c r="C69" t="str">
        <v>Y</v>
      </c>
    </row>
    <row r="70" ht="14.25" customHeight="1">
      <c r="A70">
        <v>8</v>
      </c>
      <c r="B70" t="str">
        <v>Provide all trade specific permits, inspections and associated fee.</v>
      </c>
      <c r="C70" t="str">
        <v>Y</v>
      </c>
    </row>
    <row r="71" ht="14.25" customHeight="1">
      <c r="A71">
        <v>9</v>
      </c>
      <c r="B71" t="str">
        <v xml:space="preserve">Furnish and install floor drains, roof drains &amp; trench drains as shown and specified in contract documents. </v>
      </c>
      <c r="C71" t="str">
        <v>Y</v>
      </c>
    </row>
    <row r="72" ht="14.25" customHeight="1">
      <c r="A72">
        <v>10</v>
      </c>
      <c r="B72" t="str">
        <v>Furnish and install and provide factory certified start-up of Filtration Skids if applicable</v>
      </c>
      <c r="C72" t="str">
        <v>Y</v>
      </c>
    </row>
    <row r="73" ht="14.25" customHeight="1">
      <c r="A73">
        <v>11</v>
      </c>
      <c r="B73" t="str">
        <v>Furnish and install a complete elevator sump pump with necessary controls and accessories. Electrical connections by Electrical Contractor. Coordinate work with other trades.</v>
      </c>
      <c r="C73" t="str">
        <v>Y</v>
      </c>
    </row>
    <row r="74" ht="14.25" customHeight="1">
      <c r="A74">
        <v>12</v>
      </c>
      <c r="B74" t="str">
        <v>Furnish and install Goethermal mainfold Sump Pump see MS101</v>
      </c>
      <c r="C74" t="str">
        <v>Y</v>
      </c>
    </row>
    <row r="75" ht="14.25" customHeight="1">
      <c r="A75">
        <v>13</v>
      </c>
      <c r="B75" t="str">
        <v>Furnish and install all necessary piping and accessories for grease interceptor per contract documents</v>
      </c>
      <c r="C75" t="str">
        <v>Y</v>
      </c>
    </row>
    <row r="76" ht="14.25" customHeight="1">
      <c r="A76">
        <v>14</v>
      </c>
      <c r="B76" t="str">
        <v xml:space="preserve">Furnish and install trap primers per contract documents. </v>
      </c>
      <c r="C76" t="str">
        <v>Y</v>
      </c>
    </row>
    <row r="77" ht="14.25" customHeight="1">
      <c r="A77">
        <v>15</v>
      </c>
      <c r="B77" t="str">
        <v xml:space="preserve">Furnish and install all hot water heating equipment per contract documents. </v>
      </c>
      <c r="C77" t="str">
        <v>Y</v>
      </c>
    </row>
    <row r="78" ht="14.25" customHeight="1">
      <c r="A78">
        <v>16</v>
      </c>
      <c r="B78" t="str">
        <v>Furnish and install plumbing fixtures per contract documents</v>
      </c>
      <c r="C78" t="str">
        <v>Y</v>
      </c>
    </row>
    <row r="79" ht="14.25" customHeight="1">
      <c r="A79">
        <v>17</v>
      </c>
      <c r="B79" t="str">
        <v>Furnish and install all domestic water accessories per contract documents</v>
      </c>
      <c r="C79" t="str">
        <v>Y</v>
      </c>
    </row>
    <row r="80" ht="14.25" customHeight="1">
      <c r="A80">
        <v>18</v>
      </c>
      <c r="B80" t="str">
        <v>Furnish and install domestic water to 5' out &amp; connection to site water service</v>
      </c>
      <c r="C80" t="str">
        <v>Y</v>
      </c>
    </row>
    <row r="81" ht="14.25" customHeight="1">
      <c r="A81">
        <v>19</v>
      </c>
      <c r="B81" t="str">
        <v>Furnish and install fire service to 5' out and connection to site fire service - Furnish and install of fire protection backflow preventer is by this subcontractor</v>
      </c>
      <c r="C81" t="str">
        <v>Y</v>
      </c>
    </row>
    <row r="82" ht="14.25" customHeight="1">
      <c r="A82">
        <v>20</v>
      </c>
      <c r="B82" t="str">
        <v>Furnish and install sanitary sewer to 5' out with cleanout &amp; connection to site sewer</v>
      </c>
      <c r="C82" t="str">
        <v>Y</v>
      </c>
    </row>
    <row r="83" ht="14.25" customHeight="1">
      <c r="A83">
        <v>21</v>
      </c>
      <c r="B83" t="str">
        <v>Furnish and install storm sewer to 5' out with cleanout &amp; connection to site sewer</v>
      </c>
      <c r="C83" t="str">
        <v>Y</v>
      </c>
    </row>
    <row r="84" ht="14.25" customHeight="1">
      <c r="A84">
        <v>22</v>
      </c>
      <c r="B84" t="str">
        <v>Provide excavation &amp; backfill and compaction for your scope of work as it extends to 5' outside of building</v>
      </c>
      <c r="C84" t="str">
        <v>Y</v>
      </c>
    </row>
    <row r="85" ht="14.25" customHeight="1">
      <c r="A85">
        <v>23</v>
      </c>
      <c r="B85" t="str">
        <v>Furnish and install hangers, supports &amp; sway bracing for piping and equipment provided under this scope</v>
      </c>
      <c r="C85" t="str">
        <v>Y</v>
      </c>
    </row>
    <row r="86" ht="14.25" customHeight="1">
      <c r="A86">
        <v>24</v>
      </c>
      <c r="B86" t="str">
        <v>Provide all rigging &amp; hoisting required for this scope of work</v>
      </c>
      <c r="C86" t="str">
        <v>Y</v>
      </c>
    </row>
    <row r="87" ht="14.25" customHeight="1">
      <c r="A87">
        <v>25</v>
      </c>
      <c r="B87" t="str">
        <v>Provide all cutting &amp; core drilling &amp; patching of walls, floors and/or structural members required for Plumbing work</v>
      </c>
      <c r="C87" t="str">
        <v>Y</v>
      </c>
    </row>
    <row r="88" ht="14.25" customHeight="1">
      <c r="A88">
        <v>26</v>
      </c>
      <c r="B88" t="str">
        <v>Provide x-ray or GPR for all core drill</v>
      </c>
      <c r="C88" t="str">
        <v>Y</v>
      </c>
    </row>
    <row r="89" ht="14.25" customHeight="1">
      <c r="A89">
        <v>27</v>
      </c>
      <c r="B89" t="str">
        <v>Provide and Install fire stopping &amp; moisture sealing of penetrations for plumbing work as specified</v>
      </c>
      <c r="C89" t="str">
        <v>Y</v>
      </c>
    </row>
    <row r="90" ht="14.25" customHeight="1">
      <c r="A90">
        <v>28</v>
      </c>
      <c r="B90" t="str">
        <v>Furnish and Install sleeves for piping though slabs, walls &amp; partitions where specified. Subcontractor to coordinate piping locations prior to drywall installation</v>
      </c>
      <c r="C90" t="str">
        <v>Y</v>
      </c>
    </row>
    <row r="91" ht="14.25" customHeight="1">
      <c r="A91">
        <v>29</v>
      </c>
      <c r="B91" t="str">
        <v>Furnish access doors for concealed valves and devices as needed - Install by DIV09 see exclusions</v>
      </c>
      <c r="C91" t="str">
        <v>Y</v>
      </c>
    </row>
    <row r="92" ht="14.25" customHeight="1">
      <c r="A92">
        <v>30</v>
      </c>
      <c r="B92" t="str">
        <v>Furnish as built drawings &amp; O&amp;M manuals</v>
      </c>
      <c r="C92" t="str">
        <v>Y</v>
      </c>
    </row>
    <row r="93" ht="14.25" customHeight="1">
      <c r="A93">
        <v>31</v>
      </c>
      <c r="B93" t="str">
        <v>Warranties as specified including extended warranties specified in individual specification sections</v>
      </c>
      <c r="C93" t="str">
        <v>Y</v>
      </c>
    </row>
    <row r="94" ht="14.25" customHeight="1">
      <c r="A94">
        <v>32</v>
      </c>
      <c r="B94" t="str">
        <v>Daily clean up to MCN supplied dumpster</v>
      </c>
      <c r="C94" t="str">
        <v>Y</v>
      </c>
    </row>
    <row r="95" ht="14.25" customHeight="1">
      <c r="A95">
        <v>33</v>
      </c>
      <c r="B95" t="str">
        <v>Temporary water for the course of construction</v>
      </c>
      <c r="C95" t="str">
        <v>Y</v>
      </c>
    </row>
    <row r="96" ht="14.25" customHeight="1">
      <c r="A96">
        <v>34</v>
      </c>
      <c r="B96" t="str">
        <v>BIM and coordinated drawings</v>
      </c>
      <c r="C96" t="str">
        <v>Y</v>
      </c>
    </row>
    <row r="97" ht="14.25" customHeight="1">
      <c r="A97">
        <v>35</v>
      </c>
      <c r="B97" t="str">
        <v>Schedule, coordinate and assist with all testing and inspections, 3rd party inspections, and commissioning for this work</v>
      </c>
      <c r="C97" t="str">
        <v>Y</v>
      </c>
    </row>
    <row r="98" ht="14.25" customHeight="1">
      <c r="A98">
        <v>36</v>
      </c>
    </row>
    <row r="99" ht="14.25" customHeight="1">
      <c r="A99">
        <v>37</v>
      </c>
      <c r="B99" t="str">
        <v>Furnish and Install Under slab on grade drain tile if needed - Please advise</v>
      </c>
      <c r="C99" t="str">
        <v>Y</v>
      </c>
    </row>
    <row r="100" ht="14.25" customHeight="1">
      <c r="A100">
        <v>38</v>
      </c>
      <c r="B100" t="str">
        <v>Plumber to provide sleeves for any incoming utilities going through foundations/walls</v>
      </c>
      <c r="C100" t="str">
        <v>Y</v>
      </c>
    </row>
    <row r="101" ht="14.25" customHeight="1">
      <c r="A101">
        <v>39</v>
      </c>
      <c r="B101" t="str">
        <v>Furnish and install grease interceptor</v>
      </c>
      <c r="C101" t="str">
        <v>Y</v>
      </c>
    </row>
    <row r="102" ht="14.25" customHeight="1">
      <c r="A102">
        <v>40</v>
      </c>
      <c r="B102" t="str">
        <v>It is the responsibility of this subcontractor to furnish and install 6" waste from pool house connected to site sewer as shown on P2.1 - Please advise if full connection is by you</v>
      </c>
      <c r="C102" t="str">
        <v>Y</v>
      </c>
    </row>
    <row r="103" ht="14.25" customHeight="1">
      <c r="A103">
        <v>41</v>
      </c>
      <c r="B103" t="str">
        <v>It is the responsibility of this subcontractor to furnish and install 2" CW from main building to pool house - piping to be heat traced for freeze protection - please advise if heat tracing required, and please advise if all connection from house to pool is included in your number</v>
      </c>
      <c r="C103" t="str">
        <v>Y</v>
      </c>
    </row>
    <row r="104" ht="14.25" customHeight="1">
      <c r="A104">
        <v>42</v>
      </c>
    </row>
    <row r="105" ht="14.25" customHeight="1">
      <c r="A105">
        <v>43</v>
      </c>
      <c r="B105" t="str">
        <v>Furnish and install backflow preventers as shown</v>
      </c>
      <c r="C105" t="str">
        <v>Y</v>
      </c>
    </row>
    <row r="106" ht="14.25" customHeight="1">
      <c r="A106">
        <v>44</v>
      </c>
      <c r="B106" t="str">
        <v>Connections to site storm for roof drains and overflow drains- SU subcontractor to stub out connection to 5' out of building</v>
      </c>
      <c r="C106" t="str">
        <v>Y</v>
      </c>
    </row>
    <row r="107" ht="14.25" customHeight="1">
      <c r="A107">
        <v>45</v>
      </c>
      <c r="B107" t="str">
        <v>Bronze Downspout Nozzle connected to building façade</v>
      </c>
      <c r="C107" t="str">
        <v>Y</v>
      </c>
    </row>
    <row r="108" ht="14.25" customHeight="1">
      <c r="A108">
        <v>46</v>
      </c>
    </row>
    <row r="109" ht="14.25" customHeight="1">
      <c r="A109">
        <v>47</v>
      </c>
      <c r="B109" t="str">
        <v>All plumbing fixtures as scheduled</v>
      </c>
      <c r="C109" t="str">
        <v>Y</v>
      </c>
    </row>
    <row r="110" ht="14.25" customHeight="1">
      <c r="A110">
        <v>48</v>
      </c>
      <c r="B110" t="str">
        <v>- See P6.1 - all fixtures listed to be furnished and installed by this subcontractor</v>
      </c>
      <c r="C110" t="str">
        <v>Y</v>
      </c>
    </row>
    <row r="111" ht="14.25" customHeight="1">
      <c r="A111">
        <v>49</v>
      </c>
    </row>
    <row r="112" ht="14.25" customHeight="1">
      <c r="A112">
        <v>50</v>
      </c>
      <c r="B112" t="str">
        <v>Water Surce heat pump Domestic Water Heater - and connections to HPWR/HPWS</v>
      </c>
      <c r="C112" t="str">
        <v>Y</v>
      </c>
    </row>
    <row r="113" ht="14.25" customHeight="1">
      <c r="A113">
        <v>51</v>
      </c>
    </row>
    <row r="114" ht="14.25" customHeight="1">
      <c r="A114">
        <v>52</v>
      </c>
      <c r="B114" t="str">
        <v>Electric Domestic Water Heater</v>
      </c>
      <c r="C114" t="str">
        <v>Y</v>
      </c>
    </row>
    <row r="115" ht="14.25" customHeight="1">
      <c r="A115">
        <v>53</v>
      </c>
    </row>
    <row r="116" ht="14.25" customHeight="1">
      <c r="A116">
        <v>54</v>
      </c>
      <c r="B116" t="str">
        <v>Backflow Preventer</v>
      </c>
      <c r="C116" t="str">
        <v>Y</v>
      </c>
    </row>
    <row r="117" ht="14.25" customHeight="1">
      <c r="A117">
        <v>55</v>
      </c>
    </row>
    <row r="118" ht="14.25" customHeight="1">
      <c r="A118">
        <v>56</v>
      </c>
      <c r="B118" t="str">
        <v>Pumps as scheduled</v>
      </c>
      <c r="C118" t="str">
        <v>Y</v>
      </c>
    </row>
    <row r="119" ht="14.25" customHeight="1">
      <c r="A119">
        <v>57</v>
      </c>
    </row>
    <row r="120" ht="14.25" customHeight="1">
      <c r="A120">
        <v>58</v>
      </c>
      <c r="B120" t="str">
        <v>Mixing valves</v>
      </c>
      <c r="C120" t="str">
        <v>Y</v>
      </c>
    </row>
    <row r="121" ht="14.25" customHeight="1">
      <c r="A121">
        <v>59</v>
      </c>
    </row>
    <row r="122" ht="14.25" customHeight="1">
      <c r="A122">
        <v>60</v>
      </c>
      <c r="B122" t="str">
        <v>Expansion Tanks</v>
      </c>
      <c r="C122" t="str">
        <v>Y</v>
      </c>
    </row>
    <row r="123" ht="14.25" customHeight="1">
      <c r="A123">
        <v>61</v>
      </c>
    </row>
    <row r="124" ht="14.25" customHeight="1">
      <c r="A124">
        <v>62</v>
      </c>
      <c r="B124" t="str">
        <v>Heat Tracing per schedule</v>
      </c>
      <c r="C124" t="str">
        <v>Y</v>
      </c>
    </row>
    <row r="125" ht="14.25" customHeight="1">
      <c r="A125">
        <v>63</v>
      </c>
    </row>
    <row r="126" ht="14.25" customHeight="1">
      <c r="A126">
        <v>64</v>
      </c>
      <c r="B126" t="str">
        <v>STANDARD / GENERAL SCOPE</v>
      </c>
      <c r="C126" t="str">
        <v>Y</v>
      </c>
      <c r="I126" s="8">
        <f>H126*F126</f>
        <v>0</v>
      </c>
    </row>
    <row r="127" ht="14.25" customHeight="1">
      <c r="A127">
        <v>65</v>
      </c>
      <c r="B127" t="str">
        <v>Hangers &amp; supports for  piping and equipment provided under this scope</v>
      </c>
      <c r="C127" t="str">
        <v>Y</v>
      </c>
      <c r="I127" s="8">
        <f>H127*F127</f>
        <v>0</v>
      </c>
    </row>
    <row r="128" ht="14.25" customHeight="1">
      <c r="A128">
        <v>66</v>
      </c>
      <c r="B128" t="str">
        <v>All rigging &amp; hoisting required for PHVAC work.</v>
      </c>
      <c r="C128" t="str">
        <v>Y</v>
      </c>
      <c r="I128" s="8">
        <f>H128*F128</f>
        <v>0</v>
      </c>
    </row>
    <row r="129" ht="14.25" customHeight="1">
      <c r="A129">
        <v>67</v>
      </c>
      <c r="B129" t="str">
        <v>Perform all cutting &amp; core drilling required for PHVAC work</v>
      </c>
      <c r="C129" t="str">
        <v>Y</v>
      </c>
      <c r="I129" s="8">
        <f>H129*F129</f>
        <v>0</v>
      </c>
    </row>
    <row r="130" ht="14.25" customHeight="1">
      <c r="A130">
        <v>68</v>
      </c>
      <c r="B130" t="str">
        <v>Fire stopping &amp; moisture sealing of penetrations for PHVAC work</v>
      </c>
      <c r="C130" t="str">
        <v>Y</v>
      </c>
      <c r="I130" s="8">
        <f>H130*F130</f>
        <v>0</v>
      </c>
    </row>
    <row r="131" ht="14.25" customHeight="1">
      <c r="A131">
        <v>69</v>
      </c>
      <c r="B131" t="str">
        <v xml:space="preserve">Excavation &amp; Backfill </v>
      </c>
      <c r="C131" t="str">
        <v>Y</v>
      </c>
      <c r="I131" s="8">
        <f>H131*F131</f>
        <v>0</v>
      </c>
    </row>
    <row r="132" ht="14.25" customHeight="1">
      <c r="A132">
        <v>70</v>
      </c>
      <c r="B132" t="str">
        <v>Furnish access doors for concealed valves and devices</v>
      </c>
      <c r="C132" t="str">
        <v>Y</v>
      </c>
      <c r="I132" s="8">
        <f>H132*F132</f>
        <v>0</v>
      </c>
    </row>
    <row r="133" ht="14.25" customHeight="1">
      <c r="A133">
        <v>71</v>
      </c>
      <c r="B133" t="str">
        <v>As built drawings &amp; O&amp;M manuals</v>
      </c>
      <c r="C133" t="str">
        <v>Y</v>
      </c>
      <c r="I133" s="8">
        <f>H133*F133</f>
        <v>0</v>
      </c>
    </row>
    <row r="134" ht="14.25" customHeight="1">
      <c r="A134">
        <v>72</v>
      </c>
      <c r="B134" t="str">
        <v>Warranties as specified including extended warranties specified in individual specification sections</v>
      </c>
      <c r="C134" t="str">
        <v>Y</v>
      </c>
      <c r="I134" s="8">
        <f>H134*F134</f>
        <v>0</v>
      </c>
    </row>
    <row r="135" ht="14.25" customHeight="1">
      <c r="A135">
        <v>73</v>
      </c>
      <c r="B135" t="str">
        <v>Sleeves for piping though slabs, walls &amp; partitions where specified</v>
      </c>
      <c r="C135" t="str">
        <v>Y</v>
      </c>
      <c r="I135" s="8">
        <f>H135*F135</f>
        <v>0</v>
      </c>
    </row>
    <row r="136" ht="14.25" customHeight="1">
      <c r="A136">
        <v>74</v>
      </c>
      <c r="B136" t="str">
        <v>Daily clean up to MCN supplied dumpster.</v>
      </c>
      <c r="C136" t="str">
        <v>Y</v>
      </c>
      <c r="I136" s="8">
        <f>H136*F136</f>
        <v>0</v>
      </c>
    </row>
    <row r="137" ht="14.25" customHeight="1">
      <c r="A137">
        <v>75</v>
      </c>
      <c r="B137" t="str">
        <v>Heat tracing for plumbing &amp; HVAC piping</v>
      </c>
      <c r="C137" t="str">
        <v>Y</v>
      </c>
      <c r="I137" s="8">
        <f>H137*F137</f>
        <v>0</v>
      </c>
    </row>
    <row r="138" ht="14.25" customHeight="1">
      <c r="A138">
        <v>76</v>
      </c>
      <c r="B138" t="str">
        <v>Comply with specifications for coordinated drawings</v>
      </c>
      <c r="C138" t="str">
        <v>Y</v>
      </c>
      <c r="I138" s="8">
        <f>H138*F138</f>
        <v>0</v>
      </c>
    </row>
    <row r="139" ht="14.25" customHeight="1">
      <c r="A139">
        <v>77</v>
      </c>
      <c r="B139" t="str">
        <v>Installation of PHVAC equipment per required code and service access.</v>
      </c>
      <c r="C139" t="str">
        <v>Y</v>
      </c>
      <c r="I139" s="8">
        <f>H139*F139</f>
        <v>0</v>
      </c>
    </row>
    <row r="140" ht="14.25" customHeight="1">
      <c r="A140">
        <v>78</v>
      </c>
      <c r="B140" t="str">
        <v>Core drilling for all PHVAC work including x-ray or GPR</v>
      </c>
      <c r="C140" t="str">
        <v>Y</v>
      </c>
      <c r="I140" s="8">
        <f>H140*F140</f>
        <v>0</v>
      </c>
    </row>
    <row r="141" ht="14.25" customHeight="1">
      <c r="A141">
        <v>79</v>
      </c>
      <c r="I141" s="8">
        <f>H141*F141</f>
        <v>0</v>
      </c>
    </row>
    <row r="142" ht="14.25" customHeight="1">
      <c r="A142" t="str">
        <v>C</v>
      </c>
      <c r="B142" t="str">
        <v>Exclusions</v>
      </c>
    </row>
    <row r="143" ht="14.25" customHeight="1">
      <c r="A143">
        <v>1</v>
      </c>
      <c r="B143" t="str">
        <v>Concrete Pads</v>
      </c>
      <c r="C143" t="str">
        <v>N</v>
      </c>
    </row>
    <row r="144" ht="14.25" customHeight="1">
      <c r="A144">
        <f>A143+1</f>
        <v>2</v>
      </c>
      <c r="B144" t="str">
        <v>Installation of Access Doors</v>
      </c>
      <c r="C144" t="str">
        <v>N</v>
      </c>
    </row>
    <row r="145" ht="14.25" customHeight="1">
      <c r="A145">
        <f>A144+1</f>
        <v>3</v>
      </c>
      <c r="B145" t="str">
        <v>Fire Protection</v>
      </c>
      <c r="C145" t="str">
        <v>N</v>
      </c>
    </row>
    <row r="146" ht="14.25" customHeight="1">
      <c r="A146">
        <f>A145+1</f>
        <v>4</v>
      </c>
      <c r="B146" t="str">
        <v>Power Wiring of PHVAC equipment</v>
      </c>
      <c r="C146" t="str">
        <v>N</v>
      </c>
    </row>
    <row r="147" ht="14.25" customHeight="1"/>
    <row r="148" ht="14.25" customHeight="1">
      <c r="A148" t="str">
        <v>D</v>
      </c>
      <c r="B148" t="str">
        <v>Schedule</v>
      </c>
    </row>
    <row r="149" ht="14.25" customHeight="1">
      <c r="A149">
        <v>1</v>
      </c>
      <c r="B149" t="str">
        <v>Meet MCN Schedule</v>
      </c>
      <c r="C149" t="str">
        <v>Y</v>
      </c>
    </row>
    <row r="150" ht="14.25" customHeight="1">
      <c r="A150">
        <f>A149+1</f>
        <v>2</v>
      </c>
      <c r="B150" t="str">
        <v>Advise of Durations</v>
      </c>
    </row>
    <row r="151" ht="14.25" customHeight="1">
      <c r="A151">
        <f>A150+1</f>
        <v>3</v>
      </c>
      <c r="B151" t="str">
        <v>Plumbing Pipes (Sanitary, domestic, stormwater)</v>
      </c>
      <c r="C151" t="str">
        <v>---&gt;</v>
      </c>
    </row>
    <row r="152" ht="14.25" customHeight="1">
      <c r="A152">
        <f>A151+1</f>
        <v>4</v>
      </c>
      <c r="B152" t="str">
        <v>Installation of Plumbing fixtures</v>
      </c>
      <c r="C152" t="str">
        <v>---&gt;</v>
      </c>
    </row>
    <row r="153" ht="14.25" customHeight="1">
      <c r="A153">
        <f>A152+1</f>
        <v>5</v>
      </c>
      <c r="B153" t="str">
        <v>Installation of equipment</v>
      </c>
      <c r="C153" t="str">
        <v>---&gt;</v>
      </c>
    </row>
    <row r="154" ht="14.25" customHeight="1">
      <c r="A154">
        <f>A153+1</f>
        <v>6</v>
      </c>
      <c r="B154" t="str">
        <v>Duration for Submittals and Shop Drawings</v>
      </c>
      <c r="C154" t="str">
        <v>---&gt;</v>
      </c>
    </row>
    <row r="155" ht="14.25" customHeight="1">
      <c r="A155">
        <f>A154+1</f>
        <v>7</v>
      </c>
      <c r="B155" t="str">
        <v>Advise of Lead Times:</v>
      </c>
    </row>
    <row r="156" ht="14.25" customHeight="1">
      <c r="A156">
        <f>A155+1</f>
        <v>8</v>
      </c>
      <c r="B156" t="str">
        <v>Water source water heater</v>
      </c>
      <c r="C156" t="str">
        <v>---&gt;</v>
      </c>
    </row>
    <row r="157" ht="14.25" customHeight="1">
      <c r="A157">
        <f>A156+1</f>
        <v>9</v>
      </c>
      <c r="B157" t="str">
        <v>Piping material</v>
      </c>
      <c r="C157" t="str">
        <v>---&gt;</v>
      </c>
    </row>
    <row r="158" ht="14.25" customHeight="1">
      <c r="A158">
        <f>A157+1</f>
        <v>10</v>
      </c>
      <c r="B158" t="str">
        <v>Plumbing fixtures</v>
      </c>
      <c r="C158" t="str">
        <v>---&gt;</v>
      </c>
    </row>
    <row r="159" ht="14.25" customHeight="1"/>
    <row r="160" ht="14.25" customHeight="1"/>
    <row r="161" ht="14.25" customHeight="1">
      <c r="B161" t="str">
        <v>Allowances</v>
      </c>
    </row>
    <row r="162" ht="14.25" customHeight="1">
      <c r="A162">
        <v>1</v>
      </c>
    </row>
    <row r="163" ht="14.25" customHeight="1">
      <c r="A163">
        <f>A162+1</f>
        <v>2</v>
      </c>
      <c r="B163" t="str">
        <v>N/A</v>
      </c>
    </row>
    <row r="164" ht="14.25" customHeight="1">
      <c r="A164">
        <f>A163+1</f>
        <v>3</v>
      </c>
    </row>
    <row r="165" hidden="1" ht="14.25" customHeight="1">
      <c r="A165">
        <f>A164+1</f>
        <v>4</v>
      </c>
    </row>
    <row r="166" hidden="1" ht="14.25" customHeight="1"/>
    <row r="167" ht="14.25" customHeight="1"/>
    <row r="168" ht="14.25" customHeight="1">
      <c r="B168" t="str">
        <v>Alternates</v>
      </c>
    </row>
    <row r="169" ht="14.25" customHeight="1">
      <c r="A169">
        <v>1</v>
      </c>
      <c r="B169" t="str">
        <v>ALT 01: P&amp;P Bond</v>
      </c>
      <c r="C169" t="str">
        <v>#</v>
      </c>
    </row>
    <row r="170" ht="14.25" customHeight="1">
      <c r="A170">
        <f>A169+1</f>
        <v>2</v>
      </c>
      <c r="B170" t="str">
        <v>ALT 02: Furnish Backflow Preventer</v>
      </c>
      <c r="C170" t="str">
        <v>#</v>
      </c>
    </row>
    <row r="171" ht="14.25" customHeight="1">
      <c r="A171">
        <f>A170+1</f>
        <v>3</v>
      </c>
      <c r="B171" t="str">
        <v>ALT 03: Furnish and install Washing Machine</v>
      </c>
      <c r="C171" t="str">
        <v>#</v>
      </c>
    </row>
    <row r="172" ht="14.25" customHeight="1">
      <c r="A172">
        <f>A171+1</f>
        <v>4</v>
      </c>
      <c r="B172" t="str">
        <v>ALT 04: Furnish and install 4" perimeter drain tile around foundation including grade clean outs (GCO)</v>
      </c>
      <c r="C172" t="str">
        <v>#</v>
      </c>
    </row>
    <row r="173" ht="14.25" customHeight="1">
      <c r="A173">
        <f>A172+1</f>
        <v>5</v>
      </c>
      <c r="C173" t="str">
        <v>#</v>
      </c>
    </row>
    <row r="174" hidden="1" ht="14.25" customHeight="1">
      <c r="C174" t="str">
        <v>#</v>
      </c>
    </row>
    <row r="175" ht="14.25" customHeight="1">
      <c r="B175" t="str">
        <v>Advise</v>
      </c>
    </row>
    <row r="176" ht="14.25" customHeight="1">
      <c r="A176">
        <v>1</v>
      </c>
      <c r="B176" t="str">
        <v>Please advise what piping material assumed for Stormwater</v>
      </c>
      <c r="C176" t="str">
        <v>Comment</v>
      </c>
    </row>
    <row r="177" ht="14.25" customHeight="1">
      <c r="A177">
        <f>A176+1</f>
        <v>2</v>
      </c>
      <c r="B177" t="str">
        <v>Please advise what piping material assumed for Sanitary</v>
      </c>
      <c r="C177" t="str">
        <v>Comment</v>
      </c>
    </row>
    <row r="178" ht="14.25" customHeight="1">
      <c r="A178">
        <f>A177+1</f>
        <v>3</v>
      </c>
      <c r="B178" t="str">
        <v>Please advise what piping material assumed for domestic water</v>
      </c>
      <c r="C178" t="str">
        <v>Comment</v>
      </c>
    </row>
    <row r="179" hidden="1" ht="14.25" customHeight="1">
      <c r="A179">
        <f>A178+1</f>
        <v>4</v>
      </c>
      <c r="C179" t="str">
        <v>#</v>
      </c>
    </row>
    <row r="180" hidden="1"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B8" r:id="rId1"/>
  </hyperlinks>
  <pageMargins left="0.7" right="0.7" top="0.25" bottom="0.75" header="0" footer="0"/>
  <ignoredErrors>
    <ignoredError numberStoredAsText="1" sqref="A1:AO1000"/>
  </ignoredErrors>
</worksheet>
</file>

<file path=xl/worksheets/sheet3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23 - HVAC</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s="6">
        <v>46049</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Marcel El Khoury</v>
      </c>
      <c r="C7" t="str">
        <v>Contact:</v>
      </c>
      <c r="G7" s="8" t="str">
        <v>| MCN Budget</v>
      </c>
      <c r="I7" s="8">
        <f>SUM(I20:I177,I13:I18)</f>
        <v>0</v>
      </c>
      <c r="K7" t="str">
        <v>Adjustments:</v>
      </c>
      <c r="L7" s="4">
        <f>SUM(L13:L18,L20:L177)</f>
        <v>0</v>
      </c>
      <c r="N7" t="str">
        <v>Adjustments:</v>
      </c>
      <c r="O7" s="4">
        <f>SUM(O13:O18,O20:O177)</f>
        <v>0</v>
      </c>
      <c r="Q7" t="str">
        <v>Adjustments:</v>
      </c>
      <c r="R7" s="4">
        <f>SUM(R13:R18,R20:R177)</f>
        <v>0</v>
      </c>
      <c r="T7" t="str">
        <v>Adjustments:</v>
      </c>
      <c r="U7" s="4">
        <f>SUM(U13:U18,U20:U177)</f>
        <v>0</v>
      </c>
      <c r="W7" t="str">
        <v>Adjustments:</v>
      </c>
      <c r="X7" s="4">
        <f>SUM(X13:X18,X20:X177)</f>
        <v>0</v>
      </c>
      <c r="Z7" t="str">
        <v>Adjustments:</v>
      </c>
      <c r="AA7" s="4">
        <f>SUM(AA13:AA18,AA20:AA177)</f>
        <v>0</v>
      </c>
      <c r="AC7" t="str">
        <v>Adjustments:</v>
      </c>
      <c r="AD7" s="4">
        <f>SUM(AD13:AD18,AD20:AD177)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marcel.el-khoury@mcnbuild.com</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202-394-6792</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C22" t="str">
        <v>#</v>
      </c>
      <c r="D22" t="str">
        <v>$</v>
      </c>
    </row>
    <row r="23" ht="14.25" customHeight="1">
      <c r="A23">
        <f>A22+1</f>
        <v>5</v>
      </c>
      <c r="B23" t="str">
        <v>Water Source Heat Pumps</v>
      </c>
      <c r="C23" t="str">
        <v>#</v>
      </c>
      <c r="D23" t="str">
        <v>$</v>
      </c>
    </row>
    <row r="24" ht="14.25" customHeight="1">
      <c r="A24">
        <f>A23+1</f>
        <v>6</v>
      </c>
      <c r="B24" t="str">
        <v>DOAS</v>
      </c>
      <c r="C24" t="str">
        <v>#</v>
      </c>
      <c r="D24" t="str">
        <v>$</v>
      </c>
    </row>
    <row r="25" ht="14.25" customHeight="1">
      <c r="A25">
        <f>A24+1</f>
        <v>7</v>
      </c>
      <c r="B25" t="str">
        <v>Sheet Metal</v>
      </c>
      <c r="C25" t="str">
        <v>#</v>
      </c>
      <c r="D25" t="str">
        <v>$</v>
      </c>
    </row>
    <row r="26" ht="14.25" customHeight="1">
      <c r="A26">
        <f>A25+1</f>
        <v>8</v>
      </c>
      <c r="B26" t="str">
        <v>Geothermal Manifold</v>
      </c>
      <c r="C26" t="str">
        <v>#</v>
      </c>
      <c r="D26" t="str">
        <v>$</v>
      </c>
    </row>
    <row r="27" ht="14.25" customHeight="1">
      <c r="A27">
        <f>A26+1</f>
        <v>9</v>
      </c>
      <c r="B27" t="str">
        <v>Kitchen Exhaust Fan</v>
      </c>
      <c r="C27" t="str">
        <v>#</v>
      </c>
      <c r="D27" t="str">
        <v>$</v>
      </c>
      <c r="I27" s="8">
        <f>H27*F27</f>
        <v>0</v>
      </c>
    </row>
    <row r="28" ht="14.25" customHeight="1">
      <c r="A28">
        <f>A27+1</f>
        <v>10</v>
      </c>
      <c r="B28" t="str">
        <v>Toilet Exhaust Fans</v>
      </c>
      <c r="C28" t="str">
        <v>#</v>
      </c>
      <c r="D28" t="str">
        <v>$</v>
      </c>
      <c r="I28" s="8">
        <f>H28*F28</f>
        <v>0</v>
      </c>
    </row>
    <row r="29" ht="14.25" customHeight="1">
      <c r="A29">
        <f>A28+1</f>
        <v>11</v>
      </c>
      <c r="I29" s="8">
        <f>H29*F29</f>
        <v>0</v>
      </c>
    </row>
    <row r="30" ht="14.25" customHeight="1">
      <c r="A30">
        <f>A29+1</f>
        <v>12</v>
      </c>
      <c r="B30" t="str">
        <v>Key Quantity Breakdown</v>
      </c>
      <c r="I30" s="8">
        <f>H30*F30</f>
        <v>0</v>
      </c>
    </row>
    <row r="31" ht="14.25" customHeight="1">
      <c r="A31">
        <f>A30+1</f>
        <v>13</v>
      </c>
      <c r="B31" t="str">
        <v>WSHPs</v>
      </c>
      <c r="C31" t="str">
        <v>#</v>
      </c>
      <c r="D31" t="str">
        <v>EA</v>
      </c>
      <c r="I31" s="8">
        <f>H31*F31</f>
        <v>0</v>
      </c>
    </row>
    <row r="32" ht="14.25" customHeight="1">
      <c r="A32">
        <f>A31+1</f>
        <v>14</v>
      </c>
      <c r="B32" t="str">
        <v>DOAS</v>
      </c>
      <c r="C32" t="str">
        <v>#</v>
      </c>
      <c r="D32" t="str">
        <v>EA</v>
      </c>
      <c r="I32" s="8">
        <f>H32*F32</f>
        <v>0</v>
      </c>
    </row>
    <row r="33" ht="14.25" customHeight="1">
      <c r="A33">
        <f>A32+1</f>
        <v>15</v>
      </c>
      <c r="B33" t="str">
        <v>Sheet Metal</v>
      </c>
      <c r="C33" t="str">
        <v>#</v>
      </c>
      <c r="D33" t="str">
        <v>LF</v>
      </c>
      <c r="I33" s="8">
        <f>H33*F33</f>
        <v>0</v>
      </c>
    </row>
    <row r="34" ht="14.25" customHeight="1">
      <c r="A34">
        <f>A33+1</f>
        <v>16</v>
      </c>
      <c r="B34" t="str">
        <v>Kitchen Exhaust Fan</v>
      </c>
      <c r="C34" t="str">
        <v>#</v>
      </c>
      <c r="D34" t="str">
        <v>EA</v>
      </c>
      <c r="I34" s="8">
        <f>H34*F34</f>
        <v>0</v>
      </c>
    </row>
    <row r="35" ht="14.25" customHeight="1">
      <c r="A35">
        <f>A34+1</f>
        <v>17</v>
      </c>
      <c r="B35" t="str">
        <v>Toilet Exhaust Fan</v>
      </c>
      <c r="C35" t="str">
        <v>#</v>
      </c>
      <c r="D35" t="str">
        <v>EA</v>
      </c>
      <c r="I35" s="8">
        <f>H35*F35</f>
        <v>0</v>
      </c>
    </row>
    <row r="36" ht="14.25" customHeight="1">
      <c r="A36">
        <f>A35+1</f>
        <v>18</v>
      </c>
      <c r="I36" s="8">
        <f>H36*F36</f>
        <v>0</v>
      </c>
    </row>
    <row r="37" ht="14.25" customHeight="1">
      <c r="B37" t="str">
        <v>Section 3 - Scope of Work</v>
      </c>
    </row>
    <row r="38" ht="14.25" customHeight="1">
      <c r="B38" t="str">
        <v>Furnish and Install All Items UON</v>
      </c>
      <c r="C38" t="str">
        <v>Y</v>
      </c>
    </row>
    <row r="39" ht="14.25" customHeight="1">
      <c r="A39" t="str">
        <v>A</v>
      </c>
      <c r="B39" t="str">
        <v>Specifications</v>
      </c>
    </row>
    <row r="40" ht="14.25" customHeight="1">
      <c r="A40">
        <v>1</v>
      </c>
      <c r="B40" t="str">
        <v>Division 01 - General Requirements</v>
      </c>
      <c r="C40" t="str">
        <v>Y</v>
      </c>
    </row>
    <row r="41" ht="14.25" customHeight="1">
      <c r="A41">
        <v>2</v>
      </c>
      <c r="B41" t="str">
        <v xml:space="preserve">230513  COMMON MOTOR REQUIREMENTS FOR HVAC EQUIPMENT </v>
      </c>
      <c r="C41" t="str">
        <v>Y</v>
      </c>
    </row>
    <row r="42" ht="14.25" customHeight="1">
      <c r="A42">
        <v>3</v>
      </c>
      <c r="B42" t="str">
        <v xml:space="preserve">230516  EXPANSION FITTINGS AND LOOPS FOR HVAC PIPING </v>
      </c>
      <c r="C42" t="str">
        <v>Y</v>
      </c>
    </row>
    <row r="43" ht="14.25" customHeight="1">
      <c r="A43">
        <v>4</v>
      </c>
      <c r="B43" t="str">
        <v xml:space="preserve">230517  SLEEVES AND SLEEVE SEALS FOR HVAC PIPING </v>
      </c>
      <c r="C43" t="str">
        <v>Y</v>
      </c>
    </row>
    <row r="44" ht="14.25" customHeight="1">
      <c r="A44">
        <v>5</v>
      </c>
      <c r="B44" t="str">
        <v xml:space="preserve">230518  ESCUTCHEONS FOR HVAC PIPING </v>
      </c>
      <c r="C44" t="str">
        <v>Y</v>
      </c>
    </row>
    <row r="45" ht="14.25" customHeight="1">
      <c r="A45">
        <v>6</v>
      </c>
      <c r="B45" t="str">
        <v xml:space="preserve">230519  METERS AND GAGES FOR HVAC PIPING </v>
      </c>
      <c r="C45" t="str">
        <v>Y</v>
      </c>
    </row>
    <row r="46" ht="14.25" customHeight="1">
      <c r="A46">
        <v>7</v>
      </c>
      <c r="B46" t="str">
        <v xml:space="preserve">230523  GENERAL-DUTY VALVES FOR HVAC PIPING </v>
      </c>
      <c r="C46" t="str">
        <v>Y</v>
      </c>
    </row>
    <row r="47" ht="14.25" customHeight="1">
      <c r="A47">
        <v>8</v>
      </c>
      <c r="B47" t="str">
        <v xml:space="preserve">230529  HANGERS AND SUPPORTS FOR HVAC PIPING AND EQUIPMENT </v>
      </c>
      <c r="C47" t="str">
        <v>Y</v>
      </c>
    </row>
    <row r="48" ht="14.25" customHeight="1">
      <c r="A48">
        <v>9</v>
      </c>
      <c r="B48" t="str">
        <v xml:space="preserve">230548.13 VIBRATION CONTROLS FOR HVAC </v>
      </c>
      <c r="C48" t="str">
        <v>Y</v>
      </c>
    </row>
    <row r="49" ht="14.25" customHeight="1">
      <c r="A49">
        <v>10</v>
      </c>
      <c r="B49" t="str">
        <v xml:space="preserve">230553  IDENTIFICATION FOR HVAC PIPING AND EQUIPMENT </v>
      </c>
      <c r="C49" t="str">
        <v>Y</v>
      </c>
    </row>
    <row r="50" ht="14.25" customHeight="1">
      <c r="A50">
        <v>11</v>
      </c>
      <c r="B50" t="str">
        <v xml:space="preserve">230593  TESTING ADJUSTING AND BALANCING FOR HVAC </v>
      </c>
      <c r="C50" t="str">
        <v>Y</v>
      </c>
    </row>
    <row r="51" ht="14.25" customHeight="1">
      <c r="A51">
        <v>12</v>
      </c>
      <c r="B51" t="str">
        <v xml:space="preserve">230713  DUCT INSULATION </v>
      </c>
      <c r="C51" t="str">
        <v>Y</v>
      </c>
    </row>
    <row r="52" ht="14.25" customHeight="1">
      <c r="A52">
        <v>13</v>
      </c>
      <c r="B52" t="str">
        <v xml:space="preserve">230716  HVAC EQUIPMENT INSULATION </v>
      </c>
      <c r="C52" t="str">
        <v>Y</v>
      </c>
    </row>
    <row r="53" ht="14.25" customHeight="1">
      <c r="A53">
        <v>14</v>
      </c>
      <c r="B53" t="str">
        <v xml:space="preserve">230719  HVAC PIPING INSULATION </v>
      </c>
      <c r="C53" t="str">
        <v>Y</v>
      </c>
    </row>
    <row r="54" ht="14.25" customHeight="1">
      <c r="A54">
        <v>15</v>
      </c>
      <c r="B54" t="str">
        <v xml:space="preserve">230900  INSTRUMENTATION AND CONTROLS FOR HVAC </v>
      </c>
      <c r="C54" t="str">
        <v>Y</v>
      </c>
    </row>
    <row r="55" ht="14.25" customHeight="1">
      <c r="A55">
        <v>16</v>
      </c>
      <c r="B55" t="str">
        <v xml:space="preserve">232113  HYDRONIC PIPING </v>
      </c>
      <c r="C55" t="str">
        <v>Y</v>
      </c>
    </row>
    <row r="56" ht="14.25" customHeight="1">
      <c r="A56">
        <v>17</v>
      </c>
      <c r="B56" t="str">
        <v xml:space="preserve">232113.33 GROUND-LOOP HEAT-PUMP PIPING </v>
      </c>
      <c r="C56" t="str">
        <v>Y</v>
      </c>
    </row>
    <row r="57" ht="14.25" customHeight="1">
      <c r="A57">
        <v>18</v>
      </c>
      <c r="B57" t="str">
        <v xml:space="preserve">232116  HYDRONIC PIPING SPECIALTIES </v>
      </c>
      <c r="C57" t="str">
        <v>Y</v>
      </c>
    </row>
    <row r="58" ht="14.25" customHeight="1">
      <c r="A58">
        <v>19</v>
      </c>
      <c r="B58" t="str">
        <v xml:space="preserve">232123  HYDRONIC PUMPS </v>
      </c>
      <c r="C58" t="str">
        <v>Y</v>
      </c>
    </row>
    <row r="59" ht="14.25" customHeight="1">
      <c r="A59">
        <v>20</v>
      </c>
      <c r="B59" t="str">
        <v xml:space="preserve">232513  WATER TREATMENT FOR CLOSED-LOOP HYDRONIC SYSTEMS </v>
      </c>
      <c r="C59" t="str">
        <v>Y</v>
      </c>
    </row>
    <row r="60" ht="14.25" customHeight="1">
      <c r="A60">
        <v>21</v>
      </c>
      <c r="B60" t="str">
        <v xml:space="preserve">233113  METAL DUCTS </v>
      </c>
      <c r="C60" t="str">
        <v>Y</v>
      </c>
    </row>
    <row r="61" ht="14.25" customHeight="1">
      <c r="A61">
        <v>22</v>
      </c>
      <c r="B61" t="str">
        <v xml:space="preserve">233300  AIR DUCT ACCESSORIES </v>
      </c>
      <c r="C61" t="str">
        <v>Y</v>
      </c>
    </row>
    <row r="62" ht="14.25" customHeight="1">
      <c r="A62">
        <v>23</v>
      </c>
      <c r="B62" t="str">
        <v xml:space="preserve">233400  HVAC FANS </v>
      </c>
      <c r="C62" t="str">
        <v>Y</v>
      </c>
    </row>
    <row r="63" ht="14.25" customHeight="1">
      <c r="A63">
        <v>24</v>
      </c>
      <c r="B63" t="str">
        <v xml:space="preserve">233533  LISTED KITCHEN VENTILATION SYSTEM EXHAUST DUCTS </v>
      </c>
      <c r="C63" t="str">
        <v>Y</v>
      </c>
    </row>
    <row r="64" ht="14.25" customHeight="1">
      <c r="A64">
        <v>25</v>
      </c>
      <c r="B64" t="str">
        <v xml:space="preserve">233600  AIR TERMINAL UNITS </v>
      </c>
      <c r="C64" t="str">
        <v>Y</v>
      </c>
    </row>
    <row r="65" ht="14.25" customHeight="1">
      <c r="A65">
        <v>26</v>
      </c>
      <c r="B65" t="str">
        <v xml:space="preserve">233713.13 AIR DIFFUSERS </v>
      </c>
      <c r="C65" t="str">
        <v>Y</v>
      </c>
    </row>
    <row r="66" ht="14.25" customHeight="1">
      <c r="A66">
        <v>27</v>
      </c>
      <c r="B66" t="str">
        <v xml:space="preserve">233713.23 REGISTERS AND GRILLES </v>
      </c>
      <c r="C66" t="str">
        <v>Y</v>
      </c>
    </row>
    <row r="67" ht="14.25" customHeight="1">
      <c r="A67">
        <v>28</v>
      </c>
      <c r="B67" t="str">
        <v xml:space="preserve">233813  COMMERCIAL-KITCHEN HOODS </v>
      </c>
      <c r="C67" t="str">
        <v>Y</v>
      </c>
    </row>
    <row r="68" ht="14.25" customHeight="1">
      <c r="A68">
        <v>29</v>
      </c>
      <c r="B68" t="str">
        <v xml:space="preserve">237416.13 PACKAGED, LARGE-CAPACITY, ROOFTOP AIR-CONDITIONING UNITS </v>
      </c>
      <c r="C68" t="str">
        <v>Y</v>
      </c>
    </row>
    <row r="69" ht="14.25" customHeight="1">
      <c r="A69">
        <v>30</v>
      </c>
      <c r="B69" t="str">
        <v xml:space="preserve">238126  SPLIT-SYSTEM AIR-CONDITIONERS </v>
      </c>
      <c r="C69" t="str">
        <v>Y</v>
      </c>
    </row>
    <row r="70" ht="14.25" customHeight="1">
      <c r="A70">
        <v>31</v>
      </c>
      <c r="B70" t="str">
        <v xml:space="preserve">238146  WATER-SOURCE UNITARY HEAT PUMPS </v>
      </c>
      <c r="C70" t="str">
        <v>Y</v>
      </c>
    </row>
    <row r="71" ht="14.25" customHeight="1">
      <c r="A71">
        <v>32</v>
      </c>
      <c r="B71" t="str">
        <v xml:space="preserve">250923  DIRECT DIGITAL CONTROL SYSTEM FOR HVAC </v>
      </c>
      <c r="C71" t="str">
        <v>Y</v>
      </c>
    </row>
    <row r="72" ht="14.25" customHeight="1">
      <c r="A72">
        <v>33</v>
      </c>
      <c r="B72" t="str">
        <v xml:space="preserve">250924  TEMPERATURE CONTROL EQUIPMENT NAMING CONVENTIONS </v>
      </c>
      <c r="C72" t="str">
        <v>Y</v>
      </c>
    </row>
    <row r="73" ht="14.25" customHeight="1">
      <c r="A73">
        <v>34</v>
      </c>
      <c r="B73" t="str">
        <v xml:space="preserve">250950  INTEGRATION OF BUILDING AUTOMATION SYSTEMS </v>
      </c>
      <c r="C73" t="str">
        <v>Y</v>
      </c>
    </row>
    <row r="74" ht="14.25" customHeight="1">
      <c r="A74" t="str">
        <v>B</v>
      </c>
      <c r="B74" t="str">
        <v>Inclusions</v>
      </c>
    </row>
    <row r="75" ht="14.25" customHeight="1">
      <c r="A75">
        <v>1</v>
      </c>
      <c r="B75" t="str">
        <v>SPECIFIC SCOPE ITEMS</v>
      </c>
      <c r="C75" t="str">
        <v>Y</v>
      </c>
      <c r="I75" s="8">
        <f>H75*F75</f>
        <v>0</v>
      </c>
    </row>
    <row r="76" ht="14.25" customHeight="1">
      <c r="A76">
        <v>2</v>
      </c>
      <c r="B76" t="str">
        <v>Furnish all labor, materials, appliances, equipment, tools, transportation, supervision, and services required for the Work</v>
      </c>
      <c r="C76" t="str">
        <v>Y</v>
      </c>
    </row>
    <row r="77" ht="14.25" customHeight="1">
      <c r="A77">
        <v>3</v>
      </c>
      <c r="B77" t="str">
        <v>Cut, cap and make safe and refrigerant Flush out</v>
      </c>
      <c r="C77" t="str">
        <v>Y</v>
      </c>
    </row>
    <row r="78" ht="14.25" customHeight="1">
      <c r="A78">
        <v>4</v>
      </c>
      <c r="B78" t="str">
        <v>Furnish and install all materials, labor and tools to provide a fully functioning mechanical controls system to include wiring, sensing devices, accessories, programming and functional testing</v>
      </c>
      <c r="C78" t="str">
        <v>Y</v>
      </c>
    </row>
    <row r="79" ht="14.25" customHeight="1">
      <c r="A79">
        <v>5</v>
      </c>
      <c r="B79" t="str">
        <v>Furnish and install all mechanically operated louvers</v>
      </c>
      <c r="C79" t="str">
        <v>Y</v>
      </c>
    </row>
    <row r="80" ht="14.25" customHeight="1">
      <c r="A80">
        <v>6</v>
      </c>
      <c r="B80" t="str">
        <v>Furnish and install hangers &amp; supports for ductwork provided under this scope</v>
      </c>
      <c r="C80" t="str">
        <v>Y</v>
      </c>
    </row>
    <row r="81" ht="14.25" customHeight="1">
      <c r="A81">
        <v>7</v>
      </c>
      <c r="B81" t="str">
        <v>Furnish and install hangers &amp; supports for piping and equipment provided under this scope</v>
      </c>
      <c r="C81" t="str">
        <v>Y</v>
      </c>
    </row>
    <row r="82" ht="14.25" customHeight="1">
      <c r="A82">
        <v>8</v>
      </c>
      <c r="B82" t="str">
        <v>Furnish and install insulation per piping and ductwork specification</v>
      </c>
      <c r="C82" t="str">
        <v>Y</v>
      </c>
    </row>
    <row r="83" ht="14.25" customHeight="1">
      <c r="A83">
        <v>9</v>
      </c>
      <c r="B83" t="str">
        <v>Installation and support of HVAC equipment and system components per required code and service access</v>
      </c>
      <c r="C83" t="str">
        <v>Y</v>
      </c>
    </row>
    <row r="84" ht="14.25" customHeight="1">
      <c r="A84">
        <v>10</v>
      </c>
      <c r="B84" t="str">
        <v>Furnish and install condensate traps and piping on all required equipment and route to nearest drain. Coordinate location of condensate piping with architect, engineer and other trades</v>
      </c>
      <c r="C84" t="str">
        <v>Y</v>
      </c>
    </row>
    <row r="85" ht="14.25" customHeight="1">
      <c r="A85">
        <v>11</v>
      </c>
      <c r="B85" t="str">
        <v>Furnish and install all pipe accessories, control devices and isolation valves for Mechanical Equipment per contract documents</v>
      </c>
      <c r="C85" t="str">
        <v>Y</v>
      </c>
    </row>
    <row r="86" ht="14.25" customHeight="1">
      <c r="A86">
        <v>12</v>
      </c>
      <c r="B86" t="str">
        <v>Provide all trade specific permits, inspections and associated fees</v>
      </c>
      <c r="C86" t="str">
        <v>Y</v>
      </c>
    </row>
    <row r="87" ht="14.25" customHeight="1">
      <c r="A87">
        <v>13</v>
      </c>
      <c r="B87" t="str">
        <v>Comply with specifications for coordinated drawings</v>
      </c>
      <c r="C87" t="str">
        <v>Y</v>
      </c>
    </row>
    <row r="88" ht="14.25" customHeight="1">
      <c r="A88">
        <v>14</v>
      </c>
      <c r="B88" t="str">
        <v>Provide all rigging &amp; hoisting required for HVAC work</v>
      </c>
      <c r="C88" t="str">
        <v>Y</v>
      </c>
    </row>
    <row r="89" ht="14.25" customHeight="1">
      <c r="A89">
        <v>15</v>
      </c>
      <c r="B89" t="str">
        <v>Provide all cutting &amp; core drilling required for HVAC work</v>
      </c>
      <c r="C89" t="str">
        <v>Y</v>
      </c>
    </row>
    <row r="90" ht="14.25" customHeight="1">
      <c r="A90">
        <v>16</v>
      </c>
      <c r="B90" t="str">
        <v>Perform x-ray or GPR for all core drills &amp; cutting for this scope of work</v>
      </c>
      <c r="C90" t="str">
        <v>Y</v>
      </c>
    </row>
    <row r="91" ht="14.25" customHeight="1">
      <c r="A91">
        <v>17</v>
      </c>
      <c r="B91" t="str">
        <v>Furnish and install fire stopping &amp; moisture sealing of penetrations for HVAC work. Firestopping for penetrations of fire and smoke rated assembles must be an approved UL Listed Standard</v>
      </c>
      <c r="C91" t="str">
        <v>Y</v>
      </c>
    </row>
    <row r="92" ht="14.25" customHeight="1">
      <c r="A92">
        <v>18</v>
      </c>
      <c r="B92" t="str">
        <v>Furnish and install sleeves for piping though slabs, walls &amp; partitions where specified</v>
      </c>
      <c r="C92" t="str">
        <v>Y</v>
      </c>
    </row>
    <row r="93" ht="14.25" customHeight="1">
      <c r="A93">
        <v>19</v>
      </c>
      <c r="B93" t="str">
        <v>Furnish and install all necessary rough ins for equipment per manufacturers IOM whether shown on drawings</v>
      </c>
      <c r="C93" t="str">
        <v>Y</v>
      </c>
    </row>
    <row r="94" ht="14.25" customHeight="1">
      <c r="A94">
        <v>20</v>
      </c>
      <c r="B94" t="str">
        <v>Provide all cutting and patching required for the Work. This is for conditions where ductwork was not coordinated prior to drywall installation</v>
      </c>
      <c r="C94" t="str">
        <v>Y</v>
      </c>
    </row>
    <row r="95" ht="14.25" customHeight="1">
      <c r="A95">
        <v>21</v>
      </c>
      <c r="B95" t="str">
        <v>Temporary patching required for work not completed within one working day</v>
      </c>
      <c r="C95" t="str">
        <v>Y</v>
      </c>
    </row>
    <row r="96" ht="14.25" customHeight="1">
      <c r="A96">
        <v>22</v>
      </c>
      <c r="B96" t="str">
        <v>Furnish and layout all access doors for concealed equipment, valves, and devices</v>
      </c>
      <c r="C96" t="str">
        <v>Y</v>
      </c>
    </row>
    <row r="97" ht="14.25" customHeight="1">
      <c r="A97">
        <v>23</v>
      </c>
      <c r="B97" t="str">
        <v>Coordinate and layout in field for all penetration through horizontal or vertical structure</v>
      </c>
      <c r="C97" t="str">
        <v>Y</v>
      </c>
    </row>
    <row r="98" ht="14.25" customHeight="1">
      <c r="A98">
        <v>24</v>
      </c>
      <c r="B98" t="str">
        <v>Provide all start-up, testing, cleaning, balancing and training as required for this scope of work</v>
      </c>
      <c r="C98" t="str">
        <v>Y</v>
      </c>
    </row>
    <row r="99" ht="14.25" customHeight="1">
      <c r="A99">
        <v>25</v>
      </c>
      <c r="B99" t="str">
        <v>Training, Adjusting, Testing &amp; Balancing. Certified test reports to be provided to MCN Build within 48 hours of testing</v>
      </c>
      <c r="C99" t="str">
        <v>Y</v>
      </c>
    </row>
    <row r="100" ht="14.25" customHeight="1">
      <c r="A100">
        <v>26</v>
      </c>
      <c r="B100" t="str">
        <v>Provide and install identification, color coding, stenciling, tagging and underground marking for this scope of work</v>
      </c>
      <c r="C100" t="str">
        <v>Y</v>
      </c>
    </row>
    <row r="101" ht="14.25" customHeight="1">
      <c r="A101">
        <v>27</v>
      </c>
      <c r="B101" t="str">
        <v>Provide as built drawings &amp; O&amp;M manuals</v>
      </c>
      <c r="C101" t="str">
        <v>Y</v>
      </c>
    </row>
    <row r="102" ht="14.25" customHeight="1">
      <c r="A102">
        <v>28</v>
      </c>
      <c r="B102" t="str">
        <v>Provide warranties as specified</v>
      </c>
      <c r="C102" t="str">
        <v>Y</v>
      </c>
    </row>
    <row r="103" ht="14.25" customHeight="1">
      <c r="A103">
        <v>29</v>
      </c>
      <c r="B103" t="str">
        <v>Schedule, coordinate and assist with all testing and inspections, 3rd party inspections, and commissioning for this work</v>
      </c>
      <c r="C103" t="str">
        <v>Y</v>
      </c>
    </row>
    <row r="104" ht="14.25" customHeight="1">
      <c r="A104">
        <v>30</v>
      </c>
      <c r="B104" t="str">
        <v>coordination with the MCN Build, electrical, and plumbing subcontractors on pipe locations</v>
      </c>
      <c r="C104" t="str">
        <v>Y</v>
      </c>
    </row>
    <row r="105" ht="14.25" customHeight="1">
      <c r="A105">
        <v>31</v>
      </c>
      <c r="B105" t="str">
        <v>Coordinate the location of drains, thermostats, gas outlets, etc. with all caseworks equipment, mechanical room equipment, etc prior to commencing installation. Work not so coordinated shall be removed and properly install at the expense of the contractor</v>
      </c>
      <c r="C105" t="str">
        <v>Y</v>
      </c>
    </row>
    <row r="106" ht="14.25" customHeight="1">
      <c r="A106">
        <v>32</v>
      </c>
      <c r="B106" t="str">
        <v>Lead BIM Coordination</v>
      </c>
      <c r="C106" t="str">
        <v>Y</v>
      </c>
    </row>
    <row r="107" ht="14.25" customHeight="1">
      <c r="A107">
        <v>33</v>
      </c>
      <c r="B107" t="str">
        <v>Provide daily clean up to MCN supplied dumpster</v>
      </c>
      <c r="C107" t="str">
        <v>Y</v>
      </c>
    </row>
    <row r="108" ht="14.25" customHeight="1">
      <c r="A108">
        <v>34</v>
      </c>
      <c r="B108" t="str">
        <v>Install smoke detectors (supplied by others) in duct, including control wiring to unit controller, contacts, accessories and programming to integration into unit controls</v>
      </c>
      <c r="C108" t="str">
        <v>Y</v>
      </c>
      <c r="I108" s="8">
        <f>H108*F108</f>
        <v>0</v>
      </c>
    </row>
    <row r="109" ht="14.25" customHeight="1">
      <c r="A109">
        <v>35</v>
      </c>
      <c r="C109" t="str">
        <v>Y</v>
      </c>
      <c r="I109" s="8">
        <f>H109*F109</f>
        <v>0</v>
      </c>
    </row>
    <row r="110" ht="14.25" customHeight="1">
      <c r="A110">
        <v>36</v>
      </c>
      <c r="B110" t="str">
        <v xml:space="preserve">Geothermal heat pump coordination: </v>
      </c>
      <c r="C110" t="str">
        <v>Y</v>
      </c>
      <c r="I110" s="8">
        <f>H110*F110</f>
        <v>0</v>
      </c>
    </row>
    <row r="111" ht="14.25" customHeight="1">
      <c r="A111">
        <v>37</v>
      </c>
      <c r="B111" t="str">
        <v>- Geothrmal subcontractor to stub in HPWS/R HDPE pipe into geothermal vault as shown on MS100 and M200</v>
      </c>
      <c r="C111" t="str">
        <v>Y</v>
      </c>
      <c r="I111" s="8">
        <f>H111*F111</f>
        <v>0</v>
      </c>
    </row>
    <row r="112" ht="14.25" customHeight="1">
      <c r="A112">
        <v>38</v>
      </c>
      <c r="B112" t="str">
        <v>- HVAC Subcontractor to provide 6" HPWS/R headers along wall with isolation valves and balance valves for each branch - branching into building from Vault - Whole manifold configuration to be by HVAC subcontractor</v>
      </c>
      <c r="C112" t="str">
        <v>Y</v>
      </c>
      <c r="I112" s="8">
        <f>H112*F112</f>
        <v>0</v>
      </c>
    </row>
    <row r="113" ht="14.25" customHeight="1">
      <c r="A113">
        <v>39</v>
      </c>
      <c r="B113" t="str">
        <v>- GSP-1&amp; GSP-2 to be furnished and installed by HVAC subcontractor</v>
      </c>
      <c r="C113" t="str">
        <v>Y</v>
      </c>
      <c r="I113" s="8">
        <f>H113*F113</f>
        <v>0</v>
      </c>
    </row>
    <row r="114" ht="14.25" customHeight="1">
      <c r="B114" t="str">
        <v>- Furnish and Install Ventilation blower and flexible duct at geothermal vault</v>
      </c>
      <c r="C114" t="str">
        <v>Y</v>
      </c>
    </row>
    <row r="115" ht="14.25" customHeight="1">
      <c r="A115">
        <v>40</v>
      </c>
      <c r="I115" s="8">
        <f>H115*F115</f>
        <v>0</v>
      </c>
    </row>
    <row r="116" ht="14.25" customHeight="1">
      <c r="A116">
        <v>41</v>
      </c>
      <c r="B116" t="str">
        <v xml:space="preserve">Equipment Schedule: </v>
      </c>
      <c r="C116" t="str">
        <v>Y</v>
      </c>
      <c r="I116" s="8">
        <f>H116*F116</f>
        <v>0</v>
      </c>
    </row>
    <row r="117" ht="14.25" customHeight="1">
      <c r="A117">
        <v>42</v>
      </c>
      <c r="B117" t="str">
        <v xml:space="preserve">- DOAS -1 </v>
      </c>
      <c r="C117" t="str">
        <v>Y</v>
      </c>
      <c r="I117" s="8">
        <f>H117*F117</f>
        <v>0</v>
      </c>
    </row>
    <row r="118" ht="14.25" customHeight="1">
      <c r="A118">
        <v>43</v>
      </c>
      <c r="B118" t="str">
        <v>-Energy recovery wheels</v>
      </c>
      <c r="C118" t="str">
        <v>Y</v>
      </c>
      <c r="I118" s="8">
        <f>H118*F118</f>
        <v>0</v>
      </c>
    </row>
    <row r="119" ht="14.25" customHeight="1">
      <c r="A119">
        <v>44</v>
      </c>
      <c r="B119" t="str">
        <v>-Rooftop Unit schedule - WSHP GYM</v>
      </c>
      <c r="C119" t="str">
        <v>Y</v>
      </c>
      <c r="I119" s="8">
        <f>H119*F119</f>
        <v>0</v>
      </c>
    </row>
    <row r="120" ht="14.25" customHeight="1">
      <c r="A120">
        <v>45</v>
      </c>
      <c r="B120" t="str">
        <v>-Distributed Water source heat pumps</v>
      </c>
      <c r="C120" t="str">
        <v>Y</v>
      </c>
      <c r="I120" s="8">
        <f>H120*F120</f>
        <v>0</v>
      </c>
    </row>
    <row r="121" ht="14.25" customHeight="1">
      <c r="A121">
        <v>46</v>
      </c>
      <c r="B121" t="str">
        <v xml:space="preserve">- Kitchen Make-up air unit </v>
      </c>
      <c r="C121" t="str">
        <v>Y</v>
      </c>
      <c r="I121" s="8">
        <f>H121*F121</f>
        <v>0</v>
      </c>
    </row>
    <row r="122" ht="14.25" customHeight="1">
      <c r="A122">
        <v>47</v>
      </c>
      <c r="B122" t="str">
        <v>-Exhaust fan - EF-1 F&amp;I + Kitchen Exhaust Fan - KEF-1 and connections to kitchen hood including grease duct</v>
      </c>
      <c r="C122" t="str">
        <v>Y</v>
      </c>
      <c r="I122" s="8">
        <f>H122*F122</f>
        <v>0</v>
      </c>
    </row>
    <row r="123" ht="14.25" customHeight="1">
      <c r="A123">
        <v>48</v>
      </c>
      <c r="B123" t="str">
        <v>- Expansion tank for geothermal Loop</v>
      </c>
      <c r="C123" t="str">
        <v>Y</v>
      </c>
      <c r="I123" s="8">
        <f>H123*F123</f>
        <v>0</v>
      </c>
    </row>
    <row r="124" ht="14.25" customHeight="1">
      <c r="A124">
        <v>49</v>
      </c>
      <c r="B124" t="str">
        <v>-Pumps - GSP-1/GSP-2</v>
      </c>
      <c r="C124" t="str">
        <v>Y</v>
      </c>
      <c r="I124" s="8">
        <f>H124*F124</f>
        <v>0</v>
      </c>
    </row>
    <row r="125" ht="14.25" customHeight="1">
      <c r="A125">
        <v>50</v>
      </c>
      <c r="B125" t="str">
        <v>- Pot feeder - PF-1</v>
      </c>
      <c r="C125" t="str">
        <v>Y</v>
      </c>
    </row>
    <row r="126" ht="14.25" customHeight="1">
      <c r="A126">
        <v>51</v>
      </c>
      <c r="B126" t="str">
        <v>- Air Seperator - AS-1</v>
      </c>
      <c r="C126" t="str">
        <v>Y</v>
      </c>
    </row>
    <row r="127" ht="14.25" customHeight="1">
      <c r="A127">
        <v>52</v>
      </c>
      <c r="B127" t="str">
        <v>- Single duct air terminal units - VAV boxes</v>
      </c>
      <c r="C127" t="str">
        <v>Y</v>
      </c>
    </row>
    <row r="128" ht="14.25" customHeight="1">
      <c r="A128">
        <v>53</v>
      </c>
      <c r="B128" t="str">
        <v>- Single Duct Exhaust Air terminal units - EAVs</v>
      </c>
      <c r="C128" t="str">
        <v>Y</v>
      </c>
    </row>
    <row r="129" ht="14.25" customHeight="1">
      <c r="A129">
        <v>54</v>
      </c>
      <c r="B129" t="str">
        <v>- Constant volume regulators  - CVRs</v>
      </c>
      <c r="C129" t="str">
        <v>Y</v>
      </c>
    </row>
    <row r="130" ht="14.25" customHeight="1">
      <c r="A130">
        <v>55</v>
      </c>
      <c r="B130" t="str">
        <v>- Grilles, registers &amp; Diffusers</v>
      </c>
      <c r="C130" t="str">
        <v>Y</v>
      </c>
    </row>
    <row r="131" ht="14.25" customHeight="1">
      <c r="A131">
        <v>56</v>
      </c>
      <c r="B131" t="str">
        <v>- Split system indoor and outdoor units</v>
      </c>
      <c r="C131" t="str">
        <v>Y</v>
      </c>
    </row>
    <row r="132" ht="14.25" customHeight="1">
      <c r="A132">
        <v>57</v>
      </c>
      <c r="B132" t="str">
        <v>- Unit heaters - UH-1</v>
      </c>
      <c r="C132" t="str">
        <v>Y</v>
      </c>
    </row>
    <row r="133" ht="14.25" customHeight="1">
      <c r="A133">
        <v>58</v>
      </c>
      <c r="C133" t="str">
        <v>Y</v>
      </c>
      <c r="I133" s="8">
        <f>H133*F133</f>
        <v>0</v>
      </c>
    </row>
    <row r="134" ht="14.25" customHeight="1">
      <c r="A134">
        <v>59</v>
      </c>
      <c r="B134" t="str">
        <v>STANDARD / GENERAL SCOPE</v>
      </c>
      <c r="C134" t="str">
        <v>Y</v>
      </c>
      <c r="I134" s="8">
        <f>H134*F134</f>
        <v>0</v>
      </c>
    </row>
    <row r="135" ht="14.25" customHeight="1">
      <c r="A135">
        <v>60</v>
      </c>
      <c r="B135" t="str">
        <v>Hangers &amp; supports for  piping and equipment provided under this scope</v>
      </c>
      <c r="C135" t="str">
        <v>Y</v>
      </c>
      <c r="I135" s="8">
        <f>H135*F135</f>
        <v>0</v>
      </c>
    </row>
    <row r="136" ht="14.25" customHeight="1">
      <c r="A136">
        <v>71</v>
      </c>
      <c r="B136" t="str">
        <v>All rigging &amp; hoisting required for PHVAC work.</v>
      </c>
      <c r="C136" t="str">
        <v>Y</v>
      </c>
      <c r="I136" s="8">
        <f>H136*F136</f>
        <v>0</v>
      </c>
    </row>
    <row r="137" ht="14.25" customHeight="1">
      <c r="A137">
        <v>72</v>
      </c>
      <c r="B137" t="str">
        <v>Perform all cutting &amp; core drilling required for PHVAC work</v>
      </c>
      <c r="C137" t="str">
        <v>Y</v>
      </c>
      <c r="I137" s="8">
        <f>H137*F137</f>
        <v>0</v>
      </c>
    </row>
    <row r="138" ht="14.25" customHeight="1">
      <c r="A138">
        <v>73</v>
      </c>
      <c r="B138" t="str">
        <v>Fire stopping &amp; moisture sealing of penetrations for PHVAC work</v>
      </c>
      <c r="C138" t="str">
        <v>Y</v>
      </c>
      <c r="I138" s="8">
        <f>H138*F138</f>
        <v>0</v>
      </c>
    </row>
    <row r="139" ht="14.25" customHeight="1">
      <c r="A139">
        <v>74</v>
      </c>
      <c r="B139" t="str">
        <v xml:space="preserve">Excavation &amp; Backfill </v>
      </c>
      <c r="C139" t="str">
        <v>Y</v>
      </c>
      <c r="I139" s="8">
        <f>H139*F139</f>
        <v>0</v>
      </c>
    </row>
    <row r="140" ht="14.25" customHeight="1">
      <c r="A140">
        <v>75</v>
      </c>
      <c r="B140" t="str">
        <v>Furnish access doors for concealed valves and devices</v>
      </c>
      <c r="C140" t="str">
        <v>Y</v>
      </c>
      <c r="I140" s="8">
        <f>H140*F140</f>
        <v>0</v>
      </c>
    </row>
    <row r="141" ht="14.25" customHeight="1">
      <c r="A141">
        <v>76</v>
      </c>
      <c r="B141" t="str">
        <v>As built drawings &amp; O&amp;M manuals</v>
      </c>
      <c r="C141" t="str">
        <v>Y</v>
      </c>
      <c r="I141" s="8">
        <f>H141*F141</f>
        <v>0</v>
      </c>
    </row>
    <row r="142" ht="14.25" customHeight="1">
      <c r="A142">
        <v>77</v>
      </c>
      <c r="B142" t="str">
        <v>Warranties as specified including extended warranties specified in individual specification sections</v>
      </c>
      <c r="C142" t="str">
        <v>Y</v>
      </c>
      <c r="I142" s="8">
        <f>H142*F142</f>
        <v>0</v>
      </c>
    </row>
    <row r="143" ht="14.25" customHeight="1">
      <c r="A143">
        <v>78</v>
      </c>
      <c r="B143" t="str">
        <v>Sleeves for piping though slabs, walls &amp; partitions where specified</v>
      </c>
      <c r="C143" t="str">
        <v>Y</v>
      </c>
      <c r="I143" s="8">
        <f>H143*F143</f>
        <v>0</v>
      </c>
    </row>
    <row r="144" ht="14.25" customHeight="1">
      <c r="A144">
        <v>79</v>
      </c>
      <c r="B144" t="str">
        <v>Daily clean up to MCN supplied dumpster.</v>
      </c>
      <c r="C144" t="str">
        <v>Y</v>
      </c>
      <c r="I144" s="8">
        <f>H144*F144</f>
        <v>0</v>
      </c>
    </row>
    <row r="145" ht="14.25" customHeight="1">
      <c r="A145">
        <v>80</v>
      </c>
      <c r="B145" t="str">
        <v>Heat tracing for plumbing &amp; HVAC piping</v>
      </c>
      <c r="C145" t="str">
        <v>Y</v>
      </c>
      <c r="I145" s="8">
        <f>H145*F145</f>
        <v>0</v>
      </c>
    </row>
    <row r="146" ht="14.25" customHeight="1">
      <c r="A146">
        <v>81</v>
      </c>
      <c r="B146" t="str">
        <v>Comply with specifications for coordinated drawings</v>
      </c>
      <c r="C146" t="str">
        <v>Y</v>
      </c>
      <c r="I146" s="8">
        <f>H146*F146</f>
        <v>0</v>
      </c>
    </row>
    <row r="147" ht="14.25" customHeight="1">
      <c r="A147">
        <v>82</v>
      </c>
      <c r="B147" t="str">
        <v>Installation of PHVAC equipment per required code and service access.</v>
      </c>
      <c r="C147" t="str">
        <v>Y</v>
      </c>
    </row>
    <row r="148" ht="14.25" customHeight="1">
      <c r="A148">
        <v>83</v>
      </c>
      <c r="B148" t="str">
        <v>Core drilling for all PHVAC work including x-ray or GPR</v>
      </c>
      <c r="C148" t="str">
        <v>Y</v>
      </c>
    </row>
    <row r="149" ht="14.25" customHeight="1">
      <c r="A149">
        <v>32</v>
      </c>
      <c r="C149" t="str">
        <v>Y</v>
      </c>
      <c r="I149" s="8">
        <f>H149*F149</f>
        <v>0</v>
      </c>
    </row>
    <row r="150" ht="14.25" customHeight="1">
      <c r="I150" s="8">
        <f>H150*F150</f>
        <v>0</v>
      </c>
    </row>
    <row r="151" ht="14.25" customHeight="1">
      <c r="A151" t="str">
        <v>C</v>
      </c>
      <c r="B151" t="str">
        <v>Exclusions</v>
      </c>
    </row>
    <row r="152" ht="14.25" customHeight="1">
      <c r="A152">
        <v>1</v>
      </c>
      <c r="B152" t="str">
        <v>Concrete Pads</v>
      </c>
      <c r="C152" t="str">
        <v>N</v>
      </c>
    </row>
    <row r="153" ht="14.25" customHeight="1">
      <c r="A153">
        <v>2</v>
      </c>
      <c r="B153" t="str">
        <v>Installation of Access Doors</v>
      </c>
      <c r="C153" t="str">
        <v>N</v>
      </c>
    </row>
    <row r="154" ht="14.25" customHeight="1">
      <c r="A154">
        <v>3</v>
      </c>
      <c r="B154" t="str">
        <v>Fire Protection</v>
      </c>
      <c r="C154" t="str">
        <v>N</v>
      </c>
    </row>
    <row r="155" ht="14.25" customHeight="1">
      <c r="A155">
        <v>4</v>
      </c>
      <c r="B155" t="str">
        <v>Power Wiring of PHVAC equipment</v>
      </c>
      <c r="C155" t="str">
        <v>N</v>
      </c>
    </row>
    <row r="156" ht="14.25" customHeight="1"/>
    <row r="157" ht="14.25" customHeight="1">
      <c r="A157" t="str">
        <v>D</v>
      </c>
      <c r="B157" t="str">
        <v>Schedule</v>
      </c>
    </row>
    <row r="158" ht="14.25" customHeight="1">
      <c r="A158">
        <v>1</v>
      </c>
      <c r="B158" t="str">
        <v>Meet MCN Schedule</v>
      </c>
      <c r="C158" t="str">
        <v>Y</v>
      </c>
    </row>
    <row r="159" ht="14.25" customHeight="1">
      <c r="A159">
        <f>A158+1</f>
        <v>2</v>
      </c>
      <c r="B159" t="str">
        <v>Advise of Durations</v>
      </c>
    </row>
    <row r="160" ht="14.25" customHeight="1">
      <c r="A160">
        <f>A159+1</f>
        <v>3</v>
      </c>
      <c r="B160" t="str">
        <v>Total time for HVAC scope of work</v>
      </c>
      <c r="C160" t="str">
        <v>---&gt;</v>
      </c>
    </row>
    <row r="161" ht="14.25" customHeight="1">
      <c r="A161">
        <f>A160+1</f>
        <v>4</v>
      </c>
      <c r="B161" t="str">
        <v>Installation of Sheet Metal</v>
      </c>
      <c r="C161" t="str">
        <v>---&gt;</v>
      </c>
    </row>
    <row r="162" ht="14.25" customHeight="1">
      <c r="A162">
        <f>A161+1</f>
        <v>5</v>
      </c>
      <c r="B162" t="str">
        <v>Installation of Mech equipment</v>
      </c>
      <c r="C162" t="str">
        <v>---&gt;</v>
      </c>
    </row>
    <row r="163" ht="14.25" customHeight="1">
      <c r="A163">
        <f>A162+1</f>
        <v>6</v>
      </c>
      <c r="B163" t="str">
        <v>Installation of Mech piping</v>
      </c>
    </row>
    <row r="164" ht="14.25" customHeight="1">
      <c r="A164">
        <f>A163+1</f>
        <v>7</v>
      </c>
      <c r="B164" t="str">
        <v>Duration for Submittals and Shop Drawings</v>
      </c>
      <c r="C164" t="str">
        <v>---&gt;</v>
      </c>
    </row>
    <row r="165" ht="14.25" customHeight="1">
      <c r="A165">
        <f>A164+1</f>
        <v>8</v>
      </c>
      <c r="B165" t="str">
        <v>Advise of Lead Times:</v>
      </c>
    </row>
    <row r="166" ht="14.25" customHeight="1">
      <c r="A166">
        <f>A165+1</f>
        <v>9</v>
      </c>
      <c r="B166" t="str">
        <v>WSHPs</v>
      </c>
      <c r="C166" t="str">
        <v>---&gt;</v>
      </c>
    </row>
    <row r="167" ht="14.25" customHeight="1">
      <c r="A167">
        <f>A166+1</f>
        <v>10</v>
      </c>
      <c r="B167" t="str">
        <v>Sheet metal</v>
      </c>
      <c r="C167" t="str">
        <v>---&gt;</v>
      </c>
    </row>
    <row r="168" ht="14.25" customHeight="1">
      <c r="A168">
        <f>A167+1</f>
        <v>11</v>
      </c>
      <c r="B168" t="str">
        <v>Condensate and HDPE pipe</v>
      </c>
      <c r="C168" t="str">
        <v>---&gt;</v>
      </c>
    </row>
    <row r="169" ht="14.25" customHeight="1">
      <c r="A169">
        <f>A168+1</f>
        <v>12</v>
      </c>
      <c r="B169" t="str">
        <v>DOAS Unit</v>
      </c>
      <c r="C169" t="str">
        <v>---&gt;</v>
      </c>
    </row>
    <row r="170" ht="14.25" customHeight="1"/>
    <row r="171" ht="14.25" customHeight="1"/>
    <row r="172" ht="14.25" customHeight="1">
      <c r="B172" t="str">
        <v>Allowances</v>
      </c>
    </row>
    <row r="173" ht="14.25" customHeight="1">
      <c r="A173">
        <v>1</v>
      </c>
    </row>
    <row r="174" ht="14.25" customHeight="1">
      <c r="A174">
        <f>A173+1</f>
        <v>2</v>
      </c>
      <c r="B174" t="str">
        <v>N/A</v>
      </c>
    </row>
    <row r="175" ht="14.25" customHeight="1">
      <c r="A175">
        <f>A174+1</f>
        <v>3</v>
      </c>
    </row>
    <row r="176" hidden="1" ht="14.25" customHeight="1">
      <c r="A176">
        <f>A175+1</f>
        <v>4</v>
      </c>
    </row>
    <row r="177" hidden="1" ht="14.25" customHeight="1"/>
    <row r="178" ht="14.25" customHeight="1"/>
    <row r="179" ht="14.25" customHeight="1">
      <c r="B179" t="str">
        <v>Alternates</v>
      </c>
    </row>
    <row r="180" ht="14.25" customHeight="1">
      <c r="A180">
        <v>1</v>
      </c>
      <c r="C180" t="str">
        <v>#</v>
      </c>
    </row>
    <row r="181" ht="14.25" customHeight="1">
      <c r="A181">
        <f>A180+1</f>
        <v>2</v>
      </c>
      <c r="B181" t="str">
        <v>N/A</v>
      </c>
      <c r="C181" t="str">
        <v>#</v>
      </c>
    </row>
    <row r="182" ht="14.25" customHeight="1">
      <c r="A182">
        <f>A181+1</f>
        <v>3</v>
      </c>
      <c r="C182" t="str">
        <v>#</v>
      </c>
    </row>
    <row r="183" hidden="1" ht="14.25" customHeight="1">
      <c r="A183">
        <f>A182+1</f>
        <v>4</v>
      </c>
      <c r="C183" t="str">
        <v>#</v>
      </c>
    </row>
    <row r="184" hidden="1" ht="14.25" customHeight="1">
      <c r="C184" t="str">
        <v>#</v>
      </c>
    </row>
    <row r="185" ht="14.25" customHeight="1">
      <c r="B185" t="str">
        <v>Unit Prices</v>
      </c>
    </row>
    <row r="186" ht="14.25" customHeight="1">
      <c r="A186">
        <v>1</v>
      </c>
      <c r="C186" t="str">
        <v>#</v>
      </c>
    </row>
    <row r="187" ht="14.25" customHeight="1">
      <c r="A187">
        <f>A186+1</f>
        <v>2</v>
      </c>
      <c r="B187" t="str">
        <v>N/A</v>
      </c>
      <c r="C187" t="str">
        <v>#</v>
      </c>
    </row>
    <row r="188" ht="14.25" customHeight="1">
      <c r="A188">
        <f>A187+1</f>
        <v>3</v>
      </c>
      <c r="C188" t="str">
        <v>#</v>
      </c>
    </row>
    <row r="189" hidden="1" ht="14.25" customHeight="1">
      <c r="A189">
        <f>A188+1</f>
        <v>4</v>
      </c>
      <c r="C189" t="str">
        <v>#</v>
      </c>
    </row>
    <row r="190" hidden="1"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B8" r:id="rId1"/>
  </hyperlinks>
  <pageMargins left="0.7" right="0.7" top="0.25" bottom="0.75" header="0" footer="0"/>
  <ignoredErrors>
    <ignoredError numberStoredAsText="1" sqref="A1:AO1000"/>
  </ignoredErrors>
</worksheet>
</file>

<file path=xl/worksheets/sheet3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Robinson</v>
      </c>
      <c r="N1" t="str">
        <v>Mona</v>
      </c>
      <c r="Q1" t="str">
        <v>Freestate</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T2" t="str">
        <v>Name</v>
      </c>
      <c r="W2" t="str">
        <v>Name</v>
      </c>
      <c r="Z2" t="str">
        <v>Name</v>
      </c>
      <c r="AC2" t="str">
        <v>Name</v>
      </c>
      <c r="AH2" t="str">
        <v>MCN</v>
      </c>
      <c r="AM2" s="8">
        <f>I9</f>
        <v>0</v>
      </c>
    </row>
    <row r="3" ht="14.25" customHeight="1" outlineLevel="1">
      <c r="I3" t="str">
        <v>Email:</v>
      </c>
      <c r="T3" t="str">
        <v>Email</v>
      </c>
      <c r="W3" t="str">
        <v>Email</v>
      </c>
      <c r="Z3" t="str">
        <v>Email</v>
      </c>
      <c r="AC3" t="str">
        <v>Email</v>
      </c>
      <c r="AH3">
        <v>1</v>
      </c>
      <c r="AI3" t="str">
        <f>IFNA(INDEX($K$1:$AE$1,1,MATCH($AH3,$K$10:$AE$10,0)),"")</f>
        <v>Mona</v>
      </c>
      <c r="AJ3" s="3">
        <f t="array" ref="AJ3">IFNA(INDEX($K$6:$AE$6,1,MATCH($AH3,$K$10:$AE$10,0)+1),"")</f>
        <v>2558140</v>
      </c>
      <c r="AK3" s="3">
        <f t="array" ref="AK3">IFNA(INDEX($K$7:$AE$7,1,MATCH($AH3,$K$10:$AE$10,0)+1),"")</f>
        <v>177270</v>
      </c>
      <c r="AL3" s="3">
        <f t="array" ref="AL3">IFNA(INDEX($K$8:$AE$8,1,MATCH($AH3,$K$10:$AE$10,0)+1),"")</f>
        <v>54708.2</v>
      </c>
      <c r="AM3" s="3">
        <f t="array" ref="AM3">IFNA(INDEX($K$9:$AE$9,1,MATCH($AH3,$K$10:$AE$10,0)+1),"")</f>
        <v>2790118.2</v>
      </c>
      <c r="AO3" s="9">
        <f>IFERROR(AN3*AM3,0)</f>
        <v>0</v>
      </c>
    </row>
    <row r="4" ht="14.25" customHeight="1" outlineLevel="1">
      <c r="A4" t="str">
        <v>Trade:</v>
      </c>
      <c r="B4" t="str">
        <v>26 - ELECTRICAL</v>
      </c>
      <c r="I4" t="str">
        <v>Phone:</v>
      </c>
      <c r="T4" t="str">
        <v>Number</v>
      </c>
      <c r="W4" t="str">
        <v>Number</v>
      </c>
      <c r="Z4" t="str">
        <v>Number</v>
      </c>
      <c r="AC4" t="str">
        <v>Number</v>
      </c>
      <c r="AH4">
        <v>2</v>
      </c>
      <c r="AI4" t="str">
        <f>IFNA(INDEX($K$1:$AE$1,1,MATCH($AH4,$K$10:$AE$10,0)),"")</f>
        <v>Robinson</v>
      </c>
      <c r="AJ4" s="3">
        <f t="array" ref="AJ4">IFNA(INDEX($K$6:$AE$6,1,MATCH($AH4,$K$10:$AE$10,0)+1),"")</f>
        <v>2347221</v>
      </c>
      <c r="AK4" s="3">
        <f t="array" ref="AK4">IFNA(INDEX($K$7:$AE$7,1,MATCH($AH4,$K$10:$AE$10,0)+1),"")</f>
        <v>424455.6</v>
      </c>
      <c r="AL4" s="3">
        <f t="array" ref="AL4">IFNA(INDEX($K$8:$AE$8,1,MATCH($AH4,$K$10:$AE$10,0)+1),"")</f>
        <v>55433.532</v>
      </c>
      <c r="AM4" s="3">
        <f t="array" ref="AM4">IFNA(INDEX($K$9:$AE$9,1,MATCH($AH4,$K$10:$AE$10,0)+1),"")</f>
        <v>2827110.132</v>
      </c>
      <c r="AO4" s="9">
        <f>IFERROR(AN4*AM4,0)</f>
        <v>0</v>
      </c>
    </row>
    <row r="5" ht="14.25" customHeight="1" outlineLevel="1">
      <c r="A5" t="str">
        <v>Rev/Date:</v>
      </c>
      <c r="B5" s="6">
        <v>46048</v>
      </c>
      <c r="C5" t="str">
        <v>Bidder:</v>
      </c>
      <c r="K5" t="str">
        <v>Level Scope?</v>
      </c>
      <c r="L5" s="4" t="str">
        <v>FULL SCOPE</v>
      </c>
      <c r="N5" t="str">
        <v>Level Scope?</v>
      </c>
      <c r="O5" s="4" t="str">
        <v>FULL SCOPE</v>
      </c>
      <c r="Q5" t="str">
        <v>Level Scope?</v>
      </c>
      <c r="R5" s="4" t="str">
        <v>FULL SCOPE</v>
      </c>
      <c r="T5" t="str">
        <v>Level Scope?</v>
      </c>
      <c r="U5" s="4" t="str">
        <v>NO</v>
      </c>
      <c r="W5" t="str">
        <v>Level Scope?</v>
      </c>
      <c r="X5" s="4" t="str">
        <v>NO</v>
      </c>
      <c r="Z5" t="str">
        <v>Level Scope?</v>
      </c>
      <c r="AA5" s="4" t="str">
        <v>NO</v>
      </c>
      <c r="AC5" t="str">
        <v>Level Scope?</v>
      </c>
      <c r="AD5" s="4" t="str">
        <v>NO</v>
      </c>
      <c r="AH5">
        <v>3</v>
      </c>
      <c r="AI5" t="str">
        <f>IFNA(INDEX($K$1:$AE$1,1,MATCH($AH5,$K$10:$AE$10,0)),"")</f>
        <v>Freestate</v>
      </c>
      <c r="AJ5" s="3">
        <f t="array" ref="AJ5">IFNA(INDEX($K$6:$AE$6,1,MATCH($AH5,$K$10:$AE$10,0)+1),"")</f>
        <v>2925000</v>
      </c>
      <c r="AK5" s="3">
        <f t="array" ref="AK5">IFNA(INDEX($K$7:$AE$7,1,MATCH($AH5,$K$10:$AE$10,0)+1),"")</f>
        <v>0</v>
      </c>
      <c r="AL5" s="3">
        <f t="array" ref="AL5">IFNA(INDEX($K$8:$AE$8,1,MATCH($AH5,$K$10:$AE$10,0)+1),"")</f>
        <v>58500</v>
      </c>
      <c r="AM5" s="3">
        <f t="array" ref="AM5">IFNA(INDEX($K$9:$AE$9,1,MATCH($AH5,$K$10:$AE$10,0)+1),"")</f>
        <v>2983500</v>
      </c>
      <c r="AO5" s="9">
        <f>IFERROR(AN5*AM5,0)</f>
        <v>0</v>
      </c>
    </row>
    <row r="6" ht="14.25" customHeight="1" outlineLevel="1">
      <c r="K6" t="str">
        <v>Base Bid:</v>
      </c>
      <c r="L6" s="4">
        <v>2347221</v>
      </c>
      <c r="N6" t="str">
        <v>Base Bid:</v>
      </c>
      <c r="O6" s="4">
        <f>2558140</f>
        <v>2558140</v>
      </c>
      <c r="Q6" t="str">
        <v>Base Bid:</v>
      </c>
      <c r="R6" s="4">
        <v>2925000</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Walid Salhab</v>
      </c>
      <c r="C7" t="str">
        <v>Contact:</v>
      </c>
      <c r="G7" s="8" t="str">
        <v>| MCN Budget</v>
      </c>
      <c r="I7" s="8">
        <f>SUM(I20:I146,I13:I18)</f>
        <v>0</v>
      </c>
      <c r="K7" t="str">
        <v>Adjustments:</v>
      </c>
      <c r="L7" s="4">
        <f>SUM(L13:L18,L20:L146)</f>
        <v>424455.6</v>
      </c>
      <c r="N7" t="str">
        <v>Adjustments:</v>
      </c>
      <c r="O7" s="4">
        <f>SUM(O13:O18,O20:O146)</f>
        <v>177270</v>
      </c>
      <c r="Q7" t="str">
        <v>Adjustments:</v>
      </c>
      <c r="R7" s="4">
        <f>SUM(R13:R18,R20:R146)</f>
        <v>0</v>
      </c>
      <c r="T7" t="str">
        <v>Adjustments:</v>
      </c>
      <c r="U7" s="4">
        <f>SUM(U13:U18,U20:U146)</f>
        <v>0</v>
      </c>
      <c r="W7" t="str">
        <v>Adjustments:</v>
      </c>
      <c r="X7" s="4">
        <f>SUM(X13:X18,X20:X146)</f>
        <v>0</v>
      </c>
      <c r="Z7" t="str">
        <v>Adjustments:</v>
      </c>
      <c r="AA7" s="4">
        <f>SUM(AA13:AA18,AA20:AA146)</f>
        <v>0</v>
      </c>
      <c r="AC7" t="str">
        <v>Adjustments:</v>
      </c>
      <c r="AD7" s="4">
        <f>SUM(AD13:AD18,AD20:AD146)</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walid.salhab@mcnbuild.com</v>
      </c>
      <c r="C8" t="str">
        <v>Email:</v>
      </c>
      <c r="F8" s="10">
        <v>0.02</v>
      </c>
      <c r="G8" s="8" t="str">
        <v>| Bond</v>
      </c>
      <c r="I8" s="8">
        <f>F8*I7</f>
        <v>0</v>
      </c>
      <c r="J8" s="10">
        <v>0.02</v>
      </c>
      <c r="K8" t="str">
        <v>Bond:</v>
      </c>
      <c r="L8" s="4">
        <f>J8*SUM(L6:L7)</f>
        <v>55433.532</v>
      </c>
      <c r="M8" s="10">
        <v>0.02</v>
      </c>
      <c r="N8" t="str">
        <v>Bond:</v>
      </c>
      <c r="O8" s="4">
        <f>M8*SUM(O6:O7)</f>
        <v>54708.2</v>
      </c>
      <c r="P8" s="10">
        <v>0.02</v>
      </c>
      <c r="Q8" t="str">
        <v>Bond:</v>
      </c>
      <c r="R8" s="4">
        <f>P8*SUM(R6:R7)</f>
        <v>58500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 655 - 6633</v>
      </c>
      <c r="C9" t="str">
        <v>Phone:</v>
      </c>
      <c r="G9" t="str">
        <v>-----</v>
      </c>
      <c r="H9" s="8" t="str">
        <v xml:space="preserve">  --------&gt;</v>
      </c>
      <c r="I9" s="8">
        <f>SUM(I7:I8)</f>
        <v>0</v>
      </c>
      <c r="K9" t="str">
        <v>Total Bid:</v>
      </c>
      <c r="L9" s="4">
        <f>IF(L5="FULL SCOPE",SUM(L6:L8),"not level")</f>
        <v>2827110.132</v>
      </c>
      <c r="N9" t="str">
        <v>Total Bid:</v>
      </c>
      <c r="O9" s="4">
        <f>IF(O5="FULL SCOPE",SUM(O6:O8),"not level")</f>
        <v>2790118.2</v>
      </c>
      <c r="Q9" t="str">
        <v>Total Bid:</v>
      </c>
      <c r="R9" s="4">
        <f>IF(R5="FULL SCOPE",SUM(R6:R8),"not level")</f>
        <v>2983500</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1</v>
      </c>
      <c r="Q10">
        <f>IF(R5="NO","INCOMPLETE",RANK.EQ(R9,$L$9:$AE$9,1))</f>
        <v>3</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2347221</v>
      </c>
      <c r="O19" s="8">
        <f>O6</f>
        <v>2558140</v>
      </c>
      <c r="R19" s="8">
        <f>R6</f>
        <v>2925000</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 Electrical</v>
      </c>
      <c r="C22" t="str">
        <v>#</v>
      </c>
      <c r="D22" t="str">
        <v>$</v>
      </c>
      <c r="I22" s="8">
        <f>H22*F22</f>
        <v>0</v>
      </c>
    </row>
    <row r="23" ht="14.25" customHeight="1">
      <c r="A23">
        <f>A22+1</f>
        <v>5</v>
      </c>
      <c r="B23" t="str">
        <v>Site Electrical</v>
      </c>
      <c r="C23" t="str">
        <v>#</v>
      </c>
      <c r="D23" t="str">
        <v>$</v>
      </c>
      <c r="I23" s="8">
        <f>H23*F23</f>
        <v>0</v>
      </c>
    </row>
    <row r="24" ht="14.25" customHeight="1">
      <c r="A24">
        <v>6</v>
      </c>
      <c r="B24" t="str">
        <v>Site transformer, ductbanks and vault</v>
      </c>
      <c r="C24" t="str">
        <v>#</v>
      </c>
      <c r="D24" t="str">
        <v>$</v>
      </c>
      <c r="J24" t="str">
        <v>P</v>
      </c>
      <c r="K24" t="str">
        <v>Primary ductbank</v>
      </c>
      <c r="L24" s="8">
        <f>55200+13000+19395+7850</f>
        <v>95445</v>
      </c>
      <c r="N24" t="str">
        <v>Primary ductbank</v>
      </c>
      <c r="O24" s="8">
        <v>38691</v>
      </c>
    </row>
    <row r="25" ht="14.25" customHeight="1">
      <c r="A25">
        <v>7</v>
      </c>
      <c r="B25" t="str">
        <v>Fire Alarm system</v>
      </c>
      <c r="C25" t="str">
        <v>#</v>
      </c>
      <c r="D25" t="str">
        <v>$</v>
      </c>
    </row>
    <row r="26" ht="14.25" customHeight="1">
      <c r="I26" s="8">
        <f>H26*F26</f>
        <v>0</v>
      </c>
      <c r="N26" t="str">
        <v>Transformer? Pulls by pepco always (Primary, see secondary?)</v>
      </c>
    </row>
    <row r="27" ht="14.25" customHeight="1">
      <c r="B27" t="str">
        <v>Section 3 - Scope of Work</v>
      </c>
    </row>
    <row r="28" ht="14.25" customHeight="1">
      <c r="B28" t="str">
        <v>Furnish and Install All Items UON</v>
      </c>
      <c r="C28" t="str">
        <v>Y</v>
      </c>
    </row>
    <row r="29" ht="14.25" customHeight="1">
      <c r="A29" t="str">
        <v>A</v>
      </c>
      <c r="B29" t="str">
        <v>Specifications</v>
      </c>
    </row>
    <row r="30" ht="14.25" customHeight="1">
      <c r="A30">
        <v>1</v>
      </c>
      <c r="B30" t="str">
        <v>Division 01 - General Requirements</v>
      </c>
      <c r="C30" t="str">
        <v>Y</v>
      </c>
      <c r="J30" t="str">
        <v>Y</v>
      </c>
      <c r="M30" t="str">
        <v>Y</v>
      </c>
      <c r="P30" t="str">
        <v>Y</v>
      </c>
    </row>
    <row r="31" ht="14.25" customHeight="1">
      <c r="A31">
        <v>2</v>
      </c>
      <c r="B31" t="str">
        <v>Division 23 - HVAC (As applies to this bid package)</v>
      </c>
      <c r="C31" t="str">
        <v>Y</v>
      </c>
      <c r="J31" t="str">
        <v>Y</v>
      </c>
      <c r="M31" t="str">
        <v>Y</v>
      </c>
      <c r="P31" t="str">
        <v>Y</v>
      </c>
    </row>
    <row r="32" ht="14.25" customHeight="1">
      <c r="A32">
        <v>3</v>
      </c>
      <c r="B32" t="str">
        <v>Division 26 - Electrical</v>
      </c>
      <c r="C32" t="str">
        <v>Y</v>
      </c>
      <c r="J32" t="str">
        <v>Y</v>
      </c>
      <c r="M32" t="str">
        <v>Y</v>
      </c>
      <c r="P32" t="str">
        <v>Y</v>
      </c>
    </row>
    <row r="33" ht="14.25" customHeight="1">
      <c r="A33">
        <v>4</v>
      </c>
      <c r="B33" t="str">
        <v>Division 27 - Communications (As applied to this bid package)</v>
      </c>
      <c r="C33" t="str">
        <v>Y</v>
      </c>
      <c r="J33" t="str">
        <v>Y</v>
      </c>
      <c r="M33" t="str">
        <v>Y</v>
      </c>
      <c r="P33" t="str">
        <v>Y</v>
      </c>
    </row>
    <row r="34" ht="14.25" customHeight="1">
      <c r="A34">
        <v>5</v>
      </c>
      <c r="B34" t="str">
        <v>Division 28 - Electronic Safety and Security (As applies to this bid package)</v>
      </c>
      <c r="C34" t="str">
        <v>Y</v>
      </c>
      <c r="J34" t="str">
        <v>Y</v>
      </c>
      <c r="M34" t="str">
        <v>Y</v>
      </c>
      <c r="P34" t="str">
        <v>Y</v>
      </c>
    </row>
    <row r="35" ht="14.25" customHeight="1"/>
    <row r="36" ht="14.25" customHeight="1">
      <c r="A36" t="str">
        <v>B</v>
      </c>
      <c r="B36" t="str">
        <v>Inclusions</v>
      </c>
    </row>
    <row r="37" ht="14.25" customHeight="1">
      <c r="A37">
        <v>1</v>
      </c>
      <c r="B37" t="str">
        <v>SPECIFIC SCOPE ITEMS</v>
      </c>
      <c r="C37" t="str">
        <v>Y</v>
      </c>
      <c r="I37" s="8">
        <f>H37*F37</f>
        <v>0</v>
      </c>
      <c r="J37" t="str">
        <v>Y</v>
      </c>
      <c r="M37" t="str">
        <v>Y</v>
      </c>
      <c r="P37" t="str">
        <v>Y</v>
      </c>
    </row>
    <row r="38" ht="14.25" customHeight="1">
      <c r="A38">
        <v>2</v>
      </c>
      <c r="B38" t="str">
        <v>SITEWORK</v>
      </c>
      <c r="C38" t="str">
        <v>Y</v>
      </c>
      <c r="I38" s="8">
        <f>H38*F38</f>
        <v>0</v>
      </c>
      <c r="J38" t="str">
        <v>Y</v>
      </c>
      <c r="M38" t="str">
        <v>Y</v>
      </c>
      <c r="P38" t="str">
        <v>Y</v>
      </c>
    </row>
    <row r="39" ht="14.25" customHeight="1">
      <c r="A39">
        <v>3</v>
      </c>
      <c r="B39" t="str">
        <v>Existing sports lighting control panels to be removed, stored, refinished and reinstalled per Electrical site plan and by this Subcontractor</v>
      </c>
      <c r="C39" t="str">
        <v>Y</v>
      </c>
      <c r="I39" s="8">
        <f>H39*F39</f>
        <v>0</v>
      </c>
      <c r="J39" t="str">
        <v>Y</v>
      </c>
      <c r="M39" t="str">
        <v>Y</v>
      </c>
      <c r="P39" t="str">
        <v>Y</v>
      </c>
    </row>
    <row r="40" ht="14.25" customHeight="1">
      <c r="A40">
        <v>4</v>
      </c>
      <c r="B40" t="str">
        <v>Existing sports lighting pole to be relocated. Subcontractor includes removal of existing poles, relocation and reinstallation including all footing, conduits, backfill etc. required. Refer to Landscape drawing for relocation area.</v>
      </c>
      <c r="C40" t="str">
        <v>Y</v>
      </c>
      <c r="I40" s="8">
        <f>H40*F40</f>
        <v>0</v>
      </c>
      <c r="J40" t="str">
        <v>P</v>
      </c>
      <c r="L40" s="8">
        <f>O40*1.4</f>
        <v>194010.6</v>
      </c>
      <c r="M40" t="str">
        <v>Y</v>
      </c>
      <c r="O40" s="8">
        <v>138579</v>
      </c>
      <c r="P40" t="str">
        <v>Y</v>
      </c>
    </row>
    <row r="41" ht="14.25" customHeight="1">
      <c r="A41">
        <v>5</v>
      </c>
      <c r="B41" t="str">
        <v>Demolition of existing pole lights and abandonment of conduit in place unless if conflicts with other site items.</v>
      </c>
      <c r="C41" t="str">
        <v>Y</v>
      </c>
      <c r="I41" s="8">
        <f>H41*F41</f>
        <v>0</v>
      </c>
      <c r="J41" t="str">
        <v>Y</v>
      </c>
      <c r="M41" t="str">
        <v>Y</v>
      </c>
      <c r="P41" t="str">
        <v>Y</v>
      </c>
    </row>
    <row r="42" ht="14.25" customHeight="1">
      <c r="A42">
        <v>6</v>
      </c>
      <c r="B42" t="str">
        <v>Intercept and extend conduits and wires as required for this scope</v>
      </c>
      <c r="C42" t="str">
        <v>Y</v>
      </c>
      <c r="J42" t="str">
        <v>Y</v>
      </c>
      <c r="M42" t="str">
        <v>Y</v>
      </c>
      <c r="P42" t="str">
        <v>Y</v>
      </c>
    </row>
    <row r="43" ht="14.25" customHeight="1">
      <c r="A43">
        <v>7</v>
      </c>
      <c r="B43" t="str">
        <v>Furnish and install new PEPCO vault, transformer and electrical feeders (concrete encased in ductbank) and associated accessories</v>
      </c>
      <c r="C43" t="str">
        <v>Y</v>
      </c>
      <c r="J43" t="str">
        <v>Y</v>
      </c>
      <c r="M43" t="str">
        <v>Y</v>
      </c>
      <c r="P43" t="str">
        <v>Y</v>
      </c>
    </row>
    <row r="44" ht="14.25" customHeight="1">
      <c r="A44">
        <v>8</v>
      </c>
      <c r="B44" t="str">
        <v>Furnish and install energy metering system</v>
      </c>
      <c r="C44" t="str">
        <v>Y</v>
      </c>
      <c r="J44" t="str">
        <v>Y</v>
      </c>
      <c r="M44" t="str">
        <v>Y</v>
      </c>
      <c r="P44" t="str">
        <v>Y</v>
      </c>
    </row>
    <row r="45" ht="14.25" customHeight="1">
      <c r="A45">
        <v>9</v>
      </c>
      <c r="B45" t="str">
        <v>Provide electrical utility service connection and equipment</v>
      </c>
      <c r="C45" t="str">
        <v>Y</v>
      </c>
      <c r="J45" t="str">
        <v>Y</v>
      </c>
      <c r="M45" t="str">
        <v>Y</v>
      </c>
      <c r="P45" t="str">
        <v>Y</v>
      </c>
    </row>
    <row r="46" ht="14.25" customHeight="1">
      <c r="A46">
        <v>10</v>
      </c>
      <c r="B46" t="str">
        <v>Furnish and install underground conduits and feeders for electrical and low voltage systems</v>
      </c>
      <c r="C46" t="str">
        <v>Y</v>
      </c>
      <c r="J46" t="str">
        <v>Y</v>
      </c>
      <c r="M46" t="str">
        <v>Y</v>
      </c>
      <c r="P46" t="str">
        <v>Y</v>
      </c>
    </row>
    <row r="47" ht="14.25" customHeight="1">
      <c r="A47">
        <v>11</v>
      </c>
      <c r="B47" t="str">
        <v>Furnish and install underground lighting and power conductors</v>
      </c>
      <c r="C47" t="str">
        <v>Y</v>
      </c>
      <c r="J47" t="str">
        <v>Y</v>
      </c>
      <c r="M47" t="str">
        <v>Y</v>
      </c>
      <c r="P47" t="str">
        <v>Y</v>
      </c>
    </row>
    <row r="48" ht="14.25" customHeight="1">
      <c r="A48">
        <v>12</v>
      </c>
      <c r="B48" t="str">
        <v xml:space="preserve"> </v>
      </c>
      <c r="I48" s="8">
        <f>H48*F48</f>
        <v>0</v>
      </c>
    </row>
    <row r="49" ht="14.25" customHeight="1">
      <c r="A49">
        <v>13</v>
      </c>
      <c r="B49" t="str">
        <v>DISTRIBUTION + EMERGENCY POWER</v>
      </c>
      <c r="C49" t="str">
        <v>Y</v>
      </c>
      <c r="I49" s="8">
        <f>H49*F49</f>
        <v>0</v>
      </c>
      <c r="J49" t="str">
        <v>Y</v>
      </c>
      <c r="M49" t="str">
        <v>Y</v>
      </c>
      <c r="P49" t="str">
        <v>Y</v>
      </c>
    </row>
    <row r="50" ht="14.25" customHeight="1">
      <c r="A50">
        <v>14</v>
      </c>
      <c r="B50" t="str">
        <v>Provide temporary power per OSHA regulations</v>
      </c>
      <c r="C50" t="str">
        <v>Y</v>
      </c>
      <c r="I50" s="8">
        <f>H50*F50</f>
        <v>0</v>
      </c>
      <c r="J50" t="str">
        <v>Y</v>
      </c>
      <c r="M50" t="str">
        <v>Y</v>
      </c>
      <c r="P50" t="str">
        <v>Y</v>
      </c>
    </row>
    <row r="51" ht="14.25" customHeight="1">
      <c r="A51">
        <v>15</v>
      </c>
      <c r="B51" t="str">
        <v>Furnish and install all required systems to VAV's, EAV's, motorized window shades, kitchen equipment, operable partition, gym equipment, pool equipment (refer to E2.1 and similar plans), elevator,  as called out on power plans</v>
      </c>
      <c r="C51" t="str">
        <v>Y</v>
      </c>
      <c r="J51" t="str">
        <v>Y</v>
      </c>
      <c r="M51" t="str">
        <v>Y</v>
      </c>
      <c r="P51" t="str">
        <v>Y</v>
      </c>
    </row>
    <row r="52" ht="14.25" customHeight="1">
      <c r="A52">
        <v>16</v>
      </c>
      <c r="B52" t="str">
        <v>Reinstall salvaged refinished lighting control panel on unistrut (refer to line item 3 above). Include extension of existing circuits to new panel location including new conduit routing as required</v>
      </c>
      <c r="C52" t="str">
        <v>Y</v>
      </c>
      <c r="J52" t="str">
        <v>Y</v>
      </c>
      <c r="M52" t="str">
        <v>Y</v>
      </c>
      <c r="P52" t="str">
        <v>Y</v>
      </c>
    </row>
    <row r="53" ht="14.25" customHeight="1">
      <c r="A53">
        <v>17</v>
      </c>
      <c r="B53" t="str">
        <v>Provide power for new pool lift</v>
      </c>
      <c r="C53" t="str">
        <v>Y</v>
      </c>
      <c r="J53" t="str">
        <v>P</v>
      </c>
      <c r="L53" s="8">
        <v>55000</v>
      </c>
      <c r="M53" t="str">
        <v>Y</v>
      </c>
      <c r="P53" t="str">
        <v>Y</v>
      </c>
    </row>
    <row r="54" ht="14.25" customHeight="1">
      <c r="A54">
        <v>18</v>
      </c>
      <c r="B54" t="str">
        <v>Furnish and install all conduits for future PV installation per note 3 on ES.1 and electrical one line diagram. PV panels and racking is by others.</v>
      </c>
      <c r="C54" t="str">
        <v>Y</v>
      </c>
      <c r="J54" t="str">
        <v>P</v>
      </c>
      <c r="L54" s="8">
        <v>80000</v>
      </c>
      <c r="M54" t="str">
        <v>Y</v>
      </c>
      <c r="P54" t="str">
        <v>Y</v>
      </c>
    </row>
    <row r="55" ht="14.25" customHeight="1">
      <c r="A55">
        <v>19</v>
      </c>
      <c r="B55" t="str">
        <v>Furnish and install electrical pathways including cable trays and conduits for telecommunication items including electrical power in telecommunications rooms</v>
      </c>
      <c r="C55" t="str">
        <v>Y</v>
      </c>
      <c r="J55" t="str">
        <v>Y</v>
      </c>
      <c r="M55" t="str">
        <v>Y</v>
      </c>
      <c r="P55" t="str">
        <v>Y</v>
      </c>
    </row>
    <row r="56" ht="14.25" customHeight="1">
      <c r="A56">
        <v>20</v>
      </c>
      <c r="B56" t="str">
        <v>Furnish and install general purpose electrical conduit and raceway systems including all panelboards, switchboards, distribution panels, disconnects switches, circuit breakers etc.</v>
      </c>
      <c r="C56" t="str">
        <v>Y</v>
      </c>
      <c r="J56" t="str">
        <v>Y</v>
      </c>
      <c r="M56" t="str">
        <v>Y</v>
      </c>
      <c r="P56" t="str">
        <v>Y</v>
      </c>
    </row>
    <row r="57" ht="14.25" customHeight="1">
      <c r="A57">
        <v>21</v>
      </c>
      <c r="B57" t="str">
        <v>Provide 120V power connection to power supply and ADA door operation</v>
      </c>
      <c r="C57" t="str">
        <v>Y</v>
      </c>
      <c r="J57" t="str">
        <v>Y</v>
      </c>
      <c r="M57" t="str">
        <v>Y</v>
      </c>
      <c r="P57" t="str">
        <v>Y</v>
      </c>
    </row>
    <row r="58" ht="14.25" customHeight="1">
      <c r="A58">
        <v>22</v>
      </c>
      <c r="B58" t="str">
        <v>Provide power for mechanical piping heat trace</v>
      </c>
      <c r="C58" t="str">
        <v>Y</v>
      </c>
      <c r="J58" t="str">
        <v>Y</v>
      </c>
      <c r="M58" t="str">
        <v>Y</v>
      </c>
      <c r="P58" t="str">
        <v>Y</v>
      </c>
    </row>
    <row r="59" ht="14.25" customHeight="1">
      <c r="A59">
        <v>23</v>
      </c>
      <c r="B59" t="str">
        <v>Where homerun is longer than 75ft, use #10AWG minimum conductor sieze ILO #12 AWG for 20A, 120V circuits</v>
      </c>
      <c r="C59" t="str">
        <v>Y</v>
      </c>
      <c r="J59" t="str">
        <v>Y</v>
      </c>
      <c r="M59" t="str">
        <v>Y</v>
      </c>
      <c r="P59" t="str">
        <v>Y</v>
      </c>
    </row>
    <row r="60" ht="14.25" customHeight="1">
      <c r="A60">
        <v>24</v>
      </c>
      <c r="B60" t="str">
        <v>Furnish and install all receptacles and specialty receptacles, power outlets, floor boxes, furniture whips, inverters, junction and pull boxes, occupancy sensors, photocell systems, lighting control systems as shown on plans. Coordinate between electrical and architectural plans</v>
      </c>
      <c r="C60" t="str">
        <v>Y</v>
      </c>
      <c r="J60" t="str">
        <v>Y</v>
      </c>
      <c r="M60" t="str">
        <v>Y</v>
      </c>
      <c r="P60" t="str">
        <v>Y</v>
      </c>
    </row>
    <row r="61" ht="14.25" customHeight="1">
      <c r="A61">
        <v>25</v>
      </c>
      <c r="B61" t="str">
        <v>Furnish and install all grounding and bonding systems</v>
      </c>
      <c r="C61" t="str">
        <v>Y</v>
      </c>
      <c r="J61" t="str">
        <v>Y</v>
      </c>
      <c r="M61" t="str">
        <v>Y</v>
      </c>
      <c r="P61" t="str">
        <v>Y</v>
      </c>
    </row>
    <row r="62" ht="14.25" customHeight="1">
      <c r="A62">
        <v>26</v>
      </c>
      <c r="B62" t="str">
        <v>Furnish and install kitchen hood control panes and associated wiring</v>
      </c>
      <c r="C62" t="str">
        <v>Y</v>
      </c>
      <c r="J62" t="str">
        <v>Y</v>
      </c>
      <c r="M62" t="str">
        <v>Y</v>
      </c>
      <c r="P62" t="str">
        <v>Y</v>
      </c>
    </row>
    <row r="63" ht="14.25" customHeight="1">
      <c r="A63">
        <v>27</v>
      </c>
      <c r="B63" t="str">
        <v>Provide low voltage and communication system rough-ins, power and wiring</v>
      </c>
      <c r="C63" t="str">
        <v>Y</v>
      </c>
      <c r="J63" t="str">
        <v>Y</v>
      </c>
      <c r="M63" t="str">
        <v>Y</v>
      </c>
      <c r="P63" t="str">
        <v>Y</v>
      </c>
    </row>
    <row r="64" ht="14.25" customHeight="1">
      <c r="A64">
        <v>28</v>
      </c>
      <c r="B64" t="str">
        <v>Provide heavy-duty, corrosion-resistant electrical devices and equipment in the filter room</v>
      </c>
      <c r="C64" t="str">
        <v>Y</v>
      </c>
      <c r="J64" t="str">
        <v>Y</v>
      </c>
      <c r="M64" t="str">
        <v>Y</v>
      </c>
      <c r="P64" t="str">
        <v>Y</v>
      </c>
    </row>
    <row r="65" ht="14.25" customHeight="1">
      <c r="A65">
        <v>29</v>
      </c>
      <c r="B65" t="str">
        <v>Furnish and install all work required in electrical rooms per drawings and specifications provided</v>
      </c>
      <c r="C65" t="str">
        <v>Y</v>
      </c>
      <c r="J65" t="str">
        <v>Y</v>
      </c>
      <c r="M65" t="str">
        <v>Y</v>
      </c>
      <c r="P65" t="str">
        <v>Y</v>
      </c>
    </row>
    <row r="66" ht="14.25" customHeight="1">
      <c r="A66">
        <v>30</v>
      </c>
      <c r="B66" t="str">
        <v>Provide power connection for owner-furnished UPS</v>
      </c>
      <c r="C66" t="str">
        <v>Y</v>
      </c>
      <c r="J66" t="str">
        <v>Y</v>
      </c>
      <c r="M66" t="str">
        <v>Y</v>
      </c>
      <c r="P66" t="str">
        <v>Y</v>
      </c>
    </row>
    <row r="67" ht="14.25" customHeight="1">
      <c r="A67">
        <v>31</v>
      </c>
      <c r="B67" t="str">
        <v>Furnish and Install Surge Protective Device (SPD)</v>
      </c>
      <c r="C67" t="str">
        <v>Y</v>
      </c>
      <c r="J67" t="str">
        <v>Y</v>
      </c>
      <c r="M67" t="str">
        <v>Y</v>
      </c>
      <c r="P67" t="str">
        <v>Y</v>
      </c>
    </row>
    <row r="68" ht="14.25" customHeight="1">
      <c r="A68">
        <v>32</v>
      </c>
      <c r="B68" t="str">
        <v>Generator docking station and manual transfer switch per E2.1 and ES.1</v>
      </c>
      <c r="C68" t="str">
        <v>Y</v>
      </c>
      <c r="I68" s="8">
        <f>H68*F68</f>
        <v>0</v>
      </c>
      <c r="J68" t="str">
        <v>Y</v>
      </c>
      <c r="M68" t="str">
        <v>Y</v>
      </c>
      <c r="P68" t="str">
        <v>Y</v>
      </c>
    </row>
    <row r="69" ht="14.25" customHeight="1">
      <c r="A69">
        <v>33</v>
      </c>
      <c r="B69" t="str">
        <v>* Provide fuel, accessories and tools required to operate equipment for tests</v>
      </c>
      <c r="C69" t="str">
        <v>Y</v>
      </c>
      <c r="I69" s="8">
        <f>H69*F69</f>
        <v>0</v>
      </c>
      <c r="J69" t="str">
        <v>Y</v>
      </c>
      <c r="M69" t="str">
        <v>Y</v>
      </c>
      <c r="P69" t="str">
        <v>Y</v>
      </c>
    </row>
    <row r="70" ht="14.25" customHeight="1">
      <c r="A70">
        <v>34</v>
      </c>
      <c r="B70" t="str">
        <v>* Top off fuel after testing</v>
      </c>
      <c r="C70" t="str">
        <v>Y</v>
      </c>
      <c r="I70" s="8">
        <f>H70*F70</f>
        <v>0</v>
      </c>
      <c r="J70" t="str">
        <v>Y</v>
      </c>
      <c r="M70" t="str">
        <v>Y</v>
      </c>
      <c r="P70" t="str">
        <v>Y</v>
      </c>
    </row>
    <row r="71" ht="14.25" customHeight="1">
      <c r="A71">
        <v>35</v>
      </c>
      <c r="B71" t="str">
        <v>* Include a factory trained specialist to supervise the start-up</v>
      </c>
      <c r="C71" t="str">
        <v>Y</v>
      </c>
      <c r="I71" s="8">
        <f>H71*F71</f>
        <v>0</v>
      </c>
      <c r="J71" t="str">
        <v>Y</v>
      </c>
      <c r="M71" t="str">
        <v>Y</v>
      </c>
      <c r="P71" t="str">
        <v>Y</v>
      </c>
    </row>
    <row r="72" ht="14.25" customHeight="1">
      <c r="A72">
        <v>36</v>
      </c>
      <c r="B72" t="str">
        <v>Provide ATS switches</v>
      </c>
      <c r="C72" t="str">
        <v>Y</v>
      </c>
      <c r="I72" s="8">
        <f>H72*F72</f>
        <v>0</v>
      </c>
      <c r="J72" t="str">
        <v>Y</v>
      </c>
      <c r="M72" t="str">
        <v>Y</v>
      </c>
      <c r="P72" t="str">
        <v>Y</v>
      </c>
    </row>
    <row r="73" ht="14.25" customHeight="1">
      <c r="A73">
        <v>37</v>
      </c>
      <c r="B73" t="str">
        <v>DVP Utility meter</v>
      </c>
      <c r="C73" t="str">
        <v>Y</v>
      </c>
      <c r="I73" s="8">
        <f>H73*F73</f>
        <v>0</v>
      </c>
      <c r="J73" t="str">
        <v>Y</v>
      </c>
      <c r="M73" t="str">
        <v>Y</v>
      </c>
      <c r="P73" t="str">
        <v>Y</v>
      </c>
    </row>
    <row r="74" ht="14.25" customHeight="1">
      <c r="A74">
        <v>38</v>
      </c>
      <c r="B74" t="str">
        <v>CT Cabinet</v>
      </c>
      <c r="C74" t="str">
        <v>Y</v>
      </c>
      <c r="I74" s="8">
        <f>H74*F74</f>
        <v>0</v>
      </c>
      <c r="J74" t="str">
        <v>Y</v>
      </c>
      <c r="M74" t="str">
        <v>Y</v>
      </c>
      <c r="P74" t="str">
        <v>Y</v>
      </c>
    </row>
    <row r="75" ht="14.25" customHeight="1">
      <c r="A75">
        <v>39</v>
      </c>
      <c r="B75" t="str">
        <v>Provide new panels per bid documents</v>
      </c>
      <c r="C75" t="str">
        <v>Y</v>
      </c>
      <c r="I75" s="8">
        <f>H75*F75</f>
        <v>0</v>
      </c>
      <c r="J75" t="str">
        <v>Y</v>
      </c>
      <c r="M75" t="str">
        <v>Y</v>
      </c>
      <c r="P75" t="str">
        <v>Y</v>
      </c>
    </row>
    <row r="76" ht="14.25" customHeight="1">
      <c r="A76">
        <v>40</v>
      </c>
      <c r="B76" t="str">
        <v>Provide new transformers per bid documents</v>
      </c>
      <c r="C76" t="str">
        <v>Y</v>
      </c>
      <c r="I76" s="8">
        <f>H76*F76</f>
        <v>0</v>
      </c>
      <c r="J76" t="str">
        <v>Y</v>
      </c>
      <c r="M76" t="str">
        <v>Y</v>
      </c>
      <c r="P76" t="str">
        <v>Y</v>
      </c>
    </row>
    <row r="77" ht="14.25" customHeight="1">
      <c r="A77">
        <v>41</v>
      </c>
      <c r="B77" t="str">
        <v>All conduit at exposed ceilings to be in EMT conduit</v>
      </c>
      <c r="C77" t="str">
        <v>Y</v>
      </c>
      <c r="I77" s="8">
        <f>H77*F77</f>
        <v>0</v>
      </c>
      <c r="J77" t="str">
        <v>Y</v>
      </c>
      <c r="M77" t="str">
        <v>Y</v>
      </c>
      <c r="P77" t="str">
        <v>Y</v>
      </c>
    </row>
    <row r="78" ht="14.25" customHeight="1">
      <c r="A78">
        <v>42</v>
      </c>
      <c r="B78" t="str">
        <v>Provide Lightning Protection System per bid documents</v>
      </c>
      <c r="C78" t="str">
        <v>Y</v>
      </c>
      <c r="I78" s="8">
        <f>H78*F78</f>
        <v>0</v>
      </c>
      <c r="J78" t="str">
        <v>Y</v>
      </c>
      <c r="M78" t="str">
        <v>Y</v>
      </c>
      <c r="P78" t="str">
        <v>Y</v>
      </c>
    </row>
    <row r="79" ht="14.25" customHeight="1">
      <c r="A79">
        <v>43</v>
      </c>
      <c r="B79" t="str">
        <v xml:space="preserve">Furnish and install fire alarm complete system including all wiring, conduits, power, devices and accessories </v>
      </c>
      <c r="C79" t="str">
        <v>Y</v>
      </c>
      <c r="J79" t="str">
        <v>Y</v>
      </c>
      <c r="M79" t="str">
        <v>Y</v>
      </c>
      <c r="P79" t="str">
        <v>Y</v>
      </c>
    </row>
    <row r="80" ht="14.25" customHeight="1">
      <c r="A80">
        <v>44</v>
      </c>
      <c r="B80" t="str">
        <v xml:space="preserve"> </v>
      </c>
      <c r="C80" t="str">
        <v>Y</v>
      </c>
      <c r="I80" s="8">
        <f>H80*F80</f>
        <v>0</v>
      </c>
      <c r="J80" t="str">
        <v>Y</v>
      </c>
      <c r="M80" t="str">
        <v>Y</v>
      </c>
      <c r="P80" t="str">
        <v>Y</v>
      </c>
    </row>
    <row r="81" ht="14.25" customHeight="1">
      <c r="A81">
        <v>45</v>
      </c>
      <c r="B81" t="str">
        <v>WIRING DEVICES + HVAC MOTOR CONNECTIONS</v>
      </c>
      <c r="C81" t="str">
        <v>Y</v>
      </c>
      <c r="I81" s="8">
        <f>H81*F81</f>
        <v>0</v>
      </c>
      <c r="J81" t="str">
        <v>Y</v>
      </c>
      <c r="M81" t="str">
        <v>Y</v>
      </c>
      <c r="P81" t="str">
        <v>Y</v>
      </c>
    </row>
    <row r="82" ht="14.25" customHeight="1">
      <c r="A82">
        <v>46</v>
      </c>
      <c r="B82" t="str">
        <v>Provide power connections to Electric Heaters (furnished + installed by Division 23)</v>
      </c>
      <c r="C82" t="str">
        <v>Y</v>
      </c>
      <c r="I82" s="8">
        <f>H82*F82</f>
        <v>0</v>
      </c>
      <c r="J82" t="str">
        <v>Y</v>
      </c>
      <c r="M82" t="str">
        <v>Y</v>
      </c>
      <c r="P82" t="str">
        <v>Y</v>
      </c>
    </row>
    <row r="83" ht="14.25" customHeight="1">
      <c r="A83">
        <v>47</v>
      </c>
      <c r="B83" t="str">
        <v>Provide power connections to VRF Equipment (Branch Controllers, Heat Pump/AC split system units furnished + installed by Division 23)</v>
      </c>
      <c r="C83" t="str">
        <v>Y</v>
      </c>
      <c r="I83" s="8">
        <f>H83*F83</f>
        <v>0</v>
      </c>
      <c r="J83" t="str">
        <v>Y</v>
      </c>
      <c r="M83" t="str">
        <v>Y</v>
      </c>
      <c r="P83" t="str">
        <v>Y</v>
      </c>
    </row>
    <row r="84" ht="14.25" customHeight="1">
      <c r="A84">
        <v>48</v>
      </c>
      <c r="B84" t="str">
        <v xml:space="preserve"> Provide installation of all VFD units included (VFDs provided by others)</v>
      </c>
      <c r="C84" t="str">
        <v>Y</v>
      </c>
      <c r="I84" s="8">
        <f>H84*F84</f>
        <v>0</v>
      </c>
      <c r="J84" t="str">
        <v>Y</v>
      </c>
      <c r="M84" t="str">
        <v>Y</v>
      </c>
      <c r="P84" t="str">
        <v>Y</v>
      </c>
    </row>
    <row r="85" ht="14.25" customHeight="1">
      <c r="A85">
        <v>49</v>
      </c>
      <c r="B85" t="str">
        <v xml:space="preserve"> Provide power and connection to the heat trace system (furnished + installed by others)</v>
      </c>
      <c r="C85" t="str">
        <v>Y</v>
      </c>
      <c r="I85" s="8">
        <f>H85*F85</f>
        <v>0</v>
      </c>
      <c r="J85" t="str">
        <v>Y</v>
      </c>
      <c r="M85" t="str">
        <v>Y</v>
      </c>
      <c r="P85" t="str">
        <v>Y</v>
      </c>
    </row>
    <row r="86" ht="14.25" customHeight="1">
      <c r="A86">
        <v>50</v>
      </c>
      <c r="C86" t="str">
        <v>Y</v>
      </c>
      <c r="J86" t="str">
        <v>Y</v>
      </c>
      <c r="M86" t="str">
        <v>Y</v>
      </c>
      <c r="P86" t="str">
        <v>Y</v>
      </c>
    </row>
    <row r="87" ht="14.25" customHeight="1">
      <c r="A87">
        <v>51</v>
      </c>
      <c r="B87" t="str">
        <v>FIRE ALARM</v>
      </c>
      <c r="C87" t="str">
        <v>Y</v>
      </c>
      <c r="J87" t="str">
        <v>Y</v>
      </c>
      <c r="M87" t="str">
        <v>Y</v>
      </c>
      <c r="P87" t="str">
        <v>Y</v>
      </c>
    </row>
    <row r="88" ht="14.25" customHeight="1">
      <c r="A88">
        <v>52</v>
      </c>
      <c r="B88" t="str">
        <v>Furnish and install complete fire alarm and signaling system including annunciator panel, control panel, required devices for elevator safety</v>
      </c>
      <c r="C88" t="str">
        <v>Y</v>
      </c>
      <c r="J88" t="str">
        <v>Y</v>
      </c>
      <c r="M88" t="str">
        <v>Y</v>
      </c>
      <c r="P88" t="str">
        <v>Y</v>
      </c>
    </row>
    <row r="89" ht="14.25" customHeight="1">
      <c r="A89">
        <v>53</v>
      </c>
      <c r="B89" t="str">
        <v>Connect duct smoke and heat detectors (furnished + installed by Division 23)</v>
      </c>
      <c r="C89" t="str">
        <v>Y</v>
      </c>
      <c r="J89" t="str">
        <v>Y</v>
      </c>
      <c r="M89" t="str">
        <v>Y</v>
      </c>
      <c r="P89" t="str">
        <v>Y</v>
      </c>
    </row>
    <row r="90" ht="14.25" customHeight="1">
      <c r="A90">
        <v>54</v>
      </c>
      <c r="B90" t="str">
        <v>Furnish and install wireguards for fire alarm notification appliances</v>
      </c>
      <c r="C90" t="str">
        <v>Y</v>
      </c>
      <c r="J90" t="str">
        <v>Y</v>
      </c>
      <c r="M90" t="str">
        <v>Y</v>
      </c>
      <c r="P90" t="str">
        <v>Y</v>
      </c>
    </row>
    <row r="91" ht="14.25" customHeight="1">
      <c r="A91">
        <v>55</v>
      </c>
      <c r="B91" t="str">
        <v>Provide fire alarm system wiring, connections, and integration</v>
      </c>
      <c r="C91" t="str">
        <v>Y</v>
      </c>
      <c r="J91" t="str">
        <v>Y</v>
      </c>
      <c r="M91" t="str">
        <v>Y</v>
      </c>
      <c r="P91" t="str">
        <v>Y</v>
      </c>
    </row>
    <row r="92" ht="14.25" customHeight="1">
      <c r="A92">
        <v>56</v>
      </c>
      <c r="C92" t="str">
        <v>Y</v>
      </c>
      <c r="J92" t="str">
        <v>Y</v>
      </c>
      <c r="M92" t="str">
        <v>Y</v>
      </c>
      <c r="P92" t="str">
        <v>Y</v>
      </c>
    </row>
    <row r="93" ht="14.25" customHeight="1">
      <c r="A93">
        <v>57</v>
      </c>
      <c r="B93" t="str">
        <v>LIGHTING</v>
      </c>
      <c r="C93" t="str">
        <v>Y</v>
      </c>
      <c r="I93" s="8">
        <f>H93*F93</f>
        <v>0</v>
      </c>
      <c r="J93" t="str">
        <v>Y</v>
      </c>
      <c r="M93" t="str">
        <v>Y</v>
      </c>
      <c r="P93" t="str">
        <v>Y</v>
      </c>
    </row>
    <row r="94" ht="14.25" customHeight="1">
      <c r="A94">
        <v>58</v>
      </c>
      <c r="B94" t="str">
        <v>Provide temporary lighting per OSHA regulations</v>
      </c>
      <c r="C94" t="str">
        <v>Y</v>
      </c>
      <c r="I94" s="8">
        <f>H94*F94</f>
        <v>0</v>
      </c>
      <c r="J94" t="str">
        <v>Y</v>
      </c>
      <c r="M94" t="str">
        <v>Y</v>
      </c>
      <c r="P94" t="str">
        <v>Y</v>
      </c>
    </row>
    <row r="95" ht="14.25" customHeight="1">
      <c r="A95">
        <v>59</v>
      </c>
      <c r="B95" t="str">
        <v>Provide relocation of existing devices and light fixtures</v>
      </c>
      <c r="C95" t="str">
        <v>Y</v>
      </c>
      <c r="J95" t="str">
        <v>Y</v>
      </c>
      <c r="M95" t="str">
        <v>Y</v>
      </c>
      <c r="P95" t="str">
        <v>Y</v>
      </c>
    </row>
    <row r="96" ht="14.25" customHeight="1">
      <c r="A96">
        <v>60</v>
      </c>
      <c r="B96" t="str">
        <v>Furnish and install emergency and exit lighting systems</v>
      </c>
      <c r="C96" t="str">
        <v>Y</v>
      </c>
      <c r="J96" t="str">
        <v>Y</v>
      </c>
      <c r="M96" t="str">
        <v>Y</v>
      </c>
      <c r="P96" t="str">
        <v>Y</v>
      </c>
    </row>
    <row r="97" ht="14.25" customHeight="1">
      <c r="A97">
        <v>61</v>
      </c>
      <c r="B97" t="str">
        <v>Furnish and install beacon strobes</v>
      </c>
    </row>
    <row r="98" ht="14.25" customHeight="1">
      <c r="A98">
        <v>62</v>
      </c>
      <c r="B98" t="str">
        <v>Provide all new light fixtures, including all required lamps, ballasts, trim kits, housing, hangers, and reflectors</v>
      </c>
      <c r="C98" t="str">
        <v>Y</v>
      </c>
      <c r="I98" s="8">
        <f>H98*F98</f>
        <v>0</v>
      </c>
      <c r="J98" t="str">
        <v>Y</v>
      </c>
      <c r="M98" t="str">
        <v>Y</v>
      </c>
      <c r="P98" t="str">
        <v>Y</v>
      </c>
    </row>
    <row r="99" ht="14.25" customHeight="1">
      <c r="A99">
        <v>63</v>
      </c>
      <c r="B99" t="str">
        <v>Warranty period for all items put in polace per specification</v>
      </c>
      <c r="C99" t="str">
        <v>Y</v>
      </c>
      <c r="I99" s="8">
        <f>H99*F99</f>
        <v>0</v>
      </c>
      <c r="J99" t="str">
        <v>Y</v>
      </c>
      <c r="M99" t="str">
        <v>Y</v>
      </c>
      <c r="P99" t="str">
        <v>Y</v>
      </c>
    </row>
    <row r="100" ht="14.25" customHeight="1">
      <c r="A100">
        <v>64</v>
      </c>
      <c r="B100" t="str">
        <v>Replace burned out lamps prior to project turnover</v>
      </c>
      <c r="C100" t="str">
        <v>Y</v>
      </c>
      <c r="I100" s="8">
        <f>H100*F100</f>
        <v>0</v>
      </c>
      <c r="J100" t="str">
        <v>Y</v>
      </c>
      <c r="M100" t="str">
        <v>Y</v>
      </c>
      <c r="P100" t="str">
        <v>Y</v>
      </c>
    </row>
    <row r="101" ht="14.25" customHeight="1">
      <c r="A101">
        <v>65</v>
      </c>
      <c r="B101" t="str">
        <v>Provide all lighting control system per bid documents</v>
      </c>
      <c r="C101" t="str">
        <v>Y</v>
      </c>
      <c r="I101" s="8">
        <f>H101*F101</f>
        <v>0</v>
      </c>
      <c r="J101" t="str">
        <v>Y</v>
      </c>
      <c r="M101" t="str">
        <v>Y</v>
      </c>
      <c r="P101" t="str">
        <v>Y</v>
      </c>
    </row>
    <row r="102" ht="14.25" customHeight="1">
      <c r="A102">
        <v>66</v>
      </c>
      <c r="B102" t="str">
        <v>Furnish and install back boxes and conduit for fire alarm pull stations</v>
      </c>
      <c r="C102" t="str">
        <v>Y</v>
      </c>
      <c r="I102" s="8">
        <f>H102*F102</f>
        <v>0</v>
      </c>
      <c r="J102" t="str">
        <v>Y</v>
      </c>
      <c r="M102" t="str">
        <v>Y</v>
      </c>
      <c r="P102" t="str">
        <v>Y</v>
      </c>
    </row>
    <row r="103" ht="14.25" customHeight="1">
      <c r="A103">
        <v>67</v>
      </c>
    </row>
    <row r="104" ht="14.25" customHeight="1">
      <c r="A104">
        <v>68</v>
      </c>
      <c r="B104" t="str">
        <v>STANDARD / GENERAL SCOPE</v>
      </c>
      <c r="C104" t="str">
        <v>Y</v>
      </c>
      <c r="I104" s="8">
        <f>H104*F104</f>
        <v>0</v>
      </c>
      <c r="J104" t="str">
        <v>Y</v>
      </c>
      <c r="M104" t="str">
        <v>Y</v>
      </c>
      <c r="P104" t="str">
        <v>Y</v>
      </c>
    </row>
    <row r="105" ht="14.25" customHeight="1">
      <c r="A105">
        <v>69</v>
      </c>
      <c r="B105" t="str">
        <v>Provide conductor color coding</v>
      </c>
      <c r="C105" t="str">
        <v>Y</v>
      </c>
      <c r="J105" t="str">
        <v>Y</v>
      </c>
      <c r="M105" t="str">
        <v>Y</v>
      </c>
      <c r="P105" t="str">
        <v>Y</v>
      </c>
    </row>
    <row r="106" ht="14.25" customHeight="1">
      <c r="A106">
        <v>70</v>
      </c>
      <c r="B106" t="str">
        <v>Provide core drilling and sleeves for electrical pathways</v>
      </c>
      <c r="C106" t="str">
        <v>Y</v>
      </c>
      <c r="J106" t="str">
        <v>Y</v>
      </c>
      <c r="M106" t="str">
        <v>Y</v>
      </c>
      <c r="P106" t="str">
        <v>Y</v>
      </c>
    </row>
    <row r="107" ht="14.25" customHeight="1">
      <c r="A107">
        <v>71</v>
      </c>
      <c r="B107" t="str">
        <v>Provide device coverplates</v>
      </c>
      <c r="C107" t="str">
        <v>Y</v>
      </c>
      <c r="J107" t="str">
        <v>Y</v>
      </c>
      <c r="M107" t="str">
        <v>Y</v>
      </c>
      <c r="P107" t="str">
        <v>Y</v>
      </c>
    </row>
    <row r="108" ht="14.25" customHeight="1">
      <c r="A108">
        <v>72</v>
      </c>
      <c r="B108" t="str">
        <v>Provide electrical system design information including load summaries, calculation methods, and equipment power notes.</v>
      </c>
      <c r="C108" t="str">
        <v>Y</v>
      </c>
      <c r="J108" t="str">
        <v>Y</v>
      </c>
      <c r="M108" t="str">
        <v>Y</v>
      </c>
      <c r="P108" t="str">
        <v>Y</v>
      </c>
    </row>
    <row r="109" ht="14.25" customHeight="1">
      <c r="A109">
        <v>73</v>
      </c>
      <c r="B109" t="str">
        <v>Provide electrical system identification and labels</v>
      </c>
      <c r="C109" t="str">
        <v>Y</v>
      </c>
      <c r="J109" t="str">
        <v>Y</v>
      </c>
      <c r="M109" t="str">
        <v>Y</v>
      </c>
      <c r="P109" t="str">
        <v>Y</v>
      </c>
    </row>
    <row r="110" ht="14.25" customHeight="1">
      <c r="A110">
        <v>74</v>
      </c>
      <c r="B110" t="str">
        <v>Provide room identification signage for electrical rooms</v>
      </c>
      <c r="C110" t="str">
        <v>Y</v>
      </c>
      <c r="J110" t="str">
        <v>Y</v>
      </c>
      <c r="M110" t="str">
        <v>Y</v>
      </c>
      <c r="P110" t="str">
        <v>Y</v>
      </c>
    </row>
    <row r="111" ht="14.25" customHeight="1">
      <c r="A111">
        <v>75</v>
      </c>
      <c r="B111" t="str">
        <v>Provide silicone sealant at exterior light fixture back boxes</v>
      </c>
      <c r="C111" t="str">
        <v>Y</v>
      </c>
      <c r="J111" t="str">
        <v>Y</v>
      </c>
      <c r="M111" t="str">
        <v>Y</v>
      </c>
      <c r="P111" t="str">
        <v>Y</v>
      </c>
    </row>
    <row r="112" ht="14.25" customHeight="1">
      <c r="A112">
        <v>76</v>
      </c>
      <c r="B112" t="str">
        <v>Provide spare spaces and breakers in panelboards</v>
      </c>
      <c r="C112" t="str">
        <v>Y</v>
      </c>
      <c r="J112" t="str">
        <v>Y</v>
      </c>
      <c r="M112" t="str">
        <v>Y</v>
      </c>
      <c r="P112" t="str">
        <v>Y</v>
      </c>
    </row>
    <row r="113" ht="14.25" customHeight="1">
      <c r="A113">
        <v>77</v>
      </c>
      <c r="B113" t="str">
        <v>Provide temporary interconnections for Low Voltage systems</v>
      </c>
      <c r="C113" t="str">
        <v>Y</v>
      </c>
      <c r="J113" t="str">
        <v>Y</v>
      </c>
      <c r="M113" t="str">
        <v>Y</v>
      </c>
      <c r="P113" t="str">
        <v>Y</v>
      </c>
    </row>
    <row r="114" ht="14.25" customHeight="1">
      <c r="A114">
        <v>78</v>
      </c>
      <c r="B114" t="str">
        <v>Provide Updated Panel Directories</v>
      </c>
      <c r="C114" t="str">
        <v>Y</v>
      </c>
      <c r="J114" t="str">
        <v>Y</v>
      </c>
      <c r="M114" t="str">
        <v>Y</v>
      </c>
      <c r="P114" t="str">
        <v>Y</v>
      </c>
    </row>
    <row r="115" ht="14.25" customHeight="1">
      <c r="A115">
        <v>79</v>
      </c>
      <c r="B115" t="str">
        <v>Hangers &amp; supports for conduit and equipment provided under this scope</v>
      </c>
      <c r="C115" t="str">
        <v>Y</v>
      </c>
      <c r="I115" s="8">
        <f>H115*F115</f>
        <v>0</v>
      </c>
      <c r="J115" t="str">
        <v>Y</v>
      </c>
      <c r="M115" t="str">
        <v>Y</v>
      </c>
      <c r="P115" t="str">
        <v>Y</v>
      </c>
    </row>
    <row r="116" ht="14.25" customHeight="1">
      <c r="A116">
        <v>80</v>
      </c>
      <c r="B116" t="str">
        <v>All rigging &amp; hoisting required for Electrical work.</v>
      </c>
      <c r="C116" t="str">
        <v>Y</v>
      </c>
      <c r="I116" s="8">
        <f>H116*F116</f>
        <v>0</v>
      </c>
      <c r="J116" t="str">
        <v>Y</v>
      </c>
      <c r="M116" t="str">
        <v>Y</v>
      </c>
      <c r="P116" t="str">
        <v>Y</v>
      </c>
    </row>
    <row r="117" ht="14.25" customHeight="1">
      <c r="A117">
        <v>81</v>
      </c>
      <c r="B117" t="str">
        <v>Perform all cutting &amp; core drilling required for Electrical work</v>
      </c>
      <c r="C117" t="str">
        <v>Y</v>
      </c>
      <c r="I117" s="8">
        <f>H117*F117</f>
        <v>0</v>
      </c>
      <c r="J117" t="str">
        <v>Y</v>
      </c>
      <c r="M117" t="str">
        <v>Y</v>
      </c>
      <c r="P117" t="str">
        <v>Y</v>
      </c>
    </row>
    <row r="118" ht="14.25" customHeight="1">
      <c r="A118">
        <v>82</v>
      </c>
      <c r="B118" t="str">
        <v>Fire stopping &amp; sealing of penetrations for Electrical work</v>
      </c>
      <c r="C118" t="str">
        <v>Y</v>
      </c>
      <c r="I118" s="8">
        <f>H118*F118</f>
        <v>0</v>
      </c>
      <c r="J118" t="str">
        <v>Y</v>
      </c>
      <c r="M118" t="str">
        <v>Y</v>
      </c>
      <c r="P118" t="str">
        <v>Y</v>
      </c>
    </row>
    <row r="119" ht="14.25" customHeight="1">
      <c r="I119" s="8">
        <f>H119*F119</f>
        <v>0</v>
      </c>
    </row>
    <row r="120" ht="14.25" customHeight="1">
      <c r="A120" t="str">
        <v>C</v>
      </c>
      <c r="B120" t="str">
        <v>Exclusions</v>
      </c>
    </row>
    <row r="121" ht="14.25" customHeight="1">
      <c r="A121">
        <v>1</v>
      </c>
      <c r="B121" t="str">
        <v>Relocating electrical power lines</v>
      </c>
      <c r="C121" t="str">
        <v>N</v>
      </c>
    </row>
    <row r="122" ht="14.25" customHeight="1">
      <c r="A122">
        <f>A121+1</f>
        <v>2</v>
      </c>
      <c r="B122" t="str">
        <v>Relocating traffic signal conduits/manholes/handholes</v>
      </c>
      <c r="C122" t="str">
        <v>N</v>
      </c>
    </row>
    <row r="123" ht="14.25" customHeight="1">
      <c r="A123">
        <f>A122+1</f>
        <v>3</v>
      </c>
      <c r="B123" t="str">
        <v>Installation of Access Doors</v>
      </c>
      <c r="C123" t="str">
        <v>N</v>
      </c>
    </row>
    <row r="124" ht="14.25" customHeight="1">
      <c r="A124">
        <f>A123+1</f>
        <v>4</v>
      </c>
      <c r="B124" t="str">
        <v xml:space="preserve">Providing VFD's </v>
      </c>
      <c r="C124" t="str">
        <v>N</v>
      </c>
    </row>
    <row r="125" ht="14.25" customHeight="1">
      <c r="A125">
        <f>A124+1</f>
        <v>5</v>
      </c>
      <c r="B125" t="str">
        <v>Access Control devices and equipment</v>
      </c>
      <c r="C125" t="str">
        <v>N</v>
      </c>
    </row>
    <row r="126" ht="14.25" customHeight="1">
      <c r="A126">
        <f>A125+1</f>
        <v>6</v>
      </c>
      <c r="B126" t="str">
        <v>Roof penetrations/pitch pockets</v>
      </c>
      <c r="C126" t="str">
        <v>N</v>
      </c>
    </row>
    <row r="127" ht="14.25" customHeight="1"/>
    <row r="128" ht="14.25" customHeight="1">
      <c r="A128" t="str">
        <v>D</v>
      </c>
      <c r="B128" t="str">
        <v>Schedule</v>
      </c>
    </row>
    <row r="129" ht="14.25" customHeight="1">
      <c r="A129">
        <v>1</v>
      </c>
      <c r="B129" t="str">
        <v>Meet MCN Schedule</v>
      </c>
      <c r="C129" t="str">
        <v>Y</v>
      </c>
    </row>
    <row r="130" ht="14.25" customHeight="1">
      <c r="A130">
        <f>A129+1</f>
        <v>2</v>
      </c>
      <c r="B130" t="str">
        <v>Advise of Durations</v>
      </c>
    </row>
    <row r="131" ht="14.25" customHeight="1">
      <c r="A131">
        <f>A130+1</f>
        <v>3</v>
      </c>
      <c r="B131" t="str">
        <v>Activity 1</v>
      </c>
      <c r="C131" t="str">
        <v>---&gt;</v>
      </c>
    </row>
    <row r="132" ht="14.25" customHeight="1">
      <c r="A132">
        <f>A131+1</f>
        <v>4</v>
      </c>
      <c r="B132" t="str">
        <v>Activity 2</v>
      </c>
      <c r="C132" t="str">
        <v>---&gt;</v>
      </c>
    </row>
    <row r="133" ht="14.25" customHeight="1">
      <c r="A133">
        <f>A132+1</f>
        <v>5</v>
      </c>
      <c r="B133" t="str">
        <v>Activity 3</v>
      </c>
      <c r="C133" t="str">
        <v>---&gt;</v>
      </c>
    </row>
    <row r="134" ht="14.25" customHeight="1">
      <c r="A134">
        <f>A133+1</f>
        <v>6</v>
      </c>
      <c r="B134" t="str">
        <v>Duration for Submittals and Shop Drawings</v>
      </c>
      <c r="C134" t="str">
        <v>---&gt;</v>
      </c>
    </row>
    <row r="135" ht="14.25" customHeight="1">
      <c r="A135">
        <f>A134+1</f>
        <v>7</v>
      </c>
      <c r="B135" t="str">
        <v>Advise of Lead Times:</v>
      </c>
    </row>
    <row r="136" ht="14.25" customHeight="1">
      <c r="A136">
        <f>A135+1</f>
        <v>8</v>
      </c>
      <c r="B136" t="str">
        <v>Material 1</v>
      </c>
      <c r="C136" t="str">
        <v>---&gt;</v>
      </c>
    </row>
    <row r="137" ht="14.25" customHeight="1">
      <c r="A137">
        <f>A136+1</f>
        <v>9</v>
      </c>
      <c r="B137" t="str">
        <v>Material 2</v>
      </c>
      <c r="C137" t="str">
        <v>---&gt;</v>
      </c>
    </row>
    <row r="138" ht="14.25" customHeight="1">
      <c r="A138">
        <f>A137+1</f>
        <v>10</v>
      </c>
      <c r="B138" t="str">
        <v>Material 3</v>
      </c>
      <c r="C138" t="str">
        <v>---&gt;</v>
      </c>
    </row>
    <row r="139" ht="14.25" customHeight="1"/>
    <row r="140" ht="14.25" customHeight="1"/>
    <row r="141" ht="14.25" customHeight="1">
      <c r="B141" t="str">
        <v>Allowances</v>
      </c>
    </row>
    <row r="142" ht="14.25" customHeight="1">
      <c r="A142">
        <v>1</v>
      </c>
    </row>
    <row r="143" ht="14.25" customHeight="1">
      <c r="A143">
        <f>A142+1</f>
        <v>2</v>
      </c>
    </row>
    <row r="144" ht="14.25" customHeight="1">
      <c r="A144">
        <f>A143+1</f>
        <v>3</v>
      </c>
    </row>
    <row r="145" ht="14.25" customHeight="1">
      <c r="A145">
        <f>A144+1</f>
        <v>4</v>
      </c>
    </row>
    <row r="146" ht="14.25" customHeight="1"/>
    <row r="147" ht="14.25" customHeight="1"/>
    <row r="148" ht="14.25" customHeight="1">
      <c r="B148" t="str">
        <v>Alternates</v>
      </c>
    </row>
    <row r="149" ht="14.25" customHeight="1">
      <c r="A149">
        <v>1</v>
      </c>
      <c r="C149" t="str">
        <v>#</v>
      </c>
    </row>
    <row r="150" ht="14.25" customHeight="1">
      <c r="A150">
        <f>A149+1</f>
        <v>2</v>
      </c>
      <c r="C150" t="str">
        <v>#</v>
      </c>
    </row>
    <row r="151" ht="14.25" customHeight="1">
      <c r="A151">
        <f>A150+1</f>
        <v>3</v>
      </c>
      <c r="C151" t="str">
        <v>#</v>
      </c>
    </row>
    <row r="152" ht="14.25" customHeight="1">
      <c r="A152">
        <f>A151+1</f>
        <v>4</v>
      </c>
      <c r="C152" t="str">
        <v>#</v>
      </c>
    </row>
    <row r="153" ht="14.25" customHeight="1">
      <c r="C153" t="str">
        <v>#</v>
      </c>
    </row>
    <row r="154" ht="14.25" customHeight="1">
      <c r="B154" t="str">
        <v>Unit Prices</v>
      </c>
    </row>
    <row r="155" ht="14.25" customHeight="1">
      <c r="A155">
        <v>1</v>
      </c>
      <c r="C155" t="str">
        <v>#</v>
      </c>
    </row>
    <row r="156" ht="14.25" customHeight="1">
      <c r="A156">
        <f>A155+1</f>
        <v>2</v>
      </c>
      <c r="C156" t="str">
        <v>#</v>
      </c>
    </row>
    <row r="157" ht="14.25" customHeight="1">
      <c r="A157">
        <f>A156+1</f>
        <v>3</v>
      </c>
      <c r="C157" t="str">
        <v>#</v>
      </c>
    </row>
    <row r="158" ht="14.25" customHeight="1">
      <c r="A158">
        <f>A157+1</f>
        <v>4</v>
      </c>
      <c r="C158" t="str">
        <v>#</v>
      </c>
    </row>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legacyDrawing r:id="rId1"/>
</worksheet>
</file>

<file path=xl/worksheets/sheet3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7.14"/>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Robinsons</v>
      </c>
      <c r="N1" t="str">
        <v>Genesys</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Genesys</v>
      </c>
      <c r="AJ3" s="3">
        <f t="array" ref="AJ3">IFNA(INDEX($K$6:$AE$6,1,MATCH($AH3,$K$10:$AE$10,0)+1),"")</f>
        <v>270408</v>
      </c>
      <c r="AK3" s="3">
        <f t="array" ref="AK3">IFNA(INDEX($K$7:$AE$7,1,MATCH($AH3,$K$10:$AE$10,0)+1),"")</f>
        <v>150000</v>
      </c>
      <c r="AL3" s="3">
        <f t="array" ref="AL3">IFNA(INDEX($K$8:$AE$8,1,MATCH($AH3,$K$10:$AE$10,0)+1),"")</f>
        <v>8408.16</v>
      </c>
      <c r="AM3" s="3">
        <f t="array" ref="AM3">IFNA(INDEX($K$9:$AE$9,1,MATCH($AH3,$K$10:$AE$10,0)+1),"")</f>
        <v>428816.16</v>
      </c>
      <c r="AO3" s="9">
        <f>IFERROR(AN3*AM3,0)</f>
        <v>0</v>
      </c>
    </row>
    <row r="4" ht="14.25" customHeight="1" outlineLevel="1">
      <c r="A4" t="str">
        <v>Trade:</v>
      </c>
      <c r="B4" t="str">
        <v>27 - LOW VOLTAGE</v>
      </c>
      <c r="I4" t="str">
        <v>Phone:</v>
      </c>
      <c r="K4" t="str">
        <v>Number</v>
      </c>
      <c r="N4" t="str">
        <v>Number</v>
      </c>
      <c r="Q4" t="str">
        <v>Number</v>
      </c>
      <c r="T4" t="str">
        <v>Number</v>
      </c>
      <c r="W4" t="str">
        <v>Number</v>
      </c>
      <c r="Z4" t="str">
        <v>Number</v>
      </c>
      <c r="AC4" t="str">
        <v>Number</v>
      </c>
      <c r="AH4">
        <v>2</v>
      </c>
      <c r="AI4" t="str">
        <f>IFNA(INDEX($K$1:$AE$1,1,MATCH($AH4,$K$10:$AE$10,0)),"")</f>
        <v>Robinsons</v>
      </c>
      <c r="AJ4" s="3">
        <f t="array" ref="AJ4">IFNA(INDEX($K$6:$AE$6,1,MATCH($AH4,$K$10:$AE$10,0)+1),"")</f>
        <v>265415</v>
      </c>
      <c r="AK4" s="3">
        <f t="array" ref="AK4">IFNA(INDEX($K$7:$AE$7,1,MATCH($AH4,$K$10:$AE$10,0)+1),"")</f>
        <v>210000</v>
      </c>
      <c r="AL4" s="3">
        <f t="array" ref="AL4">IFNA(INDEX($K$8:$AE$8,1,MATCH($AH4,$K$10:$AE$10,0)+1),"")</f>
        <v>9508.3</v>
      </c>
      <c r="AM4" s="3">
        <f t="array" ref="AM4">IFNA(INDEX($K$9:$AE$9,1,MATCH($AH4,$K$10:$AE$10,0)+1),"")</f>
        <v>484923.3</v>
      </c>
      <c r="AO4" s="9">
        <f>IFERROR(AN4*AM4,0)</f>
        <v>0</v>
      </c>
    </row>
    <row r="5" ht="14.25" customHeight="1" outlineLevel="1">
      <c r="A5" t="str">
        <v>Rev/Date:</v>
      </c>
      <c r="B5" s="6">
        <v>46048</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265415</v>
      </c>
      <c r="N6" t="str">
        <v>Base Bid:</v>
      </c>
      <c r="O6" s="4">
        <v>270408</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Walid Salhab</v>
      </c>
      <c r="C7" t="str">
        <v>Contact:</v>
      </c>
      <c r="G7" s="8" t="str">
        <v>| MCN Budget</v>
      </c>
      <c r="I7" s="8">
        <f>SUM(I20:I106,I13:I18)</f>
        <v>0</v>
      </c>
      <c r="K7" t="str">
        <v>Adjustments:</v>
      </c>
      <c r="L7" s="4">
        <f>SUM(L13:L18,L20:L106)</f>
        <v>210000</v>
      </c>
      <c r="N7" t="str">
        <v>Adjustments:</v>
      </c>
      <c r="O7" s="4">
        <f>SUM(O13:O18,O20:O106)</f>
        <v>150000</v>
      </c>
      <c r="Q7" t="str">
        <v>Adjustments:</v>
      </c>
      <c r="R7" s="4">
        <f>SUM(R13:R18,R20:R106)</f>
        <v>0</v>
      </c>
      <c r="T7" t="str">
        <v>Adjustments:</v>
      </c>
      <c r="U7" s="4">
        <f>SUM(U13:U18,U20:U106)</f>
        <v>0</v>
      </c>
      <c r="W7" t="str">
        <v>Adjustments:</v>
      </c>
      <c r="X7" s="4">
        <f>SUM(X13:X18,X20:X106)</f>
        <v>0</v>
      </c>
      <c r="Z7" t="str">
        <v>Adjustments:</v>
      </c>
      <c r="AA7" s="4">
        <f>SUM(AA13:AA18,AA20:AA106)</f>
        <v>0</v>
      </c>
      <c r="AC7" t="str">
        <v>Adjustments:</v>
      </c>
      <c r="AD7" s="4">
        <f>SUM(AD13:AD18,AD20:AD106)</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walid.salhab@mcnbuild.com</v>
      </c>
      <c r="C8" t="str">
        <v>Email:</v>
      </c>
      <c r="F8" s="10">
        <v>0.02</v>
      </c>
      <c r="G8" s="8" t="str">
        <v>| Bond</v>
      </c>
      <c r="I8" s="8">
        <f>F8*I7</f>
        <v>0</v>
      </c>
      <c r="J8" s="10">
        <v>0.02</v>
      </c>
      <c r="K8" t="str">
        <v>Bond:</v>
      </c>
      <c r="L8" s="4">
        <f>J8*SUM(L6:L7)</f>
        <v>9508.3</v>
      </c>
      <c r="M8" s="10">
        <v>0.02</v>
      </c>
      <c r="N8" t="str">
        <v>Bond:</v>
      </c>
      <c r="O8" s="4">
        <f>M8*SUM(O6:O7)</f>
        <v>8408.16</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 655 - 6633</v>
      </c>
      <c r="C9" t="str">
        <v>Phone:</v>
      </c>
      <c r="G9" t="str">
        <v>-----</v>
      </c>
      <c r="H9" s="8" t="str">
        <v xml:space="preserve">  --------&gt;</v>
      </c>
      <c r="I9" s="8">
        <f>SUM(I7:I8)</f>
        <v>0</v>
      </c>
      <c r="K9" t="str">
        <v>Total Bid:</v>
      </c>
      <c r="L9" s="4">
        <f>IF(L5="FULL SCOPE",SUM(L6:L8),"not level")</f>
        <v>484923.3</v>
      </c>
      <c r="N9" t="str">
        <v>Total Bid:</v>
      </c>
      <c r="O9" s="4">
        <f>IF(O5="FULL SCOPE",SUM(O6:O8),"not level")</f>
        <v>428816.16</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265415</v>
      </c>
      <c r="O19" s="8">
        <f>O6</f>
        <v>270408</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Structured Cabling, Fiber, Teledata</v>
      </c>
      <c r="C22" t="str">
        <v>#</v>
      </c>
      <c r="D22" t="str">
        <v>$</v>
      </c>
      <c r="I22" s="8">
        <f>H22*F22</f>
        <v>0</v>
      </c>
    </row>
    <row r="23" ht="14.25" customHeight="1">
      <c r="A23">
        <f>A22+1</f>
        <v>5</v>
      </c>
      <c r="B23" t="str">
        <v>Electronic Security</v>
      </c>
      <c r="C23" t="str">
        <v>#</v>
      </c>
      <c r="D23" t="str">
        <v>$</v>
      </c>
      <c r="I23" s="8">
        <f>H23*F23</f>
        <v>0</v>
      </c>
    </row>
    <row r="24" ht="14.25" customHeight="1">
      <c r="A24">
        <v>6</v>
      </c>
      <c r="B24" t="str">
        <v>Audio Visual Systems</v>
      </c>
      <c r="C24" t="str">
        <v>#</v>
      </c>
      <c r="D24" t="str">
        <v>$</v>
      </c>
    </row>
    <row r="25" ht="14.25" customHeight="1">
      <c r="A25">
        <f>A24+1</f>
        <v>7</v>
      </c>
      <c r="B25" t="str">
        <v>Paging, Clock and Intercom System</v>
      </c>
      <c r="C25" t="str">
        <v>#</v>
      </c>
      <c r="D25" t="str">
        <v>$</v>
      </c>
      <c r="L25" s="8">
        <f>O25*1.4</f>
        <v>91000</v>
      </c>
      <c r="O25" s="8">
        <v>65000</v>
      </c>
    </row>
    <row r="26" ht="14.25" customHeight="1">
      <c r="A26">
        <f>A25+1</f>
        <v>8</v>
      </c>
      <c r="B26" t="str">
        <v>DAS System</v>
      </c>
      <c r="C26" t="str">
        <v>#</v>
      </c>
      <c r="D26" t="str">
        <v>$</v>
      </c>
      <c r="L26" s="8">
        <f>O26*1.4</f>
        <v>119000</v>
      </c>
      <c r="O26" s="8">
        <v>85000</v>
      </c>
    </row>
    <row r="27" ht="14.25" customHeight="1"/>
    <row r="28" ht="14.25" customHeight="1">
      <c r="B28" t="str">
        <v>Section 3 - Scope of Work</v>
      </c>
    </row>
    <row r="29" ht="14.25" customHeight="1">
      <c r="B29" t="str">
        <v>Furnish and Install All Items UON</v>
      </c>
      <c r="C29" t="str">
        <v>Y</v>
      </c>
      <c r="J29" t="str">
        <v>Y</v>
      </c>
      <c r="M29" t="str">
        <v>Y</v>
      </c>
    </row>
    <row r="30" ht="14.25" customHeight="1">
      <c r="A30" t="str">
        <v>A</v>
      </c>
      <c r="B30" t="str">
        <v>Specifications</v>
      </c>
    </row>
    <row r="31" ht="14.25" customHeight="1">
      <c r="A31">
        <v>1</v>
      </c>
      <c r="B31" t="str">
        <v>Division 01 - General Requirements</v>
      </c>
      <c r="C31" t="str">
        <v>Y</v>
      </c>
      <c r="J31" t="str">
        <v>Y</v>
      </c>
      <c r="M31" t="str">
        <v>Y</v>
      </c>
    </row>
    <row r="32" ht="14.25" customHeight="1">
      <c r="A32">
        <v>2</v>
      </c>
      <c r="B32" t="str">
        <v>Division 26 - Electrical (As applied to this bid package)</v>
      </c>
      <c r="C32" t="str">
        <v>Y</v>
      </c>
      <c r="J32" t="str">
        <v>Y</v>
      </c>
      <c r="M32" t="str">
        <v>Y</v>
      </c>
    </row>
    <row r="33" ht="14.25" customHeight="1">
      <c r="A33">
        <v>3</v>
      </c>
      <c r="B33" t="str">
        <v xml:space="preserve">Division 27 - Communications </v>
      </c>
      <c r="C33" t="str">
        <v>Y</v>
      </c>
      <c r="J33" t="str">
        <v>Y</v>
      </c>
      <c r="M33" t="str">
        <v>Y</v>
      </c>
    </row>
    <row r="34" ht="14.25" customHeight="1">
      <c r="A34">
        <v>4</v>
      </c>
      <c r="B34" t="str">
        <v xml:space="preserve">Division 28 - Electronic Safety and Security </v>
      </c>
      <c r="C34" t="str">
        <v>Y</v>
      </c>
      <c r="J34" t="str">
        <v>Y</v>
      </c>
      <c r="M34" t="str">
        <v>Y</v>
      </c>
    </row>
    <row r="35" ht="14.25" customHeight="1"/>
    <row r="36" ht="14.25" customHeight="1">
      <c r="A36" t="str">
        <v>B</v>
      </c>
      <c r="B36" t="str">
        <v>Inclusions</v>
      </c>
    </row>
    <row r="37" ht="14.25" customHeight="1">
      <c r="A37">
        <v>1</v>
      </c>
      <c r="B37" t="str">
        <v>SPECIFIC SCOPE ITEMS</v>
      </c>
      <c r="C37" t="str">
        <v>Y</v>
      </c>
      <c r="I37" s="8">
        <f>H37*F37</f>
        <v>0</v>
      </c>
      <c r="J37" t="str">
        <v>Y</v>
      </c>
      <c r="M37" t="str">
        <v>Y</v>
      </c>
    </row>
    <row r="38" ht="14.25" customHeight="1">
      <c r="A38">
        <v>2</v>
      </c>
      <c r="B38" t="str">
        <v>COMMUNICATIONS</v>
      </c>
    </row>
    <row r="39" ht="14.25" customHeight="1">
      <c r="A39">
        <v>3</v>
      </c>
      <c r="B39" t="str">
        <v>Furnish and install cable runways, trays and support systems in telecom and IT rooms</v>
      </c>
      <c r="C39" t="str">
        <v>Y</v>
      </c>
      <c r="I39" s="8">
        <f>H39*F39</f>
        <v>0</v>
      </c>
      <c r="J39" t="str">
        <v>Y</v>
      </c>
      <c r="M39" t="str">
        <v>Y</v>
      </c>
    </row>
    <row r="40" ht="14.25" customHeight="1">
      <c r="A40">
        <v>4</v>
      </c>
      <c r="B40" t="str">
        <v>Furnish and install all cat-5 and cat-6/6A cabling systems</v>
      </c>
      <c r="C40" t="str">
        <v>Y</v>
      </c>
      <c r="I40" s="8">
        <f>H40*F40</f>
        <v>0</v>
      </c>
      <c r="J40" t="str">
        <v>Y</v>
      </c>
      <c r="M40" t="str">
        <v>Y</v>
      </c>
    </row>
    <row r="41" ht="14.25" customHeight="1">
      <c r="A41">
        <v>5</v>
      </c>
      <c r="B41" t="str">
        <v>Furnish and install cellular module and antennas, communications handholes, outlets, faceplates and termination components</v>
      </c>
      <c r="C41" t="str">
        <v>Y</v>
      </c>
      <c r="I41" s="8">
        <f>H41*F41</f>
        <v>0</v>
      </c>
      <c r="J41" t="str">
        <v>Y</v>
      </c>
      <c r="M41" t="str">
        <v>Y</v>
      </c>
    </row>
    <row r="42" ht="14.25" customHeight="1">
      <c r="A42">
        <v>6</v>
      </c>
      <c r="B42" t="str">
        <v>Furnish and install CORE interlock communications wiring, accossories and required systems</v>
      </c>
      <c r="C42" t="str">
        <v>Y</v>
      </c>
      <c r="I42" s="8">
        <f>H42*F42</f>
        <v>0</v>
      </c>
      <c r="J42" t="str">
        <v>Y</v>
      </c>
      <c r="M42" t="str">
        <v>Y</v>
      </c>
    </row>
    <row r="43" ht="14.25" customHeight="1">
      <c r="A43">
        <v>7</v>
      </c>
      <c r="B43" t="str">
        <v xml:space="preserve">Furnish and install data/AV components and wiring </v>
      </c>
      <c r="C43" t="str">
        <v>Y</v>
      </c>
      <c r="I43" s="8">
        <f>H43*F43</f>
        <v>0</v>
      </c>
      <c r="J43" t="str">
        <v>Y</v>
      </c>
      <c r="M43" t="str">
        <v>Y</v>
      </c>
    </row>
    <row r="44" ht="14.25" customHeight="1">
      <c r="A44">
        <v>8</v>
      </c>
      <c r="B44" t="str">
        <v>Furnish and install alll structured cabling systems including UTP, STP, fiber and coaxial cables</v>
      </c>
      <c r="C44" t="str">
        <v>Y</v>
      </c>
      <c r="J44" t="str">
        <v>Y</v>
      </c>
      <c r="M44" t="str">
        <v>Y</v>
      </c>
    </row>
    <row r="45" ht="14.25" customHeight="1">
      <c r="A45">
        <v>9</v>
      </c>
      <c r="B45" t="str">
        <v>Furnish and isntall interior communications pathways including conduit, sleeves and fire-rated devices</v>
      </c>
      <c r="C45" t="str">
        <v>Y</v>
      </c>
      <c r="J45" t="str">
        <v>Y</v>
      </c>
      <c r="M45" t="str">
        <v>Y</v>
      </c>
    </row>
    <row r="46" ht="14.25" customHeight="1">
      <c r="A46">
        <v>10</v>
      </c>
      <c r="B46" t="str">
        <v>Furnish and isntall network switches</v>
      </c>
      <c r="C46" t="str">
        <v>Y</v>
      </c>
      <c r="J46" t="str">
        <v>Y</v>
      </c>
      <c r="M46" t="str">
        <v>Y</v>
      </c>
    </row>
    <row r="47" ht="14.25" customHeight="1">
      <c r="A47">
        <v>11</v>
      </c>
      <c r="B47" t="str">
        <v>Furnish and install paging and intercom system per telecom and security floor plans and specifications</v>
      </c>
      <c r="C47" t="str">
        <v>Y</v>
      </c>
      <c r="J47" t="str">
        <v>P</v>
      </c>
      <c r="L47" s="8" t="str">
        <v>See above</v>
      </c>
      <c r="M47" t="str">
        <v>Y</v>
      </c>
    </row>
    <row r="48" ht="14.25" customHeight="1">
      <c r="A48">
        <v>12</v>
      </c>
      <c r="B48" t="str">
        <v>Furnish and install telecommunications grounding and bonding system</v>
      </c>
      <c r="C48" t="str">
        <v>Y</v>
      </c>
      <c r="J48" t="str">
        <v>Y</v>
      </c>
      <c r="M48" t="str">
        <v>Y</v>
      </c>
    </row>
    <row r="49" ht="14.25" customHeight="1">
      <c r="A49">
        <v>13</v>
      </c>
      <c r="B49" t="str">
        <v>furnish and install telecommunication racks, backboards and cable management</v>
      </c>
      <c r="C49" t="str">
        <v>Y</v>
      </c>
      <c r="J49" t="str">
        <v>Y</v>
      </c>
      <c r="M49" t="str">
        <v>Y</v>
      </c>
    </row>
    <row r="50" ht="27" customHeight="1">
      <c r="A50">
        <v>14</v>
      </c>
      <c r="B50" t="str">
        <v>Furnish and install wall mounted equipment enclosure, underground communications conduit and all other communications pathways, firestopping, grounding and hardware per contract documents</v>
      </c>
      <c r="C50" t="str">
        <v>Y</v>
      </c>
      <c r="J50" t="str">
        <v>Y</v>
      </c>
      <c r="M50" t="str">
        <v>Y</v>
      </c>
    </row>
    <row r="51" ht="14.25" customHeight="1">
      <c r="A51">
        <v>15</v>
      </c>
      <c r="B51" t="str">
        <v>Furnish and install wireless access points system, cabling, equipment and accessories</v>
      </c>
      <c r="C51" t="str">
        <v>Y</v>
      </c>
      <c r="J51" t="str">
        <v>Y</v>
      </c>
      <c r="M51" t="str">
        <v>Y</v>
      </c>
    </row>
    <row r="52" ht="14.25" customHeight="1">
      <c r="A52">
        <v>16</v>
      </c>
      <c r="B52" t="str">
        <v>Provide dedicated UTP cable for elevator car phone line</v>
      </c>
      <c r="C52" t="str">
        <v>Y</v>
      </c>
      <c r="J52" t="str">
        <v>Y</v>
      </c>
      <c r="M52" t="str">
        <v>Y</v>
      </c>
    </row>
    <row r="53" ht="14.25" customHeight="1">
      <c r="A53">
        <v>17</v>
      </c>
      <c r="B53" t="str">
        <v>Provide field-wired connection for modbus communications</v>
      </c>
      <c r="C53" t="str">
        <v>Y</v>
      </c>
      <c r="J53" t="str">
        <v>Y</v>
      </c>
      <c r="M53" t="str">
        <v>Y</v>
      </c>
    </row>
    <row r="54" ht="14.25" customHeight="1">
      <c r="A54">
        <v>18</v>
      </c>
      <c r="B54" t="str">
        <v>Provide IT/communications pathways and termination points</v>
      </c>
      <c r="C54" t="str">
        <v>Y</v>
      </c>
      <c r="J54" t="str">
        <v>Y</v>
      </c>
      <c r="M54" t="str">
        <v>Y</v>
      </c>
    </row>
    <row r="55" ht="14.25" customHeight="1">
      <c r="A55">
        <v>19</v>
      </c>
      <c r="B55" t="str">
        <v>Provide protective and weather-tight enclosures for devices per specifications</v>
      </c>
      <c r="C55" t="str">
        <v>Y</v>
      </c>
      <c r="J55" t="str">
        <v>Y</v>
      </c>
      <c r="M55" t="str">
        <v>Y</v>
      </c>
    </row>
    <row r="56" ht="14.25" customHeight="1">
      <c r="A56">
        <v>20</v>
      </c>
      <c r="B56" t="str">
        <v>Provide signal extension cabling for projectors and other devices (HDMI/USB-C)</v>
      </c>
      <c r="C56" t="str">
        <v>Y</v>
      </c>
      <c r="J56" t="str">
        <v>Y</v>
      </c>
      <c r="M56" t="str">
        <v>Y</v>
      </c>
    </row>
    <row r="57" ht="14.25" customHeight="1">
      <c r="A57">
        <v>21</v>
      </c>
      <c r="B57" t="str">
        <v>Provide all work shown required in IT Room 201 per drawings and specifications</v>
      </c>
      <c r="C57" t="str">
        <v>Y</v>
      </c>
      <c r="I57" s="8">
        <f>H57*F57</f>
        <v>0</v>
      </c>
      <c r="J57" t="str">
        <v>Y</v>
      </c>
      <c r="M57" t="str">
        <v>Y</v>
      </c>
    </row>
    <row r="58" ht="14.25" customHeight="1">
      <c r="A58">
        <v>22</v>
      </c>
      <c r="C58" t="str">
        <v>Y</v>
      </c>
      <c r="J58" t="str">
        <v>Y</v>
      </c>
      <c r="M58" t="str">
        <v>Y</v>
      </c>
    </row>
    <row r="59" ht="14.25" customHeight="1">
      <c r="A59">
        <v>23</v>
      </c>
      <c r="B59" t="str">
        <v>ELECTRONIC SAFETY AND SECURITY</v>
      </c>
      <c r="C59" t="str">
        <v>Y</v>
      </c>
      <c r="J59" t="str">
        <v>Y</v>
      </c>
      <c r="M59" t="str">
        <v>Y</v>
      </c>
    </row>
    <row r="60" ht="14.25" customHeight="1">
      <c r="A60">
        <v>24</v>
      </c>
      <c r="B60" t="str">
        <v>Furnish and install back boxes and conduits for card readers, including card readers and associated accessories</v>
      </c>
      <c r="C60" t="str">
        <v>Y</v>
      </c>
      <c r="J60" t="str">
        <v>Y</v>
      </c>
      <c r="M60" t="str">
        <v>Y</v>
      </c>
    </row>
    <row r="61" ht="14.25" customHeight="1">
      <c r="A61">
        <v>25</v>
      </c>
      <c r="B61" t="str">
        <v>Furnish and install complete access control system including card readers, locks and door contacts</v>
      </c>
      <c r="C61" t="str">
        <v>Y</v>
      </c>
      <c r="J61" t="str">
        <v>Y</v>
      </c>
      <c r="M61" t="str">
        <v>Y</v>
      </c>
    </row>
    <row r="62" ht="14.25" customHeight="1">
      <c r="A62">
        <v>26</v>
      </c>
      <c r="B62" t="str">
        <v>Furnish and install complete CCTV system including cameras, cables, associated accessories</v>
      </c>
      <c r="C62" t="str">
        <v>Y</v>
      </c>
      <c r="J62" t="str">
        <v>Y</v>
      </c>
      <c r="M62" t="str">
        <v>Y</v>
      </c>
    </row>
    <row r="63" ht="14.25" customHeight="1">
      <c r="A63">
        <v>27</v>
      </c>
      <c r="B63" t="str">
        <v>Furnish and install complete intrusion detection and duress/panic system including motion detectors and all associated accessories and equipemnt</v>
      </c>
      <c r="C63" t="str">
        <v>Y</v>
      </c>
      <c r="J63" t="str">
        <v>Y</v>
      </c>
      <c r="M63" t="str">
        <v>Y</v>
      </c>
    </row>
    <row r="64" ht="14.25" customHeight="1">
      <c r="A64">
        <v>28</v>
      </c>
      <c r="B64" t="str">
        <v>Furnish and install complete people counting system including equipment and associated accessories</v>
      </c>
      <c r="C64" t="str">
        <v>Y</v>
      </c>
      <c r="J64" t="str">
        <v>Y</v>
      </c>
      <c r="M64" t="str">
        <v>Y</v>
      </c>
    </row>
    <row r="65" ht="14.25" customHeight="1">
      <c r="A65">
        <v>29</v>
      </c>
      <c r="B65" t="str">
        <v>Furnish and install electric alarm bell</v>
      </c>
      <c r="C65" t="str">
        <v>Y</v>
      </c>
      <c r="I65" s="8">
        <f>H65*F65</f>
        <v>0</v>
      </c>
      <c r="J65" t="str">
        <v>Y</v>
      </c>
      <c r="M65" t="str">
        <v>Y</v>
      </c>
    </row>
    <row r="66" ht="14.25" customHeight="1">
      <c r="A66">
        <v>30</v>
      </c>
      <c r="B66" t="str">
        <v>Furnish and install multi-conductor cables</v>
      </c>
      <c r="C66" t="str">
        <v>Y</v>
      </c>
      <c r="I66" s="8">
        <f>H66*F66</f>
        <v>0</v>
      </c>
      <c r="J66" t="str">
        <v>Y</v>
      </c>
      <c r="M66" t="str">
        <v>Y</v>
      </c>
    </row>
    <row r="67" ht="14.25" customHeight="1">
      <c r="A67">
        <v>31</v>
      </c>
      <c r="B67" t="str">
        <v>Provide installation of auxiliary system panels, power supplies, and equipment enclosures</v>
      </c>
      <c r="C67" t="str">
        <v>Y</v>
      </c>
      <c r="I67" s="8">
        <f>H67*F67</f>
        <v>0</v>
      </c>
      <c r="J67" t="str">
        <v>Y</v>
      </c>
      <c r="M67" t="str">
        <v>Y</v>
      </c>
    </row>
    <row r="68" ht="14.25" customHeight="1">
      <c r="A68">
        <v>32</v>
      </c>
      <c r="B68" t="str">
        <v>Provide wiring to electrified locksets</v>
      </c>
      <c r="C68" t="str">
        <v>Y</v>
      </c>
      <c r="I68" s="8">
        <f>H68*F68</f>
        <v>0</v>
      </c>
      <c r="J68" t="str">
        <v>Y</v>
      </c>
      <c r="M68" t="str">
        <v>Y</v>
      </c>
    </row>
    <row r="69" ht="14.25" customHeight="1">
      <c r="A69">
        <v>33</v>
      </c>
      <c r="C69" t="str">
        <v>Y</v>
      </c>
      <c r="I69" s="8">
        <f>H69*F69</f>
        <v>0</v>
      </c>
      <c r="J69" t="str">
        <v>Y</v>
      </c>
      <c r="M69" t="str">
        <v>Y</v>
      </c>
    </row>
    <row r="70" ht="14.25" customHeight="1">
      <c r="A70">
        <v>34</v>
      </c>
      <c r="B70" t="str">
        <v>STANDARD / GENERAL SCOPE</v>
      </c>
      <c r="C70" t="str">
        <v>Y</v>
      </c>
      <c r="I70" s="8">
        <f>H70*F70</f>
        <v>0</v>
      </c>
      <c r="J70" t="str">
        <v>Y</v>
      </c>
      <c r="M70" t="str">
        <v>Y</v>
      </c>
    </row>
    <row r="71" ht="14.25" customHeight="1">
      <c r="A71">
        <v>35</v>
      </c>
      <c r="B71" t="str">
        <v>Hangers &amp; supports for conduit and equipment provided under this scope</v>
      </c>
      <c r="C71" t="str">
        <v>Y</v>
      </c>
      <c r="I71" s="8">
        <f>H71*F71</f>
        <v>0</v>
      </c>
      <c r="J71" t="str">
        <v>Y</v>
      </c>
      <c r="M71" t="str">
        <v>Y</v>
      </c>
    </row>
    <row r="72" ht="14.25" customHeight="1">
      <c r="A72">
        <v>36</v>
      </c>
      <c r="B72" t="str">
        <v>All rigging &amp; hoisting required for Electrical work.</v>
      </c>
      <c r="C72" t="str">
        <v>Y</v>
      </c>
      <c r="I72" s="8">
        <f>H72*F72</f>
        <v>0</v>
      </c>
      <c r="J72" t="str">
        <v>Y</v>
      </c>
      <c r="M72" t="str">
        <v>Y</v>
      </c>
    </row>
    <row r="73" ht="14.25" customHeight="1">
      <c r="A73">
        <v>37</v>
      </c>
      <c r="B73" t="str">
        <v>Perform all cutting &amp; core drilling required for Electrical work</v>
      </c>
      <c r="C73" t="str">
        <v>Y</v>
      </c>
      <c r="I73" s="8">
        <f>H73*F73</f>
        <v>0</v>
      </c>
      <c r="J73" t="str">
        <v>Y</v>
      </c>
      <c r="M73" t="str">
        <v>Y</v>
      </c>
    </row>
    <row r="74" ht="14.25" customHeight="1">
      <c r="A74">
        <v>38</v>
      </c>
      <c r="B74" t="str">
        <v>Fire stopping &amp; sealing of penetrations for Electrical work</v>
      </c>
      <c r="C74" t="str">
        <v>Y</v>
      </c>
      <c r="I74" s="8">
        <f>H74*F74</f>
        <v>0</v>
      </c>
      <c r="J74" t="str">
        <v>Y</v>
      </c>
      <c r="M74" t="str">
        <v>Y</v>
      </c>
    </row>
    <row r="75" ht="14.25" customHeight="1">
      <c r="C75" t="str">
        <v>Y</v>
      </c>
      <c r="I75" s="8">
        <f>H75*F75</f>
        <v>0</v>
      </c>
    </row>
    <row r="76" ht="14.25" customHeight="1">
      <c r="C76" t="str">
        <v>Y</v>
      </c>
      <c r="I76" s="8">
        <f>H76*F76</f>
        <v>0</v>
      </c>
    </row>
    <row r="77" ht="14.25" customHeight="1">
      <c r="I77" s="8">
        <f>H77*F77</f>
        <v>0</v>
      </c>
    </row>
    <row r="78" ht="14.25" customHeight="1">
      <c r="A78" t="str">
        <v>C</v>
      </c>
      <c r="B78" t="str">
        <v>Exclusions</v>
      </c>
    </row>
    <row r="79" ht="14.25" customHeight="1">
      <c r="A79">
        <v>1</v>
      </c>
      <c r="C79" t="str">
        <v>N</v>
      </c>
    </row>
    <row r="80" ht="14.25" customHeight="1">
      <c r="A80">
        <f>A79+1</f>
        <v>2</v>
      </c>
      <c r="C80" t="str">
        <v>N</v>
      </c>
    </row>
    <row r="81" ht="14.25" customHeight="1">
      <c r="A81">
        <f>A80+1</f>
        <v>3</v>
      </c>
      <c r="C81" t="str">
        <v>N</v>
      </c>
    </row>
    <row r="82" ht="14.25" customHeight="1">
      <c r="A82">
        <f>A81+1</f>
        <v>4</v>
      </c>
      <c r="C82" t="str">
        <v>N</v>
      </c>
    </row>
    <row r="83" ht="14.25" customHeight="1">
      <c r="A83">
        <f>A82+1</f>
        <v>5</v>
      </c>
      <c r="C83" t="str">
        <v>N</v>
      </c>
    </row>
    <row r="84" ht="14.25" customHeight="1">
      <c r="A84">
        <f>A83+1</f>
        <v>6</v>
      </c>
      <c r="C84" t="str">
        <v>N</v>
      </c>
    </row>
    <row r="85" ht="14.25" customHeight="1">
      <c r="A85">
        <f>A84+1</f>
        <v>7</v>
      </c>
      <c r="C85" t="str">
        <v>N</v>
      </c>
    </row>
    <row r="86" ht="14.25" customHeight="1">
      <c r="A86">
        <f>A85+1</f>
        <v>8</v>
      </c>
      <c r="C86" t="str">
        <v>N</v>
      </c>
    </row>
    <row r="87" ht="14.25" customHeight="1"/>
    <row r="88" ht="14.25" customHeight="1">
      <c r="A88" t="str">
        <v>D</v>
      </c>
      <c r="B88" t="str">
        <v>Schedule</v>
      </c>
    </row>
    <row r="89" ht="14.25" customHeight="1">
      <c r="A89">
        <v>1</v>
      </c>
      <c r="B89" t="str">
        <v>Meet MCN Schedule</v>
      </c>
      <c r="C89" t="str">
        <v>Y</v>
      </c>
    </row>
    <row r="90" ht="14.25" customHeight="1">
      <c r="A90">
        <f>A89+1</f>
        <v>2</v>
      </c>
      <c r="B90" t="str">
        <v>Advise of Durations</v>
      </c>
    </row>
    <row r="91" ht="14.25" customHeight="1">
      <c r="A91">
        <f>A90+1</f>
        <v>3</v>
      </c>
      <c r="B91" t="str">
        <v>Activity 1</v>
      </c>
      <c r="C91" t="str">
        <v>---&gt;</v>
      </c>
    </row>
    <row r="92" ht="14.25" customHeight="1">
      <c r="A92">
        <f>A91+1</f>
        <v>4</v>
      </c>
      <c r="B92" t="str">
        <v>Activity 2</v>
      </c>
      <c r="C92" t="str">
        <v>---&gt;</v>
      </c>
    </row>
    <row r="93" ht="14.25" customHeight="1">
      <c r="A93">
        <f>A92+1</f>
        <v>5</v>
      </c>
      <c r="B93" t="str">
        <v>Activity 3</v>
      </c>
      <c r="C93" t="str">
        <v>---&gt;</v>
      </c>
    </row>
    <row r="94" ht="14.25" customHeight="1">
      <c r="A94">
        <f>A93+1</f>
        <v>6</v>
      </c>
      <c r="B94" t="str">
        <v>Duration for Submittals and Shop Drawings</v>
      </c>
      <c r="C94" t="str">
        <v>---&gt;</v>
      </c>
    </row>
    <row r="95" ht="14.25" customHeight="1">
      <c r="A95">
        <f>A94+1</f>
        <v>7</v>
      </c>
      <c r="B95" t="str">
        <v>Advise of Lead Times:</v>
      </c>
    </row>
    <row r="96" ht="14.25" customHeight="1">
      <c r="A96">
        <f>A95+1</f>
        <v>8</v>
      </c>
      <c r="B96" t="str">
        <v>Material 1</v>
      </c>
      <c r="C96" t="str">
        <v>---&gt;</v>
      </c>
    </row>
    <row r="97" ht="14.25" customHeight="1">
      <c r="A97">
        <f>A96+1</f>
        <v>9</v>
      </c>
      <c r="B97" t="str">
        <v>Material 2</v>
      </c>
      <c r="C97" t="str">
        <v>---&gt;</v>
      </c>
    </row>
    <row r="98" ht="14.25" customHeight="1">
      <c r="A98">
        <f>A97+1</f>
        <v>10</v>
      </c>
      <c r="B98" t="str">
        <v>Material 3</v>
      </c>
      <c r="C98" t="str">
        <v>---&gt;</v>
      </c>
    </row>
    <row r="99" ht="14.25" customHeight="1"/>
    <row r="100" ht="14.25" customHeight="1"/>
    <row r="101" ht="14.25" customHeight="1">
      <c r="B101" t="str">
        <v>Allowances</v>
      </c>
    </row>
    <row r="102" ht="14.25" customHeight="1">
      <c r="A102">
        <v>1</v>
      </c>
    </row>
    <row r="103" ht="14.25" customHeight="1">
      <c r="A103">
        <f>A102+1</f>
        <v>2</v>
      </c>
    </row>
    <row r="104" ht="14.25" customHeight="1">
      <c r="A104">
        <f>A103+1</f>
        <v>3</v>
      </c>
    </row>
    <row r="105" ht="14.25" customHeight="1">
      <c r="A105">
        <f>A104+1</f>
        <v>4</v>
      </c>
    </row>
    <row r="106" ht="14.25" customHeight="1"/>
    <row r="107" ht="14.25" customHeight="1"/>
    <row r="108" ht="14.25" customHeight="1">
      <c r="B108" t="str">
        <v>Alternates</v>
      </c>
    </row>
    <row r="109" ht="14.25" customHeight="1">
      <c r="A109">
        <v>1</v>
      </c>
      <c r="C109" t="str">
        <v>#</v>
      </c>
    </row>
    <row r="110" ht="14.25" customHeight="1">
      <c r="A110">
        <f>A109+1</f>
        <v>2</v>
      </c>
      <c r="C110" t="str">
        <v>#</v>
      </c>
    </row>
    <row r="111" ht="14.25" customHeight="1">
      <c r="A111">
        <f>A110+1</f>
        <v>3</v>
      </c>
      <c r="C111" t="str">
        <v>#</v>
      </c>
    </row>
    <row r="112" ht="14.25" customHeight="1">
      <c r="A112">
        <f>A111+1</f>
        <v>4</v>
      </c>
      <c r="C112" t="str">
        <v>#</v>
      </c>
    </row>
    <row r="113" ht="14.25" customHeight="1">
      <c r="C113" t="str">
        <v>#</v>
      </c>
    </row>
    <row r="114" ht="14.25" customHeight="1">
      <c r="B114" t="str">
        <v>Unit Prices</v>
      </c>
    </row>
    <row r="115" ht="14.25" customHeight="1">
      <c r="A115">
        <v>1</v>
      </c>
      <c r="C115" t="str">
        <v>#</v>
      </c>
    </row>
    <row r="116" ht="14.25" customHeight="1">
      <c r="A116">
        <f>A115+1</f>
        <v>2</v>
      </c>
      <c r="C116" t="str">
        <v>#</v>
      </c>
    </row>
    <row r="117" ht="14.25" customHeight="1">
      <c r="A117">
        <f>A116+1</f>
        <v>3</v>
      </c>
      <c r="C117" t="str">
        <v>#</v>
      </c>
    </row>
    <row r="118" ht="14.25" customHeight="1">
      <c r="A118">
        <f>A117+1</f>
        <v>4</v>
      </c>
      <c r="C118" t="str">
        <v>#</v>
      </c>
    </row>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legacyDrawing r:id="rId1"/>
</worksheet>
</file>

<file path=xl/worksheets/sheet37.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31 - EARTHWORK &amp; SITE DEMO&amp;E,S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SUM(I20:I145,I13:I18)</f>
        <v>0</v>
      </c>
      <c r="K7" t="str">
        <v>Adjustments:</v>
      </c>
      <c r="L7" s="4">
        <f>SUM(L13:L18,L20:L145)</f>
        <v>0</v>
      </c>
      <c r="N7" t="str">
        <v>Adjustments:</v>
      </c>
      <c r="O7" s="4">
        <f>SUM(O13:O18,O20:O145)</f>
        <v>0</v>
      </c>
      <c r="Q7" t="str">
        <v>Adjustments:</v>
      </c>
      <c r="R7" s="4">
        <f>SUM(R13:R18,R20:R145)</f>
        <v>0</v>
      </c>
      <c r="T7" t="str">
        <v>Adjustments:</v>
      </c>
      <c r="U7" s="4">
        <f>SUM(U13:U18,U20:U145)</f>
        <v>0</v>
      </c>
      <c r="W7" t="str">
        <v>Adjustments:</v>
      </c>
      <c r="X7" s="4">
        <f>SUM(X13:X18,X20:X145)</f>
        <v>0</v>
      </c>
      <c r="Z7" t="str">
        <v>Adjustments:</v>
      </c>
      <c r="AA7" s="4">
        <f>SUM(AA13:AA18,AA20:AA145)</f>
        <v>0</v>
      </c>
      <c r="AC7" t="str">
        <v>Adjustments:</v>
      </c>
      <c r="AD7" s="4">
        <f>SUM(AD13:AD18,AD20:AD145)</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Erosion Controls per contract Civil Drawings including C-….. and C…</v>
      </c>
      <c r="C43" t="str">
        <v>Y</v>
      </c>
      <c r="I43" s="8">
        <f>H43*F43</f>
        <v>0</v>
      </c>
    </row>
    <row r="44" ht="14.25" customHeight="1">
      <c r="A44">
        <v>3</v>
      </c>
      <c r="B44" t="str">
        <v>Erosion control devices including but not limited to silt fence, super silt fence, temp  dikes and swales, existing inlet protections, etc. and maintenance while on site and removal at the end of the project.</v>
      </c>
      <c r="C44" t="str">
        <v>Y</v>
      </c>
      <c r="I44" s="8">
        <f>H44*F44</f>
        <v>0</v>
      </c>
    </row>
    <row r="45" ht="14.25" customHeight="1">
      <c r="A45">
        <v>4</v>
      </c>
      <c r="B45" t="str">
        <v>Stone Construction entrances with gravel and wash rack , sediment tank and/or  water filter bag, surface water pumping and street cleaning.</v>
      </c>
      <c r="C45" t="str">
        <v>Y</v>
      </c>
      <c r="I45" s="8">
        <f>H45*F45</f>
        <v>0</v>
      </c>
    </row>
    <row r="46" ht="14.25" customHeight="1">
      <c r="A46">
        <v>5</v>
      </c>
      <c r="B46" t="str">
        <v>Temporary Sediment Basin and/or Sediment Trap....Work per dwg C.... including required site demolition,  temp basin  excavation w/offsite disposal, riprap stone outlet, temp 18" ... 24"... DIA. CMP Riser, temp 12" CMP discharge pipe w/Connection to ex. MH or Inlet tructure. (Dewatering of sediment basin shall be by pumping surface water to a geotextile filter bag.....)</v>
      </c>
      <c r="C46" t="str">
        <v>Y</v>
      </c>
      <c r="I46" s="8">
        <f>H46*F46</f>
        <v>0</v>
      </c>
    </row>
    <row r="47" ht="14.25" customHeight="1">
      <c r="A47">
        <v>6</v>
      </c>
      <c r="B47" t="str">
        <v>Protection of existing trees w/Tree protection fences and tree preservation signs</v>
      </c>
      <c r="C47" t="str">
        <v>Y</v>
      </c>
      <c r="I47" s="8">
        <f>H47*F47</f>
        <v>0</v>
      </c>
    </row>
    <row r="48" ht="14.25" customHeight="1">
      <c r="A48">
        <v>7</v>
      </c>
      <c r="B48" t="str">
        <v>Removal of silt from Temp Basin, Sediement traps, backfilling &amp; compaction</v>
      </c>
      <c r="C48" t="str">
        <v>Y</v>
      </c>
      <c r="I48" s="8">
        <f>H48*F48</f>
        <v>0</v>
      </c>
    </row>
    <row r="49" ht="14.25" customHeight="1">
      <c r="A49">
        <v>8</v>
      </c>
      <c r="B49" t="str">
        <v>Site Demolition.</v>
      </c>
      <c r="C49" t="str">
        <v>Y</v>
      </c>
      <c r="I49" s="8">
        <f>H49*F49</f>
        <v>0</v>
      </c>
    </row>
    <row r="50" ht="14.25" customHeight="1">
      <c r="A50">
        <v>9</v>
      </c>
      <c r="B50" t="str">
        <v>Clearing &amp; tree removal per dwg C-….</v>
      </c>
      <c r="C50" t="str">
        <v>Y</v>
      </c>
      <c r="I50" s="8">
        <f>H50*F50</f>
        <v>0</v>
      </c>
    </row>
    <row r="51" ht="14.25" customHeight="1">
      <c r="A51">
        <v>10</v>
      </c>
      <c r="B51" t="str">
        <v>Site demolition per dwg C-.... key notes .....including the removal of existing trees, shrubs , hardscape material, street curb &amp; onsite curb, ex. planting soil mixes, asphalt, concrete and special sport field paving's w/Subbases, sidewalks,  fences chain link &amp; wooden type fence various heights (types like backstop fence), railing, light poles &amp; footing, athletic sport equipment's,  score boards,  wood &amp; metal stands and benches, concrete &amp; brick walls and retaining walls, concrete steps, knee walls, tennis courts, planters, irrigation system etc. This work requires coordination w/other Contractors like Site Utility Contractor</v>
      </c>
      <c r="C51" t="str">
        <v>Y</v>
      </c>
      <c r="I51" s="8">
        <f>H51*F51</f>
        <v>0</v>
      </c>
    </row>
    <row r="52" ht="14.25" customHeight="1">
      <c r="A52">
        <v>11</v>
      </c>
      <c r="B52" t="str">
        <v>Saw cutting &amp; Traffic Control for ex. street asphalt demolition along Pilgrim Road for new utility work.</v>
      </c>
      <c r="C52" t="str">
        <v>Y</v>
      </c>
      <c r="I52" s="8">
        <f>H52*F52</f>
        <v>0</v>
      </c>
    </row>
    <row r="53" ht="14.25" customHeight="1">
      <c r="A53">
        <v>12</v>
      </c>
      <c r="B53" t="str">
        <v>Salvage existing…….&amp; Demolition of ex. Baases, Pedestal…... per key notes…./C-……</v>
      </c>
      <c r="C53" t="str">
        <v>Y</v>
      </c>
      <c r="I53" s="8">
        <f>H53*F53</f>
        <v>0</v>
      </c>
    </row>
    <row r="54" ht="14.25" customHeight="1">
      <c r="A54">
        <v>13</v>
      </c>
      <c r="B54" t="str">
        <v>Removal of ex. Utility lines &amp; structure within the limits of new grading operations regarless if it is in cut or fill areas</v>
      </c>
      <c r="C54" t="str">
        <v>Y</v>
      </c>
      <c r="I54" s="8">
        <f>H54*F54</f>
        <v>0</v>
      </c>
    </row>
    <row r="55" ht="14.25" customHeight="1">
      <c r="A55">
        <v>14</v>
      </c>
      <c r="B55" t="str">
        <v>Demolition of ex. Small Bldgs similar to Sheds, Planters, Storage …….</v>
      </c>
      <c r="C55" t="str">
        <v>Y</v>
      </c>
      <c r="I55" s="8">
        <f>H55*F55</f>
        <v>0</v>
      </c>
    </row>
    <row r="56" ht="14.25" customHeight="1">
      <c r="A56">
        <v>15</v>
      </c>
      <c r="B56" t="str">
        <v>Building  &amp; Ex. Structure Demolition</v>
      </c>
      <c r="C56" t="str">
        <v>Y</v>
      </c>
      <c r="I56" s="8">
        <f>H56*F56</f>
        <v>0</v>
      </c>
    </row>
    <row r="57" ht="14.25" customHeight="1">
      <c r="A57">
        <v>16</v>
      </c>
      <c r="B57" t="str">
        <v>Complete Bldg. Demolition of ex......, including basement...Prkg Garage levels___.... &amp;  surrounded Concrete Walks,  Walls...., perimeter fences etc per MCN Schedule during _____201_. Work includes the removal of ex.concrete Slabs,  Footings &amp; Foundations walls etc.... This work also requires coordination w/Support of excavation, Utility  &amp; Excavating Contractors</v>
      </c>
      <c r="C57" t="str">
        <v>Y</v>
      </c>
      <c r="I57" s="8">
        <f>H57*F57</f>
        <v>0</v>
      </c>
    </row>
    <row r="58" ht="14.25" customHeight="1">
      <c r="A58">
        <v>17</v>
      </c>
      <c r="B58" t="str">
        <v>Demolition of ex. Other Structures like Swimming Pools, ongrete and or elevated Conc. Decks, ....Building per MCN Schedule during September 2014. Work includes the removal of ex. Footings &amp; Foundations walls. This work also requires coordination w/Utility Contractor when performing utility relocation</v>
      </c>
      <c r="C58" t="str">
        <v>Y</v>
      </c>
      <c r="I58" s="8">
        <f>H58*F58</f>
        <v>0</v>
      </c>
    </row>
    <row r="59" ht="14.25" customHeight="1">
      <c r="A59">
        <v>18</v>
      </c>
      <c r="B59" t="str">
        <v xml:space="preserve">Demolition of ex. Athletic Office Bldg. Includes the removal of  footings, interior steps &amp; walls </v>
      </c>
      <c r="C59" t="str">
        <v>Y</v>
      </c>
      <c r="I59" s="8">
        <f>H59*F59</f>
        <v>0</v>
      </c>
    </row>
    <row r="60" ht="14.25" customHeight="1">
      <c r="A60">
        <v>19</v>
      </c>
      <c r="B60" t="str">
        <v>Demolition of ex. Wood &amp; Metal Exercise Equipment &amp; Storage Bldg.</v>
      </c>
      <c r="C60" t="str">
        <v>Y</v>
      </c>
      <c r="I60" s="8">
        <f>H60*F60</f>
        <v>0</v>
      </c>
    </row>
    <row r="61" ht="14.25" customHeight="1">
      <c r="A61">
        <v>20</v>
      </c>
      <c r="B61" t="str">
        <v>Unclassified General Excavation</v>
      </c>
      <c r="C61" t="str">
        <v>Y</v>
      </c>
      <c r="I61" s="8">
        <f>H61*F61</f>
        <v>0</v>
      </c>
    </row>
    <row r="62" ht="14.25" customHeight="1">
      <c r="A62">
        <v>21</v>
      </c>
      <c r="B62" t="str">
        <v>Strip, stockpile &amp; remove existing grass &amp; topsoil regarless thickness (for Qty assume min 6"…)</v>
      </c>
      <c r="C62" t="str">
        <v>Y</v>
      </c>
      <c r="I62" s="8">
        <f>H62*F62</f>
        <v>0</v>
      </c>
    </row>
    <row r="63" ht="14.25" customHeight="1">
      <c r="A63">
        <v>22</v>
      </c>
      <c r="B63" t="str">
        <v>Base Bid - Unclassified (and /or Classified) Grading Excavation to subgrade elevations for / to  ______Elevation…... per site plan C___ and structural dwg S____ and Arquitectureal A____</v>
      </c>
      <c r="C63" t="str">
        <v>Y</v>
      </c>
      <c r="I63" s="8">
        <f>H63*F63</f>
        <v>0</v>
      </c>
    </row>
    <row r="64" ht="14.25" customHeight="1">
      <c r="A64">
        <v>23</v>
      </c>
      <c r="B64" t="str">
        <v>Excavation to subgrade for ___  Site Hardscapes, Sidewalk, Conc Structure -(similar  to conc. stairs), landscaping &amp; lawn area. Also includes excavation w/Layback for ______ and  site retaining walls and/or steps w/Knee walls (similar to details on drawings__________)</v>
      </c>
      <c r="C64" t="str">
        <v>Y</v>
      </c>
      <c r="I64" s="8">
        <f>H64*F64</f>
        <v>0</v>
      </c>
    </row>
    <row r="65" ht="14.25" customHeight="1">
      <c r="A65">
        <v>24</v>
      </c>
      <c r="B65" t="str">
        <v>Exterior Layback Excavation including 3' offline and layback on a 1:1 or 1.5:1 angle of repose around..... (per Civil, Structural or Sheeting and shoring on drawings __________)</v>
      </c>
      <c r="C65" t="str">
        <v>Y</v>
      </c>
      <c r="I65" s="8">
        <f>H65*F65</f>
        <v>0</v>
      </c>
    </row>
    <row r="66" ht="14.25" customHeight="1">
      <c r="A66">
        <v>25</v>
      </c>
      <c r="B66" t="str">
        <v>Interior layback Excavation between level ____ and _____ including 3' offline and layback on a 1:1 or 1.5:1 angle of repose around.....  Per detail on  Structural or Sheeting and shoring drawings __________). Backfilling by Structural conrete contractor.</v>
      </c>
      <c r="C66" t="str">
        <v>Y</v>
      </c>
      <c r="I66" s="8">
        <f>H66*F66</f>
        <v>0</v>
      </c>
    </row>
    <row r="67" ht="14.25" customHeight="1">
      <c r="A67">
        <v>26</v>
      </c>
      <c r="B67" t="str">
        <v>Retaining walls Excavation w/Open cut layback. Work Includes all walls &amp; ret-walls per key notes #1 &amp; 2 / C-104</v>
      </c>
      <c r="C67" t="str">
        <v>Y</v>
      </c>
      <c r="I67" s="8">
        <f>H67*F67</f>
        <v>0</v>
      </c>
    </row>
    <row r="68" ht="14.25" customHeight="1">
      <c r="A68">
        <v>27</v>
      </c>
      <c r="B68" t="str">
        <v>Grading  for hardscapes &amp; Pavers per Civil and Landscape drawings.</v>
      </c>
      <c r="C68" t="str">
        <v>Y</v>
      </c>
      <c r="I68" s="8">
        <f>H68*F68</f>
        <v>0</v>
      </c>
    </row>
    <row r="69" ht="14.25" customHeight="1">
      <c r="A69">
        <v>28</v>
      </c>
      <c r="B69" t="str">
        <v xml:space="preserve">    Access construction ramps with gravel stone and relocation/removal as required</v>
      </c>
      <c r="C69" t="str">
        <v>Y</v>
      </c>
      <c r="I69" s="8">
        <f>H69*F69</f>
        <v>0</v>
      </c>
    </row>
    <row r="70" ht="14.25" customHeight="1">
      <c r="A70">
        <v>29</v>
      </c>
      <c r="B70" t="str">
        <v xml:space="preserve">As required provide 40' tieback installation bench for ____________Bldg per Sheeting &amp; Shoring dwg. Coordination for sheeting  work per….... </v>
      </c>
      <c r="C70" t="str">
        <v>Y</v>
      </c>
      <c r="I70" s="8">
        <f>H70*F70</f>
        <v>0</v>
      </c>
    </row>
    <row r="71" ht="14.25" customHeight="1">
      <c r="A71">
        <v>30</v>
      </c>
      <c r="B71" t="str">
        <v>Removal of rubble and concrete debris left by demolition contractor up to Street Level Elevation ____FT. (If debris are less than this elevation _____ then the excavating contractor shall provide credit for inplace cubic yards as listed in unit price schedule)</v>
      </c>
      <c r="C71" t="str">
        <v>Y</v>
      </c>
      <c r="I71" s="8">
        <f>H71*F71</f>
        <v>0</v>
      </c>
    </row>
    <row r="72" ht="14.25" customHeight="1">
      <c r="A72">
        <v>31</v>
      </c>
      <c r="B72" t="str">
        <v>Removal of rubble and concrete debris left by demolition contractor up to Street Level Elevation ____FT. (If debris are less than this elevation _____ then the excavating contractor shall provide credit for inplace cubic yards as listed in unit price schedule)</v>
      </c>
      <c r="C72" t="str">
        <v>Y</v>
      </c>
      <c r="I72" s="8">
        <f>H72*F72</f>
        <v>0</v>
      </c>
    </row>
    <row r="73" ht="14.25" customHeight="1">
      <c r="A73">
        <v>32</v>
      </c>
      <c r="B73" t="str">
        <v>Removal of perimeter foundation walls in lifts with sheeting and shoring operation</v>
      </c>
      <c r="C73" t="str">
        <v>Y</v>
      </c>
      <c r="I73" s="8">
        <f>H73*F73</f>
        <v>0</v>
      </c>
    </row>
    <row r="74" ht="14.25" customHeight="1">
      <c r="A74">
        <v>33</v>
      </c>
      <c r="B74" t="str">
        <v xml:space="preserve">Removal of spoils from sheeting/Shoring and/or underpinning including drilled soldier piles, woodlagging, tiebacks &amp; dewatering well spoil and …... </v>
      </c>
      <c r="C74" t="str">
        <v>Y</v>
      </c>
      <c r="I74" s="8">
        <f>H74*F74</f>
        <v>0</v>
      </c>
    </row>
    <row r="75" ht="14.25" customHeight="1">
      <c r="A75">
        <v>34</v>
      </c>
      <c r="B75" t="str">
        <v>Removal and reinstallation of access ramp with gravel stone as required</v>
      </c>
      <c r="C75" t="str">
        <v>Y</v>
      </c>
      <c r="I75" s="8">
        <f>H75*F75</f>
        <v>0</v>
      </c>
    </row>
    <row r="76" ht="14.25" customHeight="1">
      <c r="A76">
        <v>35</v>
      </c>
      <c r="B76" t="str">
        <v>Heel block footing excavation and spoil removal w/Offsite Disposal</v>
      </c>
      <c r="C76" t="str">
        <v>Y</v>
      </c>
      <c r="I76" s="8">
        <f>H76*F76</f>
        <v>0</v>
      </c>
    </row>
    <row r="77" ht="14.25" customHeight="1">
      <c r="A77">
        <v>36</v>
      </c>
      <c r="B77" t="str">
        <v xml:space="preserve">Excavation for Soldier Pile Removal &amp; Backfill w/Imported CR-6 material </v>
      </c>
      <c r="C77" t="str">
        <v>Y</v>
      </c>
      <c r="I77" s="8">
        <f>H77*F77</f>
        <v>0</v>
      </c>
    </row>
    <row r="78" ht="14.25" customHeight="1">
      <c r="A78">
        <v>37</v>
      </c>
      <c r="B78" t="str">
        <v>Remobilize and re-spread stockpiled topsoil to all areas indicated by Landscape dwgs to depths indicated</v>
      </c>
      <c r="C78" t="str">
        <v>Y</v>
      </c>
      <c r="I78" s="8">
        <f>H78*F78</f>
        <v>0</v>
      </c>
    </row>
    <row r="79" ht="14.25" customHeight="1">
      <c r="A79">
        <v>38</v>
      </c>
      <c r="B79" t="str">
        <v xml:space="preserve">     Removal of misc. man-made obstructions within excavation (tie-back anchors, unchartered foundations, etc</v>
      </c>
      <c r="C79" t="str">
        <v>Y</v>
      </c>
      <c r="I79" s="8">
        <f>H79*F79</f>
        <v>0</v>
      </c>
    </row>
    <row r="80" ht="14.25" customHeight="1">
      <c r="A80">
        <v>39</v>
      </c>
      <c r="B80" t="str">
        <v>[Removal and disposal of rubble fill in basement of demolished building; removal/ disposal of exisitng foundation walls, foundations and slab-on-grade]</v>
      </c>
      <c r="C80" t="str">
        <v>Y</v>
      </c>
      <c r="I80" s="8">
        <f>H80*F80</f>
        <v>0</v>
      </c>
    </row>
    <row r="81" ht="14.25" customHeight="1">
      <c r="A81">
        <v>40</v>
      </c>
      <c r="B81" t="str">
        <v>Removal of miscellaneous man-made obstructions within excavation (tie-back anchors, unchartered foundations, etc)</v>
      </c>
      <c r="C81" t="str">
        <v>Y</v>
      </c>
      <c r="I81" s="8">
        <f>H81*F81</f>
        <v>0</v>
      </c>
    </row>
    <row r="82" ht="14.25" customHeight="1">
      <c r="A82">
        <v>41</v>
      </c>
      <c r="B82" t="str">
        <v>Provide laybacks for excavations not against shoring systems at a [1:1.5] slope</v>
      </c>
      <c r="C82" t="str">
        <v>Y</v>
      </c>
      <c r="I82" s="8">
        <f>H82*F82</f>
        <v>0</v>
      </c>
    </row>
    <row r="83" ht="14.25" customHeight="1">
      <c r="A83">
        <v>42</v>
      </c>
      <c r="B83" t="str">
        <v>Ensure laybacks provided enable safe excavation of foundations by others</v>
      </c>
      <c r="C83" t="str">
        <v>Y</v>
      </c>
      <c r="I83" s="8">
        <f>H83*F83</f>
        <v>0</v>
      </c>
    </row>
    <row r="84" ht="14.25" customHeight="1">
      <c r="A84">
        <v>43</v>
      </c>
      <c r="B84" t="str">
        <v>Stockpiling of suitable excavated material on-site for use as backfill [if site conditions allow]</v>
      </c>
      <c r="C84" t="str">
        <v>Y</v>
      </c>
      <c r="I84" s="8">
        <f>H84*F84</f>
        <v>0</v>
      </c>
    </row>
    <row r="85" ht="14.25" customHeight="1">
      <c r="A85">
        <v>44</v>
      </c>
      <c r="B85" t="str">
        <v>Re-mobilize and backfill perimeter foundation walls after concrete has cured; use suitable imported fill [if unable to stockpile on-site]</v>
      </c>
      <c r="C85" t="str">
        <v>Y</v>
      </c>
      <c r="I85" s="8">
        <f>H85*F85</f>
        <v>0</v>
      </c>
    </row>
    <row r="86" ht="14.25" customHeight="1">
      <c r="A86">
        <v>45</v>
      </c>
      <c r="B86" t="str">
        <v>Backfill of garage ramp on grade after foundation walls have cured</v>
      </c>
      <c r="C86" t="str">
        <v>Y</v>
      </c>
      <c r="I86" s="8">
        <f>H86*F86</f>
        <v>0</v>
      </c>
    </row>
    <row r="87" ht="14.25" customHeight="1">
      <c r="A87">
        <v>46</v>
      </c>
      <c r="B87" t="str">
        <v>Provide &amp; maintain ramp into hole for use by all trades (conc, shoring, piles, etc)</v>
      </c>
      <c r="C87" t="str">
        <v>Y</v>
      </c>
      <c r="I87" s="8">
        <f>H87*F87</f>
        <v>0</v>
      </c>
    </row>
    <row r="88" ht="14.25" customHeight="1">
      <c r="A88">
        <v>47</v>
      </c>
      <c r="B88" t="str">
        <v>Remove and re-locate ramp as needed for sheeting &amp; shoring/lagging operation</v>
      </c>
      <c r="C88" t="str">
        <v>Y</v>
      </c>
      <c r="I88" s="8">
        <f>H88*F88</f>
        <v>0</v>
      </c>
    </row>
    <row r="89" ht="14.25" customHeight="1">
      <c r="A89">
        <v>48</v>
      </c>
      <c r="B89" t="str">
        <v>Refer to Sheeting and Shoring plan dated [XX/XX/XX] for coordination.  Include excavation around all internal, corner and crosslot bracing</v>
      </c>
      <c r="C89" t="str">
        <v>Y</v>
      </c>
      <c r="I89" s="8">
        <f>H89*F89</f>
        <v>0</v>
      </c>
    </row>
    <row r="90" ht="14.25" customHeight="1">
      <c r="A90">
        <v>49</v>
      </c>
      <c r="B90" t="str">
        <v>***Other excavation items??? Vaults, elevator pits, etc***</v>
      </c>
      <c r="C90" t="str">
        <v>Y</v>
      </c>
      <c r="I90" s="8">
        <f>H90*F90</f>
        <v>0</v>
      </c>
    </row>
    <row r="91" ht="14.25" customHeight="1">
      <c r="A91">
        <v>50</v>
      </c>
      <c r="B91" t="str">
        <v>Remobilize and excavate 4' to allow romoval of soldier beams and lagging by shoring contractor; include off-site disposal and backfill eith imprted CR-6</v>
      </c>
      <c r="C91" t="str">
        <v>Y</v>
      </c>
      <c r="I91" s="8">
        <f>H91*F91</f>
        <v>0</v>
      </c>
    </row>
    <row r="92" ht="14.25" customHeight="1">
      <c r="A92">
        <v>51</v>
      </c>
      <c r="B92" t="str">
        <v>Rough grading of site to within .2' of new contours indicated; include all [site cuts to fill, disposal of excess material and import of suitable material] as needed</v>
      </c>
      <c r="C92" t="str">
        <v>Y</v>
      </c>
      <c r="I92" s="8">
        <f>H92*F92</f>
        <v>0</v>
      </c>
    </row>
    <row r="93" ht="14.25" customHeight="1">
      <c r="A93">
        <v>52</v>
      </c>
      <c r="B93" t="str">
        <v>Remobilize for fine grading of paved areas to paving subgrade</v>
      </c>
      <c r="C93" t="str">
        <v>Y</v>
      </c>
      <c r="I93" s="8">
        <f>H93*F93</f>
        <v>0</v>
      </c>
    </row>
    <row r="94" ht="14.25" customHeight="1">
      <c r="A94">
        <v>53</v>
      </c>
      <c r="B94" t="str">
        <v>Excavation to subgrade for curb and gutter; backfill after curb and gutter is in place</v>
      </c>
      <c r="C94" t="str">
        <v>Y</v>
      </c>
      <c r="I94" s="8">
        <f>H94*F94</f>
        <v>0</v>
      </c>
    </row>
    <row r="95" ht="14.25" customHeight="1">
      <c r="A95">
        <v>54</v>
      </c>
      <c r="B95" t="str">
        <v xml:space="preserve"> </v>
      </c>
      <c r="C95" t="str">
        <v>Y</v>
      </c>
      <c r="I95" s="8">
        <f>H95*F95</f>
        <v>0</v>
      </c>
    </row>
    <row r="96" ht="14.25" customHeight="1">
      <c r="A96">
        <v>55</v>
      </c>
      <c r="B96" t="str">
        <v>Erosion Control</v>
      </c>
      <c r="C96" t="str">
        <v>Y</v>
      </c>
      <c r="I96" s="8">
        <f>H96*F96</f>
        <v>0</v>
      </c>
    </row>
    <row r="97" ht="14.25" customHeight="1">
      <c r="A97">
        <v>56</v>
      </c>
      <c r="B97" t="str">
        <v>Refer to Erosion Control plan and include all inlet protections, perimeter silt fence, super silt fence, sediment tank, etc.</v>
      </c>
      <c r="C97" t="str">
        <v>Y</v>
      </c>
      <c r="I97" s="8">
        <f>H97*F97</f>
        <v>0</v>
      </c>
    </row>
    <row r="98" ht="14.25" customHeight="1">
      <c r="A98">
        <v>57</v>
      </c>
      <c r="B98" t="str">
        <v>Include removal of erosion control devices</v>
      </c>
      <c r="C98" t="str">
        <v>Y</v>
      </c>
      <c r="I98" s="8">
        <f>H98*F98</f>
        <v>0</v>
      </c>
    </row>
    <row r="99" ht="14.25" customHeight="1">
      <c r="A99">
        <v>58</v>
      </c>
      <c r="B99" t="str">
        <v>Include maintenance of sediment tank, removal and disposal of silt</v>
      </c>
      <c r="C99" t="str">
        <v>Y</v>
      </c>
      <c r="I99" s="8">
        <f>H99*F99</f>
        <v>0</v>
      </c>
    </row>
    <row r="100" ht="14.25" customHeight="1">
      <c r="A100">
        <v>59</v>
      </c>
      <c r="B100" t="str">
        <v>Provide a Stabilized Construction Entrance</v>
      </c>
      <c r="C100" t="str">
        <v>Y</v>
      </c>
      <c r="I100" s="8">
        <f>H100*F100</f>
        <v>0</v>
      </c>
    </row>
    <row r="101" ht="14.25" customHeight="1">
      <c r="A101">
        <v>60</v>
      </c>
      <c r="B101" t="str">
        <v>Include truck washing station (water connection by MCN)</v>
      </c>
      <c r="C101" t="str">
        <v>Y</v>
      </c>
      <c r="I101" s="8">
        <f>H101*F101</f>
        <v>0</v>
      </c>
    </row>
    <row r="102" ht="14.25" customHeight="1">
      <c r="A102">
        <v>61</v>
      </c>
      <c r="C102" t="str">
        <v>Y</v>
      </c>
      <c r="I102" s="8">
        <f>H102*F102</f>
        <v>0</v>
      </c>
    </row>
    <row r="103" ht="14.25" customHeight="1">
      <c r="A103">
        <v>62</v>
      </c>
      <c r="B103" t="str">
        <v>STANDARD / GENERAL SCOPE</v>
      </c>
      <c r="C103" t="str">
        <v>Y</v>
      </c>
      <c r="I103" s="8">
        <f>H103*F103</f>
        <v>0</v>
      </c>
    </row>
    <row r="104" ht="14.25" customHeight="1">
      <c r="A104">
        <v>63</v>
      </c>
      <c r="B104" t="str">
        <v>Advise duration for mass excavation operation</v>
      </c>
      <c r="C104" t="str">
        <v>Y</v>
      </c>
      <c r="I104" s="8">
        <f>H104*F104</f>
        <v>0</v>
      </c>
    </row>
    <row r="105" ht="14.25" customHeight="1">
      <c r="A105">
        <v>64</v>
      </c>
      <c r="B105" t="str">
        <v>Pricing includes [classified/unclassified] excavation</v>
      </c>
      <c r="C105" t="str">
        <v>Y</v>
      </c>
      <c r="I105" s="8">
        <f>H105*F105</f>
        <v>0</v>
      </c>
    </row>
    <row r="106" ht="14.25" customHeight="1">
      <c r="A106">
        <v>65</v>
      </c>
      <c r="B106" t="str">
        <v>Include rock excavation and Blasting Plan</v>
      </c>
      <c r="C106" t="str">
        <v>Y</v>
      </c>
      <c r="I106" s="8">
        <f>H106*F106</f>
        <v>0</v>
      </c>
    </row>
    <row r="107" ht="14.25" customHeight="1">
      <c r="A107">
        <v>66</v>
      </c>
      <c r="B107" t="str">
        <v>Include identification, removal and disposal of contaminated soils</v>
      </c>
      <c r="C107" t="str">
        <v>Y</v>
      </c>
      <c r="I107" s="8">
        <f>H107*F107</f>
        <v>0</v>
      </c>
    </row>
    <row r="108" ht="14.25" customHeight="1">
      <c r="A108">
        <v>67</v>
      </c>
      <c r="B108" t="str">
        <v>Include traffic control, barricades, signs, trained flagmetn, etc for your work</v>
      </c>
      <c r="C108" t="str">
        <v>Y</v>
      </c>
      <c r="I108" s="8">
        <f>H108*F108</f>
        <v>0</v>
      </c>
    </row>
    <row r="109" ht="14.25" customHeight="1">
      <c r="A109">
        <v>68</v>
      </c>
      <c r="B109" t="str">
        <v>Include all street cleaning required during excavation operation</v>
      </c>
      <c r="C109" t="str">
        <v>Y</v>
      </c>
      <c r="I109" s="8">
        <f>H109*F109</f>
        <v>0</v>
      </c>
    </row>
    <row r="110" ht="14.25" customHeight="1">
      <c r="A110">
        <v>69</v>
      </c>
      <c r="B110" t="str">
        <v>Include dewatering operations for all perched water and rain water for your work</v>
      </c>
      <c r="C110" t="str">
        <v>Y</v>
      </c>
      <c r="I110" s="8">
        <f>H110*F110</f>
        <v>0</v>
      </c>
    </row>
    <row r="111" ht="14.25" customHeight="1">
      <c r="A111">
        <v>70</v>
      </c>
      <c r="B111" t="str">
        <v>Include all hauling, trucking and dump fees</v>
      </c>
      <c r="C111" t="str">
        <v>Y</v>
      </c>
      <c r="I111" s="8">
        <f>H111*F111</f>
        <v>0</v>
      </c>
    </row>
    <row r="112" ht="14.25" customHeight="1">
      <c r="A112">
        <v>71</v>
      </c>
      <c r="B112" t="str">
        <v>Removal &amp; disposal of spoils for other trades to include augered piles, utility work, building/site concrete foundations/pits, elevator jack hole, heel blocks, etc.</v>
      </c>
      <c r="C112" t="str">
        <v>Y</v>
      </c>
      <c r="I112" s="8">
        <f>H112*F112</f>
        <v>0</v>
      </c>
    </row>
    <row r="113" ht="14.25" customHeight="1">
      <c r="A113">
        <v>72</v>
      </c>
      <c r="B113" t="str">
        <v>Provide an adequate bench (40' minimum) for tieback drilling rig</v>
      </c>
      <c r="C113" t="str">
        <v>Y</v>
      </c>
      <c r="I113" s="8">
        <f>H113*F113</f>
        <v>0</v>
      </c>
    </row>
    <row r="114" ht="14.25" customHeight="1">
      <c r="A114">
        <v>73</v>
      </c>
      <c r="B114" t="str">
        <v>Include all mobilizations required for non-sequential and phased work of this scope</v>
      </c>
      <c r="C114" t="str">
        <v>Y</v>
      </c>
      <c r="I114" s="8">
        <f>H114*F114</f>
        <v>0</v>
      </c>
    </row>
    <row r="115" ht="14.25" customHeight="1">
      <c r="A115">
        <v>74</v>
      </c>
      <c r="B115" t="str">
        <v>Hand excavation as required</v>
      </c>
      <c r="C115" t="str">
        <v>Y</v>
      </c>
      <c r="I115" s="8">
        <f>H115*F115</f>
        <v>0</v>
      </c>
    </row>
    <row r="116" ht="14.25" customHeight="1">
      <c r="A116">
        <v>75</v>
      </c>
      <c r="B116" t="str">
        <v>Provide all equipment, material, labor, tools, supervision, etc.</v>
      </c>
      <c r="C116" t="str">
        <v>Y</v>
      </c>
      <c r="I116" s="8">
        <f>H116*F116</f>
        <v>0</v>
      </c>
    </row>
    <row r="117" ht="14.25" customHeight="1">
      <c r="A117">
        <v>76</v>
      </c>
      <c r="B117" t="str">
        <v>Cooperate with Owner's Soil Testing Agency</v>
      </c>
      <c r="C117" t="str">
        <v>Y</v>
      </c>
      <c r="I117" s="8">
        <f>H117*F117</f>
        <v>0</v>
      </c>
    </row>
    <row r="118" ht="14.25" customHeight="1">
      <c r="I118" s="8">
        <f>H118*F118</f>
        <v>0</v>
      </c>
    </row>
    <row r="119" ht="14.25" customHeight="1">
      <c r="A119" t="str">
        <v>C</v>
      </c>
      <c r="B119" t="str">
        <v>Exclusions</v>
      </c>
    </row>
    <row r="120" ht="14.25" customHeight="1">
      <c r="A120">
        <v>1</v>
      </c>
      <c r="B120" t="str">
        <v>Structural excavation/backfill of concrete footings and elevator pits</v>
      </c>
      <c r="C120" t="str">
        <v>N</v>
      </c>
    </row>
    <row r="121" ht="14.25" customHeight="1">
      <c r="A121">
        <f>A120+1</f>
        <v>2</v>
      </c>
      <c r="B121" t="str">
        <v>Engineering, surveying and cut sheets</v>
      </c>
      <c r="C121" t="str">
        <v>N</v>
      </c>
    </row>
    <row r="122" ht="14.25" customHeight="1">
      <c r="A122">
        <f>A121+1</f>
        <v>3</v>
      </c>
      <c r="B122" t="str">
        <v>Ground water dewatering</v>
      </c>
      <c r="C122" t="str">
        <v>N</v>
      </c>
    </row>
    <row r="123" ht="14.25" customHeight="1">
      <c r="A123">
        <f>A122+1</f>
        <v>4</v>
      </c>
      <c r="B123" t="str">
        <v>Temporary fence</v>
      </c>
      <c r="C123" t="str">
        <v>N</v>
      </c>
    </row>
    <row r="124" ht="14.25" customHeight="1">
      <c r="A124">
        <f>A123+1</f>
        <v>5</v>
      </c>
      <c r="B124" t="str">
        <v>Aggregate subbase for paving and slab on grade</v>
      </c>
      <c r="C124" t="str">
        <v>N</v>
      </c>
    </row>
    <row r="125" ht="14.25" customHeight="1">
      <c r="A125">
        <f>A124+1</f>
        <v>6</v>
      </c>
      <c r="B125" t="str">
        <v>HAZ MAT remediation</v>
      </c>
      <c r="C125" t="str">
        <v>N</v>
      </c>
    </row>
    <row r="126" ht="14.25" customHeight="1"/>
    <row r="127" ht="14.25" customHeight="1">
      <c r="A127" t="str">
        <v>D</v>
      </c>
      <c r="B127" t="str">
        <v>Schedule</v>
      </c>
    </row>
    <row r="128" ht="14.25" customHeight="1">
      <c r="A128">
        <v>1</v>
      </c>
      <c r="B128" t="str">
        <v>Meet MCN Schedule</v>
      </c>
      <c r="C128" t="str">
        <v>Y</v>
      </c>
    </row>
    <row r="129" ht="14.25" customHeight="1">
      <c r="A129">
        <f>A128+1</f>
        <v>2</v>
      </c>
      <c r="B129" t="str">
        <v>Advise of Durations</v>
      </c>
    </row>
    <row r="130" ht="14.25" customHeight="1">
      <c r="A130">
        <f>A129+1</f>
        <v>3</v>
      </c>
      <c r="B130" t="str">
        <v>Activity 1</v>
      </c>
      <c r="C130" t="str">
        <v>---&gt;</v>
      </c>
    </row>
    <row r="131" ht="14.25" customHeight="1">
      <c r="A131">
        <f>A130+1</f>
        <v>4</v>
      </c>
      <c r="B131" t="str">
        <v>Activity 2</v>
      </c>
      <c r="C131" t="str">
        <v>---&gt;</v>
      </c>
    </row>
    <row r="132" ht="14.25" customHeight="1">
      <c r="A132">
        <f>A131+1</f>
        <v>5</v>
      </c>
      <c r="B132" t="str">
        <v>Activity 3</v>
      </c>
      <c r="C132" t="str">
        <v>---&gt;</v>
      </c>
    </row>
    <row r="133" ht="14.25" customHeight="1">
      <c r="A133">
        <f>A132+1</f>
        <v>6</v>
      </c>
      <c r="B133" t="str">
        <v>Duration for Submittals and Shop Drawings</v>
      </c>
      <c r="C133" t="str">
        <v>---&gt;</v>
      </c>
    </row>
    <row r="134" ht="14.25" customHeight="1">
      <c r="A134">
        <f>A133+1</f>
        <v>7</v>
      </c>
      <c r="B134" t="str">
        <v>Advise of Lead Times:</v>
      </c>
    </row>
    <row r="135" ht="14.25" customHeight="1">
      <c r="A135">
        <f>A134+1</f>
        <v>8</v>
      </c>
      <c r="B135" t="str">
        <v>Material 1</v>
      </c>
      <c r="C135" t="str">
        <v>---&gt;</v>
      </c>
    </row>
    <row r="136" ht="14.25" customHeight="1">
      <c r="A136">
        <f>A135+1</f>
        <v>9</v>
      </c>
      <c r="B136" t="str">
        <v>Material 2</v>
      </c>
      <c r="C136" t="str">
        <v>---&gt;</v>
      </c>
    </row>
    <row r="137" ht="14.25" customHeight="1">
      <c r="A137">
        <f>A136+1</f>
        <v>10</v>
      </c>
      <c r="B137" t="str">
        <v>Material 3</v>
      </c>
      <c r="C137" t="str">
        <v>---&gt;</v>
      </c>
    </row>
    <row r="138" ht="14.25" customHeight="1"/>
    <row r="139" ht="14.25" customHeight="1"/>
    <row r="140" ht="14.25" customHeight="1">
      <c r="B140" t="str">
        <v>Allowances</v>
      </c>
    </row>
    <row r="141" ht="14.25" customHeight="1">
      <c r="A141">
        <v>1</v>
      </c>
    </row>
    <row r="142" ht="14.25" customHeight="1">
      <c r="A142">
        <f>A141+1</f>
        <v>2</v>
      </c>
    </row>
    <row r="143" ht="14.25" customHeight="1">
      <c r="A143">
        <f>A142+1</f>
        <v>3</v>
      </c>
    </row>
    <row r="144" ht="14.25" customHeight="1">
      <c r="A144">
        <f>A143+1</f>
        <v>4</v>
      </c>
    </row>
    <row r="145" ht="14.25" customHeight="1"/>
    <row r="146" ht="14.25" customHeight="1"/>
    <row r="147" ht="14.25" customHeight="1">
      <c r="B147" t="str">
        <v>Alternates</v>
      </c>
    </row>
    <row r="148" ht="14.25" customHeight="1">
      <c r="A148">
        <v>1</v>
      </c>
      <c r="C148" t="str">
        <v>#</v>
      </c>
    </row>
    <row r="149" ht="14.25" customHeight="1">
      <c r="A149">
        <f>A148+1</f>
        <v>2</v>
      </c>
      <c r="C149" t="str">
        <v>#</v>
      </c>
    </row>
    <row r="150" ht="14.25" customHeight="1">
      <c r="A150">
        <f>A149+1</f>
        <v>3</v>
      </c>
      <c r="C150" t="str">
        <v>#</v>
      </c>
    </row>
    <row r="151" ht="14.25" customHeight="1">
      <c r="A151">
        <f>A150+1</f>
        <v>4</v>
      </c>
      <c r="C151" t="str">
        <v>#</v>
      </c>
    </row>
    <row r="152" ht="14.25" customHeight="1">
      <c r="C152" t="str">
        <v>#</v>
      </c>
    </row>
    <row r="153" ht="14.25" customHeight="1">
      <c r="B153" t="str">
        <v>Unit Prices</v>
      </c>
    </row>
    <row r="154" ht="14.25" customHeight="1">
      <c r="A154">
        <v>1</v>
      </c>
      <c r="B154" t="str">
        <v>Foundation excavation - solid rock</v>
      </c>
      <c r="C154" t="str">
        <v>#</v>
      </c>
      <c r="D154" t="str">
        <v xml:space="preserve"> per CY </v>
      </c>
    </row>
    <row r="155" ht="14.25" customHeight="1">
      <c r="A155">
        <v>2</v>
      </c>
      <c r="B155" t="str">
        <v>Foundation excavation - disintegrated rock</v>
      </c>
      <c r="C155" t="str">
        <v>#</v>
      </c>
      <c r="D155" t="str">
        <v xml:space="preserve"> per CY </v>
      </c>
    </row>
    <row r="156" ht="14.25" customHeight="1">
      <c r="A156">
        <v>3</v>
      </c>
      <c r="B156" t="str">
        <v>Trench excavation - solid rock</v>
      </c>
      <c r="C156" t="str">
        <v>#</v>
      </c>
      <c r="D156" t="str">
        <v xml:space="preserve"> per CY </v>
      </c>
    </row>
    <row r="157" ht="14.25" customHeight="1">
      <c r="A157">
        <v>4</v>
      </c>
      <c r="B157" t="str">
        <v>Trench excavation - disintegrated rock</v>
      </c>
      <c r="C157" t="str">
        <v>#</v>
      </c>
      <c r="D157" t="str">
        <v xml:space="preserve"> per CY </v>
      </c>
    </row>
    <row r="158" ht="14.25" customHeight="1">
      <c r="A158">
        <v>5</v>
      </c>
      <c r="B158" t="str">
        <v>Import suitable fill material</v>
      </c>
      <c r="C158" t="str">
        <v>#</v>
      </c>
      <c r="D158" t="str">
        <v xml:space="preserve"> per CY </v>
      </c>
    </row>
    <row r="159" ht="14.25" customHeight="1">
      <c r="A159">
        <v>6</v>
      </c>
      <c r="B159" t="str">
        <v>Undercut and dispose of unsuitable material</v>
      </c>
      <c r="C159" t="str">
        <v>#</v>
      </c>
      <c r="D159" t="str">
        <v xml:space="preserve"> per CY </v>
      </c>
    </row>
    <row r="160" ht="14.25" customHeight="1">
      <c r="A160">
        <v>7</v>
      </c>
      <c r="B160" t="str">
        <v>Spoil removal for other trades</v>
      </c>
      <c r="C160" t="str">
        <v>#</v>
      </c>
      <c r="D160" t="str">
        <v xml:space="preserve"> per CY </v>
      </c>
    </row>
    <row r="161" ht="14.25" customHeight="1">
      <c r="A161">
        <v>8</v>
      </c>
      <c r="B161" t="str">
        <v>Handling and off-site disposal of contaminated material</v>
      </c>
      <c r="C161" t="str">
        <v>#</v>
      </c>
      <c r="D161" t="str">
        <v xml:space="preserve"> per ton </v>
      </c>
    </row>
    <row r="162" ht="14.25" customHeight="1">
      <c r="A162">
        <v>9</v>
      </c>
      <c r="B162" t="str">
        <v>Mass rock excavation and off-site disposal - drilling and blasting</v>
      </c>
      <c r="C162" t="str">
        <v>#</v>
      </c>
      <c r="D162" t="str">
        <v xml:space="preserve"> per CY </v>
      </c>
    </row>
    <row r="163" ht="14.25" customHeight="1">
      <c r="A163">
        <v>10</v>
      </c>
      <c r="B163" t="str">
        <v>Mass rock excavation and off-site disposal - hoe ram</v>
      </c>
      <c r="C163" t="str">
        <v>#</v>
      </c>
      <c r="D163" t="str">
        <v xml:space="preserve"> per CY </v>
      </c>
    </row>
    <row r="164" ht="14.25" customHeight="1">
      <c r="A164">
        <v>11</v>
      </c>
      <c r="B164" t="str">
        <v>Place and compact structural fill using on-site material</v>
      </c>
      <c r="C164" t="str">
        <v>#</v>
      </c>
      <c r="D164" t="str">
        <v xml:space="preserve"> per CY </v>
      </c>
    </row>
    <row r="165" ht="14.25" customHeight="1">
      <c r="A165">
        <v>12</v>
      </c>
      <c r="B165" t="str">
        <v>Place and compact structural fill using imported material</v>
      </c>
      <c r="C165" t="str">
        <v>#</v>
      </c>
      <c r="D165" t="str">
        <v xml:space="preserve"> per CY </v>
      </c>
    </row>
    <row r="166" ht="14.25" customHeight="1">
      <c r="A166">
        <v>13</v>
      </c>
      <c r="B166" t="str">
        <v>Provide and place graded stone size 57</v>
      </c>
      <c r="C166" t="str">
        <v>#</v>
      </c>
      <c r="D166" t="str">
        <v xml:space="preserve"> per ton </v>
      </c>
    </row>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38.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Ruston</v>
      </c>
      <c r="N1" t="str">
        <v>Metro Paving</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Max McManus</v>
      </c>
      <c r="N2" t="str">
        <v>Christian Cordova</v>
      </c>
      <c r="Q2" t="str">
        <v>Name</v>
      </c>
      <c r="T2" t="str">
        <v>Name</v>
      </c>
      <c r="W2" t="str">
        <v>Name</v>
      </c>
      <c r="Z2" t="str">
        <v>Name</v>
      </c>
      <c r="AC2" t="str">
        <v>Name</v>
      </c>
      <c r="AH2" t="str">
        <v>MCN</v>
      </c>
      <c r="AM2" s="8">
        <f>I9</f>
        <v>0</v>
      </c>
    </row>
    <row r="3" ht="14.25" customHeight="1" outlineLevel="1">
      <c r="I3" t="str">
        <v>Email:</v>
      </c>
      <c r="K3" t="str">
        <v>max.mcmanus@rustonpaving.com</v>
      </c>
      <c r="N3" t="str">
        <v>Email</v>
      </c>
      <c r="Q3" t="str">
        <v>Email</v>
      </c>
      <c r="T3" t="str">
        <v>Email</v>
      </c>
      <c r="W3" t="str">
        <v>Email</v>
      </c>
      <c r="Z3" t="str">
        <v>Email</v>
      </c>
      <c r="AC3" t="str">
        <v>Email</v>
      </c>
      <c r="AH3">
        <v>1</v>
      </c>
      <c r="AI3" t="str">
        <f>IFNA(INDEX($K$1:$AE$1,1,MATCH($AH3,$K$10:$AE$10,0)),"")</f>
        <v>Metro Paving</v>
      </c>
      <c r="AJ3" s="3" t="str">
        <f t="array" ref="AJ3">IFNA(INDEX($K$6:$AE$6,1,MATCH($AH3,$K$10:$AE$10,0)+1),"")</f>
        <v/>
      </c>
      <c r="AK3" s="3">
        <f t="array" ref="AK3">IFNA(INDEX($K$7:$AE$7,1,MATCH($AH3,$K$10:$AE$10,0)+1),"")</f>
        <v>338765</v>
      </c>
      <c r="AL3" s="3">
        <f t="array" ref="AL3">IFNA(INDEX($K$8:$AE$8,1,MATCH($AH3,$K$10:$AE$10,0)+1),"")</f>
        <v>6775.3</v>
      </c>
      <c r="AM3" s="3">
        <f t="array" ref="AM3">IFNA(INDEX($K$9:$AE$9,1,MATCH($AH3,$K$10:$AE$10,0)+1),"")</f>
        <v>345540.3</v>
      </c>
      <c r="AO3" s="9">
        <f>IFERROR(AN3*AM3,0)</f>
        <v>0</v>
      </c>
    </row>
    <row r="4" ht="14.25" customHeight="1" outlineLevel="1">
      <c r="A4" t="str">
        <v>Trade:</v>
      </c>
      <c r="B4" t="str">
        <v>32 - ASPHALT</v>
      </c>
      <c r="I4" t="str">
        <v>Phone:</v>
      </c>
      <c r="K4" t="str">
        <v xml:space="preserve">540-216-9677 </v>
      </c>
      <c r="N4" t="str">
        <v>Number</v>
      </c>
      <c r="Q4" t="str">
        <v>Number</v>
      </c>
      <c r="T4" t="str">
        <v>Number</v>
      </c>
      <c r="W4" t="str">
        <v>Number</v>
      </c>
      <c r="Z4" t="str">
        <v>Number</v>
      </c>
      <c r="AC4" t="str">
        <v>Number</v>
      </c>
      <c r="AH4">
        <v>2</v>
      </c>
      <c r="AI4" t="str">
        <f>IFNA(INDEX($K$1:$AE$1,1,MATCH($AH4,$K$10:$AE$10,0)),"")</f>
        <v>Ruston</v>
      </c>
      <c r="AJ4" s="3">
        <f t="array" ref="AJ4">IFNA(INDEX($K$6:$AE$6,1,MATCH($AH4,$K$10:$AE$10,0)+1),"")</f>
        <v>244380</v>
      </c>
      <c r="AK4" s="3">
        <f t="array" ref="AK4">IFNA(INDEX($K$7:$AE$7,1,MATCH($AH4,$K$10:$AE$10,0)+1),"")</f>
        <v>102547.5</v>
      </c>
      <c r="AL4" s="3">
        <f t="array" ref="AL4">IFNA(INDEX($K$8:$AE$8,1,MATCH($AH4,$K$10:$AE$10,0)+1),"")</f>
        <v>6938.55</v>
      </c>
      <c r="AM4" s="3">
        <f t="array" ref="AM4">IFNA(INDEX($K$9:$AE$9,1,MATCH($AH4,$K$10:$AE$10,0)+1),"")</f>
        <v>353866.05</v>
      </c>
      <c r="AO4" s="9">
        <f>IFERROR(AN4*AM4,0)</f>
        <v>0</v>
      </c>
    </row>
    <row r="5" ht="14.25" customHeight="1" outlineLevel="1">
      <c r="A5" t="str">
        <v>Rev/Date:</v>
      </c>
      <c r="B5" t="str">
        <v>Date Issued 01-27-2026</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244380</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Safi Khan</v>
      </c>
      <c r="C7" t="str">
        <v>Contact:</v>
      </c>
      <c r="G7" s="8" t="str">
        <v>| MCN Budget</v>
      </c>
      <c r="I7" s="8">
        <f>SUM(I20:I99,I13:I18)</f>
        <v>0</v>
      </c>
      <c r="K7" t="str">
        <v>Adjustments:</v>
      </c>
      <c r="L7" s="4">
        <f>SUM(L13:L18,L20:L99)</f>
        <v>102547.5</v>
      </c>
      <c r="N7" t="str">
        <v>Adjustments:</v>
      </c>
      <c r="O7" s="4">
        <f>SUM(O13:O18,O20:O99)</f>
        <v>338765</v>
      </c>
      <c r="Q7" t="str">
        <v>Adjustments:</v>
      </c>
      <c r="R7" s="4">
        <f>SUM(R13:R18,R20:R99)</f>
        <v>0</v>
      </c>
      <c r="T7" t="str">
        <v>Adjustments:</v>
      </c>
      <c r="U7" s="4">
        <f>SUM(U13:U18,U20:U99)</f>
        <v>0</v>
      </c>
      <c r="W7" t="str">
        <v>Adjustments:</v>
      </c>
      <c r="X7" s="4">
        <f>SUM(X13:X18,X20:X99)</f>
        <v>0</v>
      </c>
      <c r="Z7" t="str">
        <v>Adjustments:</v>
      </c>
      <c r="AA7" s="4">
        <f>SUM(AA13:AA18,AA20:AA99)</f>
        <v>0</v>
      </c>
      <c r="AC7" t="str">
        <v>Adjustments:</v>
      </c>
      <c r="AD7" s="4">
        <f>SUM(AD13:AD18,AD20:AD99)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safi.khan@mcnbuild.com</v>
      </c>
      <c r="C8" t="str">
        <v>Email:</v>
      </c>
      <c r="F8" s="10">
        <v>0.02</v>
      </c>
      <c r="G8" s="8" t="str">
        <v>| Bond</v>
      </c>
      <c r="I8" s="8">
        <f>F8*I7</f>
        <v>0</v>
      </c>
      <c r="J8" s="10">
        <v>0.02</v>
      </c>
      <c r="K8" t="str">
        <v>Bond:</v>
      </c>
      <c r="L8" s="4">
        <f>J8*SUM(L6:L7)</f>
        <v>6938.55</v>
      </c>
      <c r="M8" s="10">
        <v>0.02</v>
      </c>
      <c r="N8" t="str">
        <v>Bond:</v>
      </c>
      <c r="O8" s="4">
        <f>M8*SUM(O6:O7)</f>
        <v>6775.3</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202-674-5842</v>
      </c>
      <c r="C9" t="str">
        <v>Phone:</v>
      </c>
      <c r="G9" t="str">
        <v>-----</v>
      </c>
      <c r="H9" s="8" t="str">
        <v xml:space="preserve">  --------&gt;</v>
      </c>
      <c r="I9" s="8">
        <f>SUM(I7:I8)</f>
        <v>0</v>
      </c>
      <c r="K9" t="str">
        <v>Total Bid:</v>
      </c>
      <c r="L9" s="4">
        <f>IF(L5="FULL SCOPE",SUM(L6:L8),"not level")</f>
        <v>353866.05</v>
      </c>
      <c r="N9" t="str">
        <v>Total Bid:</v>
      </c>
      <c r="O9" s="4">
        <f>IF(O5="FULL SCOPE",SUM(O6:O8),"not level")</f>
        <v>345540.3</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244380</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New Asphalt full depth</v>
      </c>
      <c r="C22" t="str">
        <v>#</v>
      </c>
      <c r="D22" t="str">
        <v>$</v>
      </c>
      <c r="I22" s="8">
        <f>H22*F22</f>
        <v>0</v>
      </c>
      <c r="O22" s="8">
        <v>222995</v>
      </c>
    </row>
    <row r="23" ht="14.25" customHeight="1">
      <c r="A23">
        <f>A22+1</f>
        <v>5</v>
      </c>
      <c r="B23" t="str">
        <v>New Asphalt Surface Course</v>
      </c>
      <c r="C23" t="str">
        <v>#</v>
      </c>
      <c r="D23" t="str">
        <v>$</v>
      </c>
      <c r="O23" s="8">
        <v>15120</v>
      </c>
    </row>
    <row r="24" ht="14.25" customHeight="1">
      <c r="A24">
        <f>A23+1</f>
        <v>6</v>
      </c>
      <c r="B24" t="str">
        <v>Marking &amp; Striping</v>
      </c>
      <c r="C24" t="str">
        <v>#</v>
      </c>
      <c r="D24" t="str">
        <v>$</v>
      </c>
      <c r="I24" s="8">
        <f>H24*F24</f>
        <v>0</v>
      </c>
      <c r="J24" t="str">
        <v>N</v>
      </c>
      <c r="K24" t="str">
        <v>MCN P</v>
      </c>
      <c r="L24" s="8">
        <v>60000</v>
      </c>
      <c r="M24" t="str">
        <v>N</v>
      </c>
      <c r="N24" t="str">
        <v>MCN P</v>
      </c>
      <c r="O24" s="8">
        <v>60000</v>
      </c>
    </row>
    <row r="25" ht="14.25" customHeight="1">
      <c r="A25">
        <f>A24+1</f>
        <v>7</v>
      </c>
      <c r="B25" t="str">
        <v>Signage</v>
      </c>
      <c r="C25" t="str">
        <v>#</v>
      </c>
      <c r="D25" t="str">
        <v>$</v>
      </c>
      <c r="I25" s="8">
        <f>H25*F25</f>
        <v>0</v>
      </c>
      <c r="J25" t="str">
        <v>N</v>
      </c>
      <c r="K25" t="str">
        <v>MCN P</v>
      </c>
      <c r="L25" s="8">
        <v>28000</v>
      </c>
      <c r="M25" t="str">
        <v>N</v>
      </c>
      <c r="N25" t="str">
        <v>MCN P</v>
      </c>
      <c r="O25" s="8">
        <v>28000</v>
      </c>
    </row>
    <row r="26" ht="14.25" customHeight="1">
      <c r="A26">
        <f>A25+1</f>
        <v>8</v>
      </c>
      <c r="B26" t="str">
        <v>S Street Utility Cut Restoration</v>
      </c>
      <c r="I26" s="8">
        <f>H26*F26</f>
        <v>0</v>
      </c>
      <c r="J26" t="str">
        <v>P</v>
      </c>
      <c r="L26" s="8">
        <f>1.15*12650</f>
        <v>14547.5</v>
      </c>
      <c r="O26" s="8">
        <v>12650</v>
      </c>
    </row>
    <row r="27" ht="14.25" customHeight="1">
      <c r="A27">
        <f>A26+1</f>
        <v>9</v>
      </c>
      <c r="B27" t="str">
        <v>Key Quantity Breakdown</v>
      </c>
      <c r="I27" s="8">
        <f>H27*F27</f>
        <v>0</v>
      </c>
    </row>
    <row r="28" ht="14.25" customHeight="1">
      <c r="A28">
        <f>A27+1</f>
        <v>10</v>
      </c>
      <c r="B28" t="str">
        <v>Asphalt full depth</v>
      </c>
      <c r="C28" t="str">
        <v>#</v>
      </c>
      <c r="D28" t="str">
        <v>CY</v>
      </c>
      <c r="I28" s="8">
        <f>H28*F28</f>
        <v>0</v>
      </c>
    </row>
    <row r="29" ht="14.25" customHeight="1">
      <c r="A29">
        <f>A28+1</f>
        <v>11</v>
      </c>
      <c r="B29" t="str">
        <v>New Asphalt Surface Course</v>
      </c>
      <c r="C29" t="str">
        <v>#</v>
      </c>
      <c r="D29" t="str">
        <v>CY</v>
      </c>
      <c r="I29" s="8">
        <f>H29*F29</f>
        <v>0</v>
      </c>
    </row>
    <row r="30" ht="14.25" customHeight="1">
      <c r="I30" s="8">
        <f>H30*F30</f>
        <v>0</v>
      </c>
    </row>
    <row r="31" ht="14.25" customHeight="1">
      <c r="B31" t="str">
        <v>Section 3 - Scope of Work</v>
      </c>
    </row>
    <row r="32" ht="14.25" customHeight="1">
      <c r="B32" t="str">
        <v>Furnish and Install All Items UON</v>
      </c>
      <c r="C32" t="str">
        <v>Y</v>
      </c>
    </row>
    <row r="33" ht="14.25" customHeight="1">
      <c r="A33" t="str">
        <v>A</v>
      </c>
      <c r="B33" t="str">
        <v>Specifications</v>
      </c>
    </row>
    <row r="34" ht="14.25" customHeight="1">
      <c r="B34" t="str">
        <v>Division 01 - General Requirements</v>
      </c>
      <c r="C34" t="str">
        <v>Y</v>
      </c>
    </row>
    <row r="35" ht="14.25" customHeight="1">
      <c r="B35" t="str">
        <v>07 92 00 - Joint Sealants (as applies to this Bid Package)</v>
      </c>
      <c r="C35" t="str">
        <v>Y</v>
      </c>
    </row>
    <row r="36" ht="14.25" customHeight="1">
      <c r="B36" t="str">
        <v xml:space="preserve">07 18 00 - Traffic Coating </v>
      </c>
      <c r="C36" t="str">
        <v>Y</v>
      </c>
    </row>
    <row r="37" ht="14.25" customHeight="1">
      <c r="B37" t="str">
        <v>32 12 16 - Asphalt Paving</v>
      </c>
      <c r="C37" t="str">
        <v>Y</v>
      </c>
    </row>
    <row r="38" ht="14.25" customHeight="1">
      <c r="A38" t="str">
        <v>B</v>
      </c>
      <c r="B38" t="str">
        <v>Inclusions</v>
      </c>
    </row>
    <row r="39" ht="14.25" customHeight="1">
      <c r="A39">
        <v>1</v>
      </c>
      <c r="B39" t="str">
        <v>SPECIFIC SCOPE ITEMS</v>
      </c>
      <c r="C39" t="str">
        <v>Y</v>
      </c>
      <c r="I39" s="8">
        <f>H39*F39</f>
        <v>0</v>
      </c>
    </row>
    <row r="40" ht="14.25" customHeight="1">
      <c r="A40">
        <f>A39+1</f>
        <v>2</v>
      </c>
      <c r="B40" t="str">
        <v>Asphalt Paving</v>
      </c>
      <c r="C40" t="str">
        <v>Y</v>
      </c>
    </row>
    <row r="41" ht="14.25" customHeight="1">
      <c r="A41">
        <f>A40+1</f>
        <v>3</v>
      </c>
      <c r="B41" t="str">
        <v>New Asphalt Pavement - Full depth, including stone base material per detail on CIV0105</v>
      </c>
      <c r="C41" t="str">
        <v>Y</v>
      </c>
    </row>
    <row r="42" ht="14.25" customHeight="1">
      <c r="A42">
        <f>A41+1</f>
        <v>4</v>
      </c>
      <c r="B42" t="str">
        <v>F&amp;I asphalt paving per specs and typical pavement section</v>
      </c>
      <c r="C42" t="str">
        <v>Y</v>
      </c>
    </row>
    <row r="43" ht="14.25" customHeight="1">
      <c r="A43">
        <f>A42+1</f>
        <v>5</v>
      </c>
      <c r="B43" t="str">
        <v>F&amp;I Fine grading from subgrade (subgrade provided to Subcontractor at +/-.2 net 0)</v>
      </c>
      <c r="C43" t="str">
        <v>Y</v>
      </c>
    </row>
    <row r="44" ht="14.25" customHeight="1">
      <c r="A44">
        <f>A43+1</f>
        <v>6</v>
      </c>
      <c r="B44" t="str">
        <v>Furnish proof rolling of subgrade per specifications</v>
      </c>
      <c r="C44" t="str">
        <v>Y</v>
      </c>
    </row>
    <row r="45" ht="14.25" customHeight="1">
      <c r="A45">
        <f>A44+1</f>
        <v>7</v>
      </c>
      <c r="B45" t="str">
        <v>Furnish disposal of loose/waste asphalt off site</v>
      </c>
      <c r="C45" t="str">
        <v>Y</v>
      </c>
    </row>
    <row r="46" ht="14.25" customHeight="1">
      <c r="A46">
        <f>A45+1</f>
        <v>8</v>
      </c>
      <c r="B46" t="str">
        <v>Broom sweep asphalt prior to installing surface pavement</v>
      </c>
      <c r="C46" t="str">
        <v>Y</v>
      </c>
    </row>
    <row r="47" ht="14.25" customHeight="1">
      <c r="A47">
        <f>A46+1</f>
        <v>9</v>
      </c>
      <c r="B47" t="str">
        <v>Furnish saw cutting of existing pavement to provide a clean edge for tie of new</v>
      </c>
      <c r="C47" t="str">
        <v>Y</v>
      </c>
    </row>
    <row r="48" ht="14.25" customHeight="1">
      <c r="A48">
        <f>A47+1</f>
        <v>10</v>
      </c>
      <c r="B48" t="str">
        <v>F&amp;I all Stone Base as required for your work</v>
      </c>
      <c r="C48" t="str">
        <v>Y</v>
      </c>
    </row>
    <row r="49" ht="14.25" customHeight="1">
      <c r="A49">
        <f>A48+1</f>
        <v>11</v>
      </c>
      <c r="B49" t="str">
        <v>F&amp;I tack coats per Construction Documents</v>
      </c>
      <c r="C49" t="str">
        <v>Y</v>
      </c>
    </row>
    <row r="50" ht="14.25" customHeight="1">
      <c r="A50">
        <f>A49+1</f>
        <v>12</v>
      </c>
      <c r="B50" t="str">
        <v>F&amp;I all ties to existing asphalt</v>
      </c>
      <c r="C50" t="str">
        <v>Y</v>
      </c>
    </row>
    <row r="51" ht="14.25" customHeight="1">
      <c r="A51">
        <f>A50+1</f>
        <v>13</v>
      </c>
      <c r="B51" t="str">
        <v>Furnish street sweeping and flushing for daily cleanup as associated with your work</v>
      </c>
      <c r="C51" t="str">
        <v>Y</v>
      </c>
    </row>
    <row r="52" ht="14.25" customHeight="1">
      <c r="A52">
        <f>A51+1</f>
        <v>14</v>
      </c>
      <c r="B52" t="str">
        <v>F&amp;I Slope/Swale asphalt paving as necessary to provide proper drainage</v>
      </c>
      <c r="C52" t="str">
        <v>Y</v>
      </c>
    </row>
    <row r="53" ht="14.25" customHeight="1">
      <c r="A53">
        <f>A52+1</f>
        <v>15</v>
      </c>
      <c r="B53" t="str">
        <v>Take all the necessary precautionary measures at the zones of careful demolition and construction</v>
      </c>
      <c r="C53" t="str">
        <v>Y</v>
      </c>
    </row>
    <row r="54" ht="14.25" customHeight="1">
      <c r="A54">
        <f>A53+1</f>
        <v>16</v>
      </c>
      <c r="C54" t="str">
        <v>Y</v>
      </c>
    </row>
    <row r="55" ht="14.25" customHeight="1">
      <c r="A55">
        <f>A54+1</f>
        <v>17</v>
      </c>
      <c r="B55" t="str">
        <v>Striping and Signage:</v>
      </c>
      <c r="C55" t="str">
        <v>Y</v>
      </c>
    </row>
    <row r="56" ht="14.25" customHeight="1">
      <c r="A56">
        <f>A55+1</f>
        <v>18</v>
      </c>
      <c r="B56" t="str">
        <v>Provide new striping as indicated on civil drawings</v>
      </c>
      <c r="C56" t="str">
        <v>Y</v>
      </c>
    </row>
    <row r="57" ht="14.25" customHeight="1">
      <c r="A57">
        <f>A56+1</f>
        <v>19</v>
      </c>
      <c r="B57" t="str">
        <v>- Fire lane markings at adjacent curb area (as req), per plans and specifications</v>
      </c>
      <c r="C57" t="str">
        <v>Y</v>
      </c>
    </row>
    <row r="58" ht="14.25" customHeight="1">
      <c r="A58">
        <f>A57+1</f>
        <v>20</v>
      </c>
      <c r="B58" t="str">
        <v xml:space="preserve">- Parking </v>
      </c>
      <c r="C58" t="str">
        <v>Y</v>
      </c>
    </row>
    <row r="59" ht="14.25" customHeight="1">
      <c r="A59">
        <f>A58+1</f>
        <v>21</v>
      </c>
      <c r="B59" t="str">
        <v>- Handicap Parking Striping</v>
      </c>
      <c r="C59" t="str">
        <v>Y</v>
      </c>
    </row>
    <row r="60" ht="14.25" customHeight="1">
      <c r="A60">
        <f>A59+1</f>
        <v>22</v>
      </c>
      <c r="B60" t="str">
        <v>Existing striping can be covered with black paint - where applicable</v>
      </c>
      <c r="C60" t="str">
        <v>Y</v>
      </c>
    </row>
    <row r="61" ht="14.25" customHeight="1">
      <c r="A61">
        <f>A60+1</f>
        <v>23</v>
      </c>
      <c r="B61" t="str">
        <v>Provide parking signage inclusive of excavation, spoil removal, foundation, post, and signage</v>
      </c>
      <c r="C61" t="str">
        <v>Y</v>
      </c>
    </row>
    <row r="62" ht="14.25" customHeight="1">
      <c r="A62">
        <f>A61+1</f>
        <v>24</v>
      </c>
      <c r="B62" t="str">
        <v>Parking signage as typically required</v>
      </c>
      <c r="C62" t="str">
        <v>Y</v>
      </c>
    </row>
    <row r="63" ht="14.25" customHeight="1">
      <c r="A63">
        <f>A62+1</f>
        <v>25</v>
      </c>
      <c r="B63" t="str">
        <v>Mounting of signage.</v>
      </c>
      <c r="C63" t="str">
        <v>Y</v>
      </c>
    </row>
    <row r="64" ht="14.25" customHeight="1">
      <c r="A64">
        <f>A63+1</f>
        <v>26</v>
      </c>
      <c r="B64" t="str">
        <v>Number of post mounted signs included</v>
      </c>
      <c r="C64" t="str">
        <v>Y</v>
      </c>
    </row>
    <row r="65" ht="14.25" customHeight="1">
      <c r="A65">
        <f>A64+1</f>
        <v>27</v>
      </c>
      <c r="B65" t="str">
        <v>Number of surface mounted signs included</v>
      </c>
      <c r="C65" t="str">
        <v>Y</v>
      </c>
    </row>
    <row r="66" ht="14.25" customHeight="1">
      <c r="A66">
        <f>A65+1</f>
        <v>28</v>
      </c>
      <c r="C66" t="str">
        <v>Y</v>
      </c>
      <c r="I66" s="8">
        <f>H66*F66</f>
        <v>0</v>
      </c>
    </row>
    <row r="67" ht="14.25" customHeight="1">
      <c r="A67">
        <f>A66+1</f>
        <v>29</v>
      </c>
      <c r="B67" t="str">
        <v>STANDARD / GENERAL SCOPE</v>
      </c>
      <c r="C67" t="str">
        <v>Y</v>
      </c>
      <c r="I67" s="8">
        <f>H67*F67</f>
        <v>0</v>
      </c>
    </row>
    <row r="68" ht="14.25" customHeight="1">
      <c r="A68">
        <f>A67+1</f>
        <v>30</v>
      </c>
      <c r="B68" t="str">
        <v>Furnish traffic control and flagman for trucks entering and leaving the site for your work</v>
      </c>
      <c r="C68" t="str">
        <v>Y</v>
      </c>
    </row>
    <row r="69" ht="14.25" customHeight="1">
      <c r="A69">
        <f>A68+1</f>
        <v>31</v>
      </c>
      <c r="B69" t="str">
        <v>Stockpiling of excess spoils in a locations specified by the Contractor. Spoil removal is by the earthwork subcontractor</v>
      </c>
      <c r="C69" t="str">
        <v>Y</v>
      </c>
    </row>
    <row r="70" ht="14.25" customHeight="1">
      <c r="A70">
        <f>A69+1</f>
        <v>32</v>
      </c>
      <c r="B70" t="str">
        <v>Quantiy of spoils to be hauled by Others</v>
      </c>
      <c r="C70" t="str">
        <v>Y</v>
      </c>
    </row>
    <row r="71" ht="14.25" customHeight="1">
      <c r="A71">
        <f>A70+1</f>
        <v>33</v>
      </c>
      <c r="B71" t="str">
        <v>Fine grading for the Work from within +/- 0.2’ of design subgrade including stockpiling of any shortfall/excess material at a location onsite specified by the Contractor. Excavation to subgrade is by the earthwork subcontractor. Additional excavation for drainage piping, curbing, field product, etc. for the Work of this Subcontractor is the responsibility of this Subcontractor</v>
      </c>
      <c r="C71" t="str">
        <v>Y</v>
      </c>
    </row>
    <row r="72" ht="14.25" customHeight="1">
      <c r="A72">
        <f>A71+1</f>
        <v>34</v>
      </c>
      <c r="B72" t="str">
        <v>Furnish Daily Clean-up and hauling of debris to GC provided Dumpster.</v>
      </c>
      <c r="C72" t="str">
        <v>Y</v>
      </c>
      <c r="I72" s="8">
        <f>H72*F72</f>
        <v>0</v>
      </c>
    </row>
    <row r="73" ht="14.25" customHeight="1">
      <c r="A73">
        <f>A72+1</f>
        <v>35</v>
      </c>
      <c r="B73" t="str">
        <v>Furnish Shop Drawings, Product Data and Submittals</v>
      </c>
      <c r="C73" t="str">
        <v>Y</v>
      </c>
      <c r="I73" s="8">
        <f>H73*F73</f>
        <v>0</v>
      </c>
    </row>
    <row r="74" ht="14.25" customHeight="1">
      <c r="I74" s="8">
        <f>H74*F74</f>
        <v>0</v>
      </c>
    </row>
    <row r="75" ht="14.25" customHeight="1">
      <c r="A75" t="str">
        <v>C</v>
      </c>
      <c r="B75" t="str">
        <v>Exclusions</v>
      </c>
    </row>
    <row r="76" ht="14.25" customHeight="1">
      <c r="A76">
        <v>1</v>
      </c>
      <c r="B76" t="str">
        <v>F&amp;I curbs and gutters (By Site Concrete Subcontractor)</v>
      </c>
      <c r="C76" t="str">
        <v>N</v>
      </c>
      <c r="I76" s="8">
        <f>H76*F76</f>
        <v>0</v>
      </c>
    </row>
    <row r="77" ht="14.25" customHeight="1">
      <c r="A77">
        <f>A76+1</f>
        <v>2</v>
      </c>
      <c r="B77" t="str">
        <v>Furnish demo and hauling of existing curbs and pavement (By Earthwork Subcontractor)</v>
      </c>
      <c r="C77" t="str">
        <v>N</v>
      </c>
      <c r="I77" s="8">
        <f>H77*F77</f>
        <v>0</v>
      </c>
    </row>
    <row r="78" ht="14.25" customHeight="1">
      <c r="A78">
        <f>A77+1</f>
        <v>3</v>
      </c>
      <c r="C78" t="str">
        <v>N</v>
      </c>
    </row>
    <row r="79" ht="14.25" customHeight="1">
      <c r="A79">
        <f>A78+1</f>
        <v>4</v>
      </c>
      <c r="C79" t="str">
        <v>N</v>
      </c>
    </row>
    <row r="80" ht="14.25" customHeight="1"/>
    <row r="81" ht="14.25" customHeight="1">
      <c r="A81" t="str">
        <v>D</v>
      </c>
      <c r="B81" t="str">
        <v>Schedule</v>
      </c>
    </row>
    <row r="82" ht="14.25" customHeight="1">
      <c r="A82">
        <v>1</v>
      </c>
      <c r="B82" t="str">
        <v>Meet MCN Schedule</v>
      </c>
      <c r="C82" t="str">
        <v>Y</v>
      </c>
    </row>
    <row r="83" ht="14.25" customHeight="1">
      <c r="A83">
        <f>A82+1</f>
        <v>2</v>
      </c>
      <c r="B83" t="str">
        <v>Advise of Durations</v>
      </c>
    </row>
    <row r="84" ht="14.25" customHeight="1">
      <c r="A84">
        <f>A83+1</f>
        <v>3</v>
      </c>
      <c r="B84" t="str">
        <v>Asphalt full depth</v>
      </c>
      <c r="C84" t="str">
        <v>---&gt;</v>
      </c>
    </row>
    <row r="85" ht="14.25" customHeight="1">
      <c r="A85">
        <f>A84+1</f>
        <v>4</v>
      </c>
      <c r="B85" t="str">
        <v>Marking &amp; Striping</v>
      </c>
      <c r="C85" t="str">
        <v>---&gt;</v>
      </c>
    </row>
    <row r="86" ht="14.25" customHeight="1">
      <c r="A86">
        <f>A85+1</f>
        <v>5</v>
      </c>
      <c r="B86" t="str">
        <v>Signage</v>
      </c>
      <c r="C86" t="str">
        <v>---&gt;</v>
      </c>
    </row>
    <row r="87" ht="14.25" customHeight="1">
      <c r="A87">
        <f>A86+1</f>
        <v>6</v>
      </c>
      <c r="B87" t="str">
        <v>Duration for Submittals and Shop Drawings</v>
      </c>
      <c r="C87" t="str">
        <v>---&gt;</v>
      </c>
    </row>
    <row r="88" ht="14.25" customHeight="1">
      <c r="A88">
        <f>A87+1</f>
        <v>7</v>
      </c>
      <c r="B88" t="str">
        <v>Advise of Lead Times:</v>
      </c>
    </row>
    <row r="89" ht="14.25" customHeight="1">
      <c r="A89">
        <f>A88+1</f>
        <v>8</v>
      </c>
      <c r="B89" t="str">
        <v>Asphalt full depth</v>
      </c>
      <c r="C89" t="str">
        <v>---&gt;</v>
      </c>
    </row>
    <row r="90" ht="14.25" customHeight="1">
      <c r="A90">
        <f>A89+1</f>
        <v>9</v>
      </c>
      <c r="B90" t="str">
        <v>Marking &amp; Striping</v>
      </c>
      <c r="C90" t="str">
        <v>---&gt;</v>
      </c>
    </row>
    <row r="91" ht="14.25" customHeight="1">
      <c r="A91">
        <f>A90+1</f>
        <v>10</v>
      </c>
      <c r="B91" t="str">
        <v>Signage</v>
      </c>
      <c r="C91" t="str">
        <v>---&gt;</v>
      </c>
    </row>
    <row r="92" ht="14.25" customHeight="1"/>
    <row r="93" ht="14.25" customHeight="1"/>
    <row r="94" hidden="1" ht="14.25" customHeight="1">
      <c r="B94" t="str">
        <v>Allowances</v>
      </c>
    </row>
    <row r="95" hidden="1" ht="14.25" customHeight="1">
      <c r="A95">
        <v>1</v>
      </c>
    </row>
    <row r="96" hidden="1" ht="14.25" customHeight="1">
      <c r="A96">
        <f>A95+1</f>
        <v>2</v>
      </c>
    </row>
    <row r="97" hidden="1" ht="14.25" customHeight="1">
      <c r="A97">
        <f>A96+1</f>
        <v>3</v>
      </c>
    </row>
    <row r="98" hidden="1" ht="14.25" customHeight="1">
      <c r="A98">
        <f>A97+1</f>
        <v>4</v>
      </c>
    </row>
    <row r="99" hidden="1" ht="14.25" customHeight="1"/>
    <row r="100" hidden="1" ht="14.25" customHeight="1"/>
    <row r="101" ht="14.25" customHeight="1">
      <c r="B101" t="str">
        <v>Alternates</v>
      </c>
    </row>
    <row r="102" ht="14.25" customHeight="1">
      <c r="A102">
        <v>1</v>
      </c>
      <c r="C102" t="str">
        <v>#</v>
      </c>
    </row>
    <row r="103" ht="14.25" customHeight="1">
      <c r="A103">
        <f>A102+1</f>
        <v>2</v>
      </c>
      <c r="C103" t="str">
        <v>#</v>
      </c>
    </row>
    <row r="104" ht="14.25" customHeight="1">
      <c r="A104">
        <f>A103+1</f>
        <v>3</v>
      </c>
      <c r="C104" t="str">
        <v>#</v>
      </c>
    </row>
    <row r="105" ht="14.25" customHeight="1">
      <c r="A105">
        <f>A104+1</f>
        <v>4</v>
      </c>
      <c r="C105" t="str">
        <v>#</v>
      </c>
    </row>
    <row r="106" ht="14.25" customHeight="1">
      <c r="C106" t="str">
        <v>#</v>
      </c>
    </row>
    <row r="107" ht="14.25" customHeight="1">
      <c r="B107" t="str">
        <v>Unit Prices</v>
      </c>
    </row>
    <row r="108" ht="14.25" customHeight="1">
      <c r="A108">
        <v>1</v>
      </c>
      <c r="C108" t="str">
        <v>#</v>
      </c>
    </row>
    <row r="109" ht="14.25" customHeight="1">
      <c r="A109">
        <f>A108+1</f>
        <v>2</v>
      </c>
      <c r="C109" t="str">
        <v>#</v>
      </c>
    </row>
    <row r="110" ht="14.25" customHeight="1">
      <c r="A110">
        <f>A109+1</f>
        <v>3</v>
      </c>
      <c r="C110" t="str">
        <v>#</v>
      </c>
    </row>
    <row r="111" ht="14.25" customHeight="1">
      <c r="A111">
        <f>A110+1</f>
        <v>4</v>
      </c>
      <c r="C111" t="str">
        <v>#</v>
      </c>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B8" r:id="rId2"/>
  </hyperlinks>
  <pageMargins left="0.7" right="0.7" top="0.25" bottom="0.75" header="0" footer="0"/>
  <ignoredErrors>
    <ignoredError numberStoredAsText="1" sqref="A1:AO1000"/>
  </ignoredErrors>
</worksheet>
</file>

<file path=xl/worksheets/sheet3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AMA Construciton</v>
      </c>
      <c r="N1" t="str">
        <v>Alcoa</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Justin Alexandre</v>
      </c>
      <c r="N2" t="str">
        <v>Rahi</v>
      </c>
      <c r="Q2" t="str">
        <v>Name</v>
      </c>
      <c r="T2" t="str">
        <v>Name</v>
      </c>
      <c r="W2" t="str">
        <v>Name</v>
      </c>
      <c r="Z2" t="str">
        <v>Name</v>
      </c>
      <c r="AC2" t="str">
        <v>Name</v>
      </c>
      <c r="AH2" t="str">
        <v>MCN</v>
      </c>
      <c r="AM2" s="8">
        <f>I9</f>
        <v>0</v>
      </c>
    </row>
    <row r="3" ht="14.25" customHeight="1" outlineLevel="1">
      <c r="I3" t="str">
        <v>Email:</v>
      </c>
      <c r="K3" t="str">
        <v>justin@amaconstruction.net</v>
      </c>
      <c r="N3" t="str">
        <v>Email</v>
      </c>
      <c r="Q3" t="str">
        <v>Email</v>
      </c>
      <c r="T3" t="str">
        <v>Email</v>
      </c>
      <c r="W3" t="str">
        <v>Email</v>
      </c>
      <c r="Z3" t="str">
        <v>Email</v>
      </c>
      <c r="AC3" t="str">
        <v>Email</v>
      </c>
      <c r="AH3">
        <v>1</v>
      </c>
      <c r="AI3" t="str">
        <f>IFNA(INDEX($K$1:$AE$1,1,MATCH($AH3,$K$10:$AE$10,0)),"")</f>
        <v>Alcoa</v>
      </c>
      <c r="AJ3" s="3">
        <f t="array" ref="AJ3">IFNA(INDEX($K$6:$AE$6,1,MATCH($AH3,$K$10:$AE$10,0)+1),"")</f>
        <v>215760.75</v>
      </c>
      <c r="AK3" s="3">
        <f t="array" ref="AK3">IFNA(INDEX($K$7:$AE$7,1,MATCH($AH3,$K$10:$AE$10,0)+1),"")</f>
        <v>1800</v>
      </c>
      <c r="AL3" s="3">
        <f t="array" ref="AL3">IFNA(INDEX($K$8:$AE$8,1,MATCH($AH3,$K$10:$AE$10,0)+1),"")</f>
        <v>4351.215</v>
      </c>
      <c r="AM3" s="3">
        <f t="array" ref="AM3">IFNA(INDEX($K$9:$AE$9,1,MATCH($AH3,$K$10:$AE$10,0)+1),"")</f>
        <v>221911.965</v>
      </c>
      <c r="AO3" s="9">
        <f>IFERROR(AN3*AM3,0)</f>
        <v>0</v>
      </c>
    </row>
    <row r="4" ht="14.25" customHeight="1" outlineLevel="1">
      <c r="A4" t="str">
        <v>Trade:</v>
      </c>
      <c r="B4" t="str">
        <v>32 - SITE CONCRETE</v>
      </c>
      <c r="I4" t="str">
        <v>Phone:</v>
      </c>
      <c r="K4" t="str">
        <v>202-439-1007</v>
      </c>
      <c r="N4" t="str">
        <v>Number</v>
      </c>
      <c r="Q4" t="str">
        <v>Number</v>
      </c>
      <c r="T4" t="str">
        <v>Number</v>
      </c>
      <c r="W4" t="str">
        <v>Number</v>
      </c>
      <c r="Z4" t="str">
        <v>Number</v>
      </c>
      <c r="AC4" t="str">
        <v>Number</v>
      </c>
      <c r="AH4">
        <v>2</v>
      </c>
      <c r="AI4" t="str">
        <f>IFNA(INDEX($K$1:$AE$1,1,MATCH($AH4,$K$10:$AE$10,0)),"")</f>
        <v>AMA Construciton</v>
      </c>
      <c r="AJ4" s="3">
        <f t="array" ref="AJ4">IFNA(INDEX($K$6:$AE$6,1,MATCH($AH4,$K$10:$AE$10,0)+1),"")</f>
        <v>299600</v>
      </c>
      <c r="AK4" s="3">
        <f t="array" ref="AK4">IFNA(INDEX($K$7:$AE$7,1,MATCH($AH4,$K$10:$AE$10,0)+1),"")</f>
        <v>0</v>
      </c>
      <c r="AL4" s="3">
        <f t="array" ref="AL4">IFNA(INDEX($K$8:$AE$8,1,MATCH($AH4,$K$10:$AE$10,0)+1),"")</f>
        <v>5992</v>
      </c>
      <c r="AM4" s="3">
        <f t="array" ref="AM4">IFNA(INDEX($K$9:$AE$9,1,MATCH($AH4,$K$10:$AE$10,0)+1),"")</f>
        <v>305592</v>
      </c>
      <c r="AO4" s="9">
        <f>IFERROR(AN4*AM4,0)</f>
        <v>0</v>
      </c>
    </row>
    <row r="5" ht="14.25" customHeight="1" outlineLevel="1">
      <c r="A5" t="str">
        <v>Rev/Date:</v>
      </c>
      <c r="B5" t="str">
        <v>Date Issued 01-27-2026</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299600</v>
      </c>
      <c r="N6" t="str">
        <v>Base Bid:</v>
      </c>
      <c r="O6" s="4">
        <v>215760.75</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Safi Khan</v>
      </c>
      <c r="C7" t="str">
        <v>Contact:</v>
      </c>
      <c r="G7" s="8" t="str">
        <v>| MCN Budget</v>
      </c>
      <c r="I7" s="8">
        <f>SUM(I20:I102,I13:I18)</f>
        <v>0</v>
      </c>
      <c r="K7" t="str">
        <v>Adjustments:</v>
      </c>
      <c r="L7" s="4">
        <f>SUM(L13:L18,L20:L102)</f>
        <v>0</v>
      </c>
      <c r="N7" t="str">
        <v>Adjustments:</v>
      </c>
      <c r="O7" s="4">
        <f>SUM(O13:O18,O20:O102)</f>
        <v>1800</v>
      </c>
      <c r="Q7" t="str">
        <v>Adjustments:</v>
      </c>
      <c r="R7" s="4">
        <f>SUM(R13:R18,R20:R102)</f>
        <v>0</v>
      </c>
      <c r="T7" t="str">
        <v>Adjustments:</v>
      </c>
      <c r="U7" s="4">
        <f>SUM(U13:U18,U20:U102)</f>
        <v>0</v>
      </c>
      <c r="W7" t="str">
        <v>Adjustments:</v>
      </c>
      <c r="X7" s="4">
        <f>SUM(X13:X18,X20:X102)</f>
        <v>0</v>
      </c>
      <c r="Z7" t="str">
        <v>Adjustments:</v>
      </c>
      <c r="AA7" s="4">
        <f>SUM(AA13:AA18,AA20:AA102)</f>
        <v>0</v>
      </c>
      <c r="AC7" t="str">
        <v>Adjustments:</v>
      </c>
      <c r="AD7" s="4">
        <f>SUM(AD13:AD18,AD20:AD102)</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safi.khan@mcnbuild.com</v>
      </c>
      <c r="C8" t="str">
        <v>Email:</v>
      </c>
      <c r="F8" s="10">
        <v>0.02</v>
      </c>
      <c r="G8" s="8" t="str">
        <v>| Bond</v>
      </c>
      <c r="I8" s="8">
        <f>F8*I7</f>
        <v>0</v>
      </c>
      <c r="J8" s="10">
        <v>0.02</v>
      </c>
      <c r="K8" t="str">
        <v>Bond:</v>
      </c>
      <c r="L8" s="4">
        <f>J8*SUM(L6:L7)</f>
        <v>5992</v>
      </c>
      <c r="M8" s="10">
        <v>0.02</v>
      </c>
      <c r="N8" t="str">
        <v>Bond:</v>
      </c>
      <c r="O8" s="4">
        <f>M8*SUM(O6:O7)</f>
        <v>4351.215</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202-674-5842</v>
      </c>
      <c r="C9" t="str">
        <v>Phone:</v>
      </c>
      <c r="G9" t="str">
        <v>-----</v>
      </c>
      <c r="H9" s="8" t="str">
        <v xml:space="preserve">  --------&gt;</v>
      </c>
      <c r="I9" s="8">
        <f>SUM(I7:I8)</f>
        <v>0</v>
      </c>
      <c r="K9" t="str">
        <v>Total Bid:</v>
      </c>
      <c r="L9" s="4">
        <f>IF(L5="FULL SCOPE",SUM(L6:L8),"not level")</f>
        <v>305592</v>
      </c>
      <c r="N9" t="str">
        <v>Total Bid:</v>
      </c>
      <c r="O9" s="4">
        <f>IF(O5="FULL SCOPE",SUM(O6:O8),"not level")</f>
        <v>221911.965</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299600</v>
      </c>
      <c r="O19" s="8">
        <f>O6</f>
        <v>215760.75</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Flatwork and hardscape</v>
      </c>
      <c r="C22" t="str">
        <v>#</v>
      </c>
      <c r="D22" t="str">
        <v>$</v>
      </c>
      <c r="I22" s="8">
        <f>H22*F22</f>
        <v>0</v>
      </c>
    </row>
    <row r="23" ht="14.25" customHeight="1">
      <c r="A23">
        <f>A22+1</f>
        <v>5</v>
      </c>
      <c r="B23" t="str">
        <v>Curb &amp; Gutter</v>
      </c>
      <c r="C23" t="str">
        <v>#</v>
      </c>
      <c r="D23" t="str">
        <v>$</v>
      </c>
      <c r="I23" s="8">
        <f>H23*F23</f>
        <v>0</v>
      </c>
    </row>
    <row r="24" ht="14.25" customHeight="1">
      <c r="A24">
        <f>A23+1</f>
        <v>6</v>
      </c>
      <c r="B24" t="str">
        <v>Remaining concrete work</v>
      </c>
      <c r="C24" t="str">
        <v>#</v>
      </c>
      <c r="D24" t="str">
        <v>$</v>
      </c>
      <c r="I24" s="8">
        <f>H24*F24</f>
        <v>0</v>
      </c>
    </row>
    <row r="25" ht="14.25" customHeight="1">
      <c r="A25">
        <f>A24+1</f>
        <v>7</v>
      </c>
      <c r="I25" s="8">
        <f>H25*F25</f>
        <v>0</v>
      </c>
    </row>
    <row r="26" ht="14.25" customHeight="1">
      <c r="A26">
        <f>A25+1</f>
        <v>8</v>
      </c>
      <c r="B26" t="str">
        <v>Key Quantity Breakdown</v>
      </c>
      <c r="I26" s="8">
        <f>H26*F26</f>
        <v>0</v>
      </c>
    </row>
    <row r="27" ht="14.25" customHeight="1">
      <c r="A27">
        <f>A26+1</f>
        <v>9</v>
      </c>
      <c r="B27" t="str">
        <v>Flatwork and hardscape</v>
      </c>
      <c r="C27" t="str">
        <v>#</v>
      </c>
      <c r="D27" t="str">
        <v>CY</v>
      </c>
      <c r="I27" s="8">
        <f>H27*F27</f>
        <v>0</v>
      </c>
    </row>
    <row r="28" ht="14.25" customHeight="1">
      <c r="A28">
        <f>A27+1</f>
        <v>10</v>
      </c>
      <c r="B28" t="str">
        <v>All curbs</v>
      </c>
      <c r="C28" t="str">
        <v>#</v>
      </c>
      <c r="D28" t="str">
        <v>LF</v>
      </c>
      <c r="I28" s="8">
        <f>H28*F28</f>
        <v>0</v>
      </c>
    </row>
    <row r="29" ht="14.25" customHeight="1">
      <c r="A29">
        <f>A28+1</f>
        <v>11</v>
      </c>
      <c r="B29" t="str">
        <v>Spoils to be removed by others</v>
      </c>
      <c r="C29" t="str">
        <v>#</v>
      </c>
      <c r="D29" t="str">
        <v>CY</v>
      </c>
      <c r="I29" s="8">
        <f>H29*F29</f>
        <v>0</v>
      </c>
    </row>
    <row r="30" ht="14.25" customHeight="1">
      <c r="I30" s="8">
        <f>H30*F30</f>
        <v>0</v>
      </c>
    </row>
    <row r="31" ht="14.25" customHeight="1">
      <c r="B31" t="str">
        <v>Section 3 - Scope of Work</v>
      </c>
    </row>
    <row r="32" ht="14.25" customHeight="1">
      <c r="B32" t="str">
        <v>Furnish and Install All Items UON</v>
      </c>
      <c r="C32" t="str">
        <v>Y</v>
      </c>
      <c r="J32" t="str">
        <v>Y</v>
      </c>
      <c r="M32" t="str">
        <v>Y</v>
      </c>
    </row>
    <row r="33" ht="14.25" customHeight="1">
      <c r="A33" t="str">
        <v>A</v>
      </c>
      <c r="B33" t="str">
        <v>Specifications</v>
      </c>
    </row>
    <row r="34" ht="14.25" customHeight="1">
      <c r="B34" t="str">
        <v>Division 01 - General Requirements</v>
      </c>
      <c r="C34" t="str">
        <v>Y</v>
      </c>
      <c r="J34" t="str">
        <v>Y</v>
      </c>
      <c r="M34" t="str">
        <v>Y</v>
      </c>
    </row>
    <row r="35" ht="14.25" customHeight="1">
      <c r="B35" t="str">
        <v>03 00 00 - Cast-In-Place Concrete (as Applies to this package)</v>
      </c>
      <c r="C35" t="str">
        <v>Y</v>
      </c>
      <c r="J35" t="str">
        <v>Y</v>
      </c>
      <c r="M35" t="str">
        <v>Y</v>
      </c>
    </row>
    <row r="36" ht="14.25" customHeight="1">
      <c r="B36" t="str">
        <v>32 13 14 - Concrete Paving</v>
      </c>
      <c r="C36" t="str">
        <v>Y</v>
      </c>
      <c r="J36" t="str">
        <v>Y</v>
      </c>
      <c r="M36" t="str">
        <v>Y</v>
      </c>
    </row>
    <row r="37" ht="14.25" customHeight="1">
      <c r="A37" t="str">
        <v>B</v>
      </c>
      <c r="B37" t="str">
        <v>Inclusions</v>
      </c>
    </row>
    <row r="38" ht="14.25" customHeight="1">
      <c r="A38">
        <v>1</v>
      </c>
      <c r="B38" t="str">
        <v>SPECIFIC SCOPE ITEMS</v>
      </c>
      <c r="C38" t="str">
        <v>Y</v>
      </c>
      <c r="I38" s="8">
        <f>H38*F38</f>
        <v>0</v>
      </c>
      <c r="J38" t="str">
        <v>Y</v>
      </c>
      <c r="M38" t="str">
        <v>Y</v>
      </c>
    </row>
    <row r="39" ht="14.25" customHeight="1">
      <c r="A39">
        <f>A38+1</f>
        <v>2</v>
      </c>
      <c r="B39" t="str">
        <v>Assure to take extra precautions demolition around the historic tree areas.</v>
      </c>
      <c r="C39" t="str">
        <v>Y</v>
      </c>
      <c r="J39" t="str">
        <v>Y</v>
      </c>
      <c r="M39" t="str">
        <v>Y</v>
      </c>
    </row>
    <row r="40" ht="14.25" customHeight="1">
      <c r="A40">
        <f>A39+1</f>
        <v>3</v>
      </c>
      <c r="B40" t="str">
        <v>Provide all the flatwork and hardscape in thickness and slopes indicated; including but not limited to:</v>
      </c>
      <c r="C40" t="str">
        <v>Y</v>
      </c>
      <c r="J40" t="str">
        <v>Y</v>
      </c>
      <c r="M40" t="str">
        <v>Y</v>
      </c>
    </row>
    <row r="41" ht="14.25" customHeight="1">
      <c r="A41">
        <f>A40+1</f>
        <v>4</v>
      </c>
      <c r="B41" t="str">
        <v>- Install bick rack (supply by others)</v>
      </c>
      <c r="C41" t="str">
        <v>Y</v>
      </c>
      <c r="J41" t="str">
        <v>Y</v>
      </c>
      <c r="M41" t="str">
        <v>Y</v>
      </c>
    </row>
    <row r="42" ht="14.25" customHeight="1">
      <c r="A42">
        <f>A41+1</f>
        <v>5</v>
      </c>
      <c r="B42" t="str">
        <v>- Stone base for the Work</v>
      </c>
      <c r="C42" t="str">
        <v>Y</v>
      </c>
      <c r="J42" t="str">
        <v>Y</v>
      </c>
      <c r="M42" t="str">
        <v>Y</v>
      </c>
    </row>
    <row r="43" ht="14.25" customHeight="1">
      <c r="A43">
        <f>A42+1</f>
        <v>6</v>
      </c>
      <c r="B43" t="str">
        <v>- Sidewalk/Conc pavement</v>
      </c>
      <c r="C43" t="str">
        <v>Y</v>
      </c>
      <c r="J43" t="str">
        <v>Y</v>
      </c>
      <c r="M43" t="str">
        <v>Y</v>
      </c>
    </row>
    <row r="44" ht="14.25" customHeight="1">
      <c r="A44">
        <f>A43+1</f>
        <v>7</v>
      </c>
      <c r="B44" t="str">
        <v>- Pool Deck</v>
      </c>
      <c r="C44" t="str">
        <v>Y</v>
      </c>
      <c r="J44" t="str">
        <v>Y</v>
      </c>
      <c r="M44" t="str">
        <v>Y</v>
      </c>
    </row>
    <row r="45" ht="14.25" customHeight="1">
      <c r="A45">
        <f>A44+1</f>
        <v>8</v>
      </c>
      <c r="B45" t="str">
        <v>- Apron</v>
      </c>
      <c r="C45" t="str">
        <v>Y</v>
      </c>
      <c r="J45" t="str">
        <v>Y</v>
      </c>
      <c r="M45" t="str">
        <v>Y</v>
      </c>
    </row>
    <row r="46" ht="14.25" customHeight="1">
      <c r="A46">
        <f>A45+1</f>
        <v>9</v>
      </c>
      <c r="B46" t="str">
        <v>- Alley Entrance</v>
      </c>
      <c r="C46" t="str">
        <v>Y</v>
      </c>
      <c r="J46" t="str">
        <v>Y</v>
      </c>
      <c r="M46" t="str">
        <v>Y</v>
      </c>
    </row>
    <row r="47" ht="14.25" customHeight="1">
      <c r="A47">
        <f>A46+1</f>
        <v>10</v>
      </c>
      <c r="B47" t="str">
        <v>- Vehicular pavement</v>
      </c>
      <c r="C47" t="str">
        <v>Y</v>
      </c>
      <c r="J47" t="str">
        <v>Y</v>
      </c>
      <c r="M47" t="str">
        <v>Y</v>
      </c>
    </row>
    <row r="48" ht="14.25" customHeight="1">
      <c r="A48">
        <f>A47+1</f>
        <v>11</v>
      </c>
      <c r="B48" t="str">
        <v>- Handicap Ramp</v>
      </c>
      <c r="C48" t="str">
        <v>Y</v>
      </c>
      <c r="J48" t="str">
        <v>Y</v>
      </c>
      <c r="M48" t="str">
        <v>Y</v>
      </c>
    </row>
    <row r="49" ht="14.25" customHeight="1">
      <c r="A49">
        <f>A48+1</f>
        <v>12</v>
      </c>
      <c r="B49" t="str">
        <v>- Transformer Pad</v>
      </c>
      <c r="C49" t="str">
        <v>Y</v>
      </c>
      <c r="J49" t="str">
        <v>Y</v>
      </c>
      <c r="K49" t="str">
        <v>no detail, assumed 8" thick</v>
      </c>
      <c r="M49" t="str">
        <v>Y</v>
      </c>
    </row>
    <row r="50" ht="14.25" customHeight="1">
      <c r="A50">
        <f>A49+1</f>
        <v>13</v>
      </c>
      <c r="B50" t="str">
        <v>- Curb and Gutter</v>
      </c>
      <c r="C50" t="str">
        <v>Y</v>
      </c>
      <c r="J50" t="str">
        <v>Y</v>
      </c>
      <c r="M50" t="str">
        <v>Y</v>
      </c>
    </row>
    <row r="51" ht="14.25" customHeight="1">
      <c r="A51">
        <f>A50+1</f>
        <v>14</v>
      </c>
      <c r="B51" t="str">
        <v>- Curb Ramp</v>
      </c>
      <c r="C51" t="str">
        <v>Y</v>
      </c>
      <c r="J51" t="str">
        <v>Y</v>
      </c>
      <c r="M51" t="str">
        <v>Y</v>
      </c>
    </row>
    <row r="52" ht="14.25" customHeight="1">
      <c r="A52">
        <f>A51+1</f>
        <v>15</v>
      </c>
      <c r="B52" t="str">
        <v>- Granite Curb</v>
      </c>
      <c r="C52" t="str">
        <v>Y</v>
      </c>
      <c r="J52" t="str">
        <v>Y</v>
      </c>
      <c r="M52" t="str">
        <v>Y</v>
      </c>
    </row>
    <row r="53" ht="14.25" customHeight="1">
      <c r="A53">
        <f>A52+1</f>
        <v>16</v>
      </c>
      <c r="B53" t="str">
        <v>- Ramps</v>
      </c>
      <c r="C53" t="str">
        <v>Y</v>
      </c>
      <c r="J53" t="str">
        <v>Y</v>
      </c>
      <c r="M53" t="str">
        <v>Y</v>
      </c>
    </row>
    <row r="54" ht="14.25" customHeight="1">
      <c r="A54">
        <f>A53+1</f>
        <v>17</v>
      </c>
      <c r="B54" t="str">
        <v>- Concrete Pavement Restoration</v>
      </c>
      <c r="C54" t="str">
        <v>Y</v>
      </c>
      <c r="J54" t="str">
        <v>N</v>
      </c>
      <c r="K54" t="str">
        <v>not shown</v>
      </c>
      <c r="M54" t="str">
        <v>Y</v>
      </c>
    </row>
    <row r="55" ht="14.25" customHeight="1">
      <c r="A55">
        <f>A54+1</f>
        <v>18</v>
      </c>
      <c r="B55" t="str">
        <v>- Footing for the PV Canopy</v>
      </c>
      <c r="C55" t="str">
        <v>Y</v>
      </c>
      <c r="J55" t="str">
        <v>N</v>
      </c>
      <c r="K55" t="str">
        <v xml:space="preserve">locations not provided. </v>
      </c>
      <c r="M55" t="str">
        <v>N</v>
      </c>
      <c r="N55" t="str">
        <v>add w/ building Conc</v>
      </c>
    </row>
    <row r="56" ht="14.25" customHeight="1">
      <c r="A56">
        <f>A55+1</f>
        <v>19</v>
      </c>
      <c r="B56" t="str">
        <v>- Footing for the Drinking Fountain</v>
      </c>
      <c r="C56" t="str">
        <v>Y</v>
      </c>
      <c r="J56" t="str">
        <v>Y</v>
      </c>
      <c r="K56" t="str">
        <v>assumed 18" dia. x 3' depth</v>
      </c>
      <c r="M56" t="str">
        <v>N</v>
      </c>
      <c r="N56" t="str">
        <v>MCN P</v>
      </c>
      <c r="O56" s="8">
        <v>1800</v>
      </c>
    </row>
    <row r="57" ht="14.25" customHeight="1">
      <c r="A57">
        <f>A56+1</f>
        <v>20</v>
      </c>
      <c r="B57" t="str">
        <v>Provide conc curbs and sidewalks per DDOT standards and spec</v>
      </c>
      <c r="C57" t="str">
        <v>Y</v>
      </c>
      <c r="J57" t="str">
        <v>Y</v>
      </c>
      <c r="M57" t="str">
        <v>Y</v>
      </c>
    </row>
    <row r="58" ht="14.25" customHeight="1">
      <c r="A58">
        <f>A57+1</f>
        <v>21</v>
      </c>
      <c r="B58" t="str">
        <v>Provide Nosing, Expansion Joint and contraction joints for work as require.</v>
      </c>
      <c r="C58" t="str">
        <v>Y</v>
      </c>
      <c r="J58" t="str">
        <v>Y</v>
      </c>
      <c r="M58" t="str">
        <v>Y</v>
      </c>
    </row>
    <row r="59" ht="14.25" customHeight="1">
      <c r="A59">
        <f>A58+1</f>
        <v>22</v>
      </c>
    </row>
    <row r="60" ht="14.25" customHeight="1">
      <c r="A60">
        <f>A59+1</f>
        <v>23</v>
      </c>
      <c r="B60" t="str">
        <v>STANDARD / GENERAL SCOPE</v>
      </c>
      <c r="C60" t="str">
        <v>Y</v>
      </c>
      <c r="I60" s="8">
        <f>H60*F60</f>
        <v>0</v>
      </c>
      <c r="J60" t="str">
        <v>Y</v>
      </c>
      <c r="M60" t="str">
        <v>Y</v>
      </c>
    </row>
    <row r="61" ht="14.25" customHeight="1">
      <c r="A61">
        <f>A60+1</f>
        <v>24</v>
      </c>
      <c r="B61" t="str">
        <v>Include excavation for the Work</v>
      </c>
      <c r="C61" t="str">
        <v>Y</v>
      </c>
      <c r="J61" t="str">
        <v>Y</v>
      </c>
      <c r="M61" t="str">
        <v>Y</v>
      </c>
    </row>
    <row r="62" ht="14.25" customHeight="1">
      <c r="A62">
        <f>A61+1</f>
        <v>25</v>
      </c>
      <c r="B62" t="str">
        <v>- Assume rough grade to +/- 0.2'  of subgrade</v>
      </c>
      <c r="C62" t="str">
        <v>Y</v>
      </c>
      <c r="J62" t="str">
        <v>Y</v>
      </c>
      <c r="M62" t="str">
        <v>Y</v>
      </c>
    </row>
    <row r="63" ht="14.25" customHeight="1">
      <c r="A63">
        <f>A62+1</f>
        <v>26</v>
      </c>
      <c r="B63" t="str">
        <v>- Indicate quanity of spoils to be hauled off by others</v>
      </c>
      <c r="C63" t="str">
        <v>Y</v>
      </c>
      <c r="J63" t="str">
        <v>Y</v>
      </c>
      <c r="M63" t="str">
        <v>Y</v>
      </c>
    </row>
    <row r="64" ht="14.25" customHeight="1">
      <c r="A64">
        <f>A63+1</f>
        <v>27</v>
      </c>
      <c r="B64" t="str">
        <v>Layout &amp; grade control from benchmarks, cut sheet &amp; ref Points provided by GC</v>
      </c>
      <c r="C64" t="str">
        <v>Y</v>
      </c>
      <c r="I64" s="8">
        <f>H64*F64</f>
        <v>0</v>
      </c>
      <c r="J64" t="str">
        <v>Y</v>
      </c>
      <c r="M64" t="str">
        <v>Y</v>
      </c>
    </row>
    <row r="65" ht="14.25" customHeight="1">
      <c r="A65">
        <f>A64+1</f>
        <v>28</v>
      </c>
      <c r="B65" t="str">
        <v>Full time superintendent above foremen and foreman</v>
      </c>
      <c r="C65" t="str">
        <v>Y</v>
      </c>
      <c r="I65" s="8">
        <f>H65*F65</f>
        <v>0</v>
      </c>
      <c r="J65" t="str">
        <v>Y</v>
      </c>
      <c r="M65" t="str">
        <v>Y</v>
      </c>
    </row>
    <row r="66" ht="14.25" customHeight="1">
      <c r="A66">
        <f>A65+1</f>
        <v>29</v>
      </c>
      <c r="B66" t="str">
        <v>Expansion joints, dowels as required</v>
      </c>
      <c r="C66" t="str">
        <v>Y</v>
      </c>
      <c r="I66" s="8">
        <f>H66*F66</f>
        <v>0</v>
      </c>
      <c r="J66" t="str">
        <v>Y</v>
      </c>
      <c r="M66" t="str">
        <v>Y</v>
      </c>
    </row>
    <row r="67" ht="14.25" customHeight="1">
      <c r="A67">
        <f>A66+1</f>
        <v>30</v>
      </c>
      <c r="B67" t="str">
        <v>Sales Tax (if material is not deliver onsite) &amp; special permits for this trade &amp; fees</v>
      </c>
      <c r="C67" t="str">
        <v>Y</v>
      </c>
      <c r="I67" s="8">
        <f>H67*F67</f>
        <v>0</v>
      </c>
      <c r="J67" t="str">
        <v>Y</v>
      </c>
      <c r="M67" t="str">
        <v>Y</v>
      </c>
    </row>
    <row r="68" ht="14.25" customHeight="1">
      <c r="A68">
        <f>A67+1</f>
        <v>31</v>
      </c>
      <c r="B68" t="str">
        <v>Saw cutting and patching to match existing</v>
      </c>
      <c r="C68" t="str">
        <v>Y</v>
      </c>
      <c r="I68" s="8">
        <f>H68*F68</f>
        <v>0</v>
      </c>
      <c r="J68" t="str">
        <v>Y</v>
      </c>
      <c r="M68" t="str">
        <v>Y</v>
      </c>
    </row>
    <row r="69" ht="14.25" customHeight="1">
      <c r="A69">
        <f>A68+1</f>
        <v>32</v>
      </c>
      <c r="B69" t="str">
        <v>Traffic Control &amp; Certified Flag Person</v>
      </c>
      <c r="C69" t="str">
        <v>Y</v>
      </c>
      <c r="I69" s="8">
        <f>H69*F69</f>
        <v>0</v>
      </c>
      <c r="J69" t="str">
        <v>Y</v>
      </c>
      <c r="M69" t="str">
        <v>Y</v>
      </c>
    </row>
    <row r="70" ht="14.25" customHeight="1">
      <c r="I70" s="8">
        <f>H70*F70</f>
        <v>0</v>
      </c>
    </row>
    <row r="71" ht="14.25" customHeight="1">
      <c r="A71" t="str">
        <v>C</v>
      </c>
      <c r="B71" t="str">
        <v>Exclusions</v>
      </c>
    </row>
    <row r="72" ht="14.25" customHeight="1">
      <c r="A72">
        <v>1</v>
      </c>
      <c r="B72" t="str">
        <v xml:space="preserve">Site Demolition w/Offsite disposal of ex. Conc. Sidewalk, Pavers, Concrete &amp; Curbs by Excavating Contractor </v>
      </c>
      <c r="C72" t="str">
        <v>N</v>
      </c>
    </row>
    <row r="73" ht="14.25" customHeight="1">
      <c r="A73">
        <v>2</v>
      </c>
      <c r="B73" t="str">
        <v>Structural Soil Mix by Landscaping Contractor</v>
      </c>
      <c r="C73" t="str">
        <v>N</v>
      </c>
    </row>
    <row r="74" ht="14.25" customHeight="1">
      <c r="A74">
        <v>3</v>
      </c>
      <c r="B74" t="str">
        <v>Balanced rough grading excavation to +/-0.2' within 50'</v>
      </c>
      <c r="C74" t="str">
        <v>N</v>
      </c>
    </row>
    <row r="75" ht="14.25" customHeight="1">
      <c r="A75">
        <v>4</v>
      </c>
      <c r="B75" t="str">
        <v>Site Furnishing by Landscaping Contractor</v>
      </c>
      <c r="C75" t="str">
        <v>N</v>
      </c>
    </row>
    <row r="76" ht="14.25" customHeight="1">
      <c r="A76">
        <v>5</v>
      </c>
      <c r="B76" t="str">
        <v>Tree Pit Grate conc frame  By Misc. Metal Contractor</v>
      </c>
      <c r="C76" t="str">
        <v>N</v>
      </c>
    </row>
    <row r="77" ht="14.25" customHeight="1">
      <c r="A77">
        <v>6</v>
      </c>
      <c r="B77" t="str">
        <v>Planting  &amp; Soil Mix by Landscaping</v>
      </c>
      <c r="C77" t="str">
        <v>N</v>
      </c>
    </row>
    <row r="78" ht="14.25" customHeight="1">
      <c r="A78">
        <v>7</v>
      </c>
      <c r="B78" t="str">
        <v>Stone Cladding &amp; Masonry work</v>
      </c>
      <c r="C78" t="str">
        <v>N</v>
      </c>
    </row>
    <row r="79" ht="14.25" customHeight="1">
      <c r="A79">
        <v>8</v>
      </c>
      <c r="B79" t="str">
        <v>Sitework caulking by caulking contractor</v>
      </c>
      <c r="C79" t="str">
        <v>N</v>
      </c>
    </row>
    <row r="80" ht="14.25" customHeight="1">
      <c r="A80">
        <v>9</v>
      </c>
      <c r="B80" t="str">
        <v>Misc Metal similat to Light Poles w/Concrete base by Electrical Conctractor</v>
      </c>
      <c r="C80" t="str">
        <v>N</v>
      </c>
    </row>
    <row r="81" ht="14.25" customHeight="1">
      <c r="A81">
        <v>10</v>
      </c>
      <c r="B81" t="str">
        <v>Flag Pole Base footing</v>
      </c>
      <c r="C81" t="str">
        <v>N</v>
      </c>
    </row>
    <row r="82" ht="14.25" customHeight="1">
      <c r="A82">
        <v>11</v>
      </c>
      <c r="B82" t="str">
        <v>All Larger - Retaining Walls w/Monumental Stairs (sim to _____) by structural concrete contractor</v>
      </c>
      <c r="C82" t="str">
        <v>N</v>
      </c>
    </row>
    <row r="83" ht="14.25" customHeight="1"/>
    <row r="84" ht="14.25" customHeight="1">
      <c r="A84" t="str">
        <v>D</v>
      </c>
      <c r="B84" t="str">
        <v>Schedule</v>
      </c>
    </row>
    <row r="85" ht="14.25" customHeight="1">
      <c r="A85">
        <v>1</v>
      </c>
      <c r="B85" t="str">
        <v>Meet MCN Schedule</v>
      </c>
      <c r="C85" t="str">
        <v>Y</v>
      </c>
    </row>
    <row r="86" ht="14.25" customHeight="1">
      <c r="A86">
        <f>A85+1</f>
        <v>2</v>
      </c>
      <c r="B86" t="str">
        <v>Advise of Durations</v>
      </c>
    </row>
    <row r="87" ht="14.25" customHeight="1">
      <c r="A87">
        <f>A86+1</f>
        <v>3</v>
      </c>
      <c r="C87" t="str">
        <v>---&gt;</v>
      </c>
    </row>
    <row r="88" ht="14.25" customHeight="1">
      <c r="A88">
        <f>A87+1</f>
        <v>4</v>
      </c>
      <c r="C88" t="str">
        <v>---&gt;</v>
      </c>
    </row>
    <row r="89" ht="14.25" customHeight="1">
      <c r="A89">
        <f>A88+1</f>
        <v>5</v>
      </c>
      <c r="C89" t="str">
        <v>---&gt;</v>
      </c>
    </row>
    <row r="90" ht="14.25" customHeight="1">
      <c r="A90">
        <f>A89+1</f>
        <v>6</v>
      </c>
      <c r="B90" t="str">
        <v>Duration for Submittals and Shop Drawings</v>
      </c>
      <c r="C90" t="str">
        <v>---&gt;</v>
      </c>
    </row>
    <row r="91" ht="14.25" customHeight="1">
      <c r="A91">
        <f>A90+1</f>
        <v>7</v>
      </c>
      <c r="B91" t="str">
        <v>Advise of Lead Times:</v>
      </c>
    </row>
    <row r="92" ht="14.25" customHeight="1">
      <c r="A92">
        <f>A91+1</f>
        <v>8</v>
      </c>
      <c r="C92" t="str">
        <v>---&gt;</v>
      </c>
    </row>
    <row r="93" ht="14.25" customHeight="1">
      <c r="A93">
        <f>A92+1</f>
        <v>9</v>
      </c>
      <c r="C93" t="str">
        <v>---&gt;</v>
      </c>
    </row>
    <row r="94" ht="14.25" customHeight="1">
      <c r="A94">
        <f>A93+1</f>
        <v>10</v>
      </c>
      <c r="C94" t="str">
        <v>---&gt;</v>
      </c>
    </row>
    <row r="95" ht="14.25" customHeight="1"/>
    <row r="96" ht="14.25" customHeight="1"/>
    <row r="97" hidden="1" ht="14.25" customHeight="1">
      <c r="B97" t="str">
        <v>Allowances</v>
      </c>
    </row>
    <row r="98" hidden="1" ht="14.25" customHeight="1">
      <c r="A98">
        <v>1</v>
      </c>
    </row>
    <row r="99" hidden="1" ht="14.25" customHeight="1">
      <c r="A99">
        <f>A98+1</f>
        <v>2</v>
      </c>
    </row>
    <row r="100" hidden="1" ht="14.25" customHeight="1">
      <c r="A100">
        <f>A99+1</f>
        <v>3</v>
      </c>
    </row>
    <row r="101" hidden="1" ht="14.25" customHeight="1">
      <c r="A101">
        <f>A100+1</f>
        <v>4</v>
      </c>
    </row>
    <row r="102" hidden="1" ht="14.25" customHeight="1"/>
    <row r="103" hidden="1" ht="14.25" customHeight="1"/>
    <row r="104" ht="14.25" customHeight="1">
      <c r="B104" t="str">
        <v>Alternates</v>
      </c>
    </row>
    <row r="105" ht="14.25" customHeight="1">
      <c r="A105">
        <v>1</v>
      </c>
      <c r="C105" t="str">
        <v>#</v>
      </c>
    </row>
    <row r="106" ht="14.25" customHeight="1">
      <c r="A106">
        <f>A105+1</f>
        <v>2</v>
      </c>
      <c r="C106" t="str">
        <v>#</v>
      </c>
    </row>
    <row r="107" ht="14.25" customHeight="1">
      <c r="A107">
        <f>A106+1</f>
        <v>3</v>
      </c>
      <c r="C107" t="str">
        <v>#</v>
      </c>
    </row>
    <row r="108" ht="14.25" customHeight="1">
      <c r="A108">
        <f>A107+1</f>
        <v>4</v>
      </c>
      <c r="C108" t="str">
        <v>#</v>
      </c>
    </row>
    <row r="109" ht="14.25" customHeight="1">
      <c r="C109" t="str">
        <v>#</v>
      </c>
    </row>
    <row r="110" ht="14.25" customHeight="1">
      <c r="B110" t="str">
        <v>Unit Prices</v>
      </c>
    </row>
    <row r="111" ht="14.25" customHeight="1">
      <c r="A111">
        <v>1</v>
      </c>
      <c r="C111" t="str">
        <v>#</v>
      </c>
    </row>
    <row r="112" ht="14.25" customHeight="1">
      <c r="A112">
        <f>A111+1</f>
        <v>2</v>
      </c>
      <c r="C112" t="str">
        <v>#</v>
      </c>
    </row>
    <row r="113" ht="14.25" customHeight="1">
      <c r="A113">
        <f>A112+1</f>
        <v>3</v>
      </c>
      <c r="C113" t="str">
        <v>#</v>
      </c>
    </row>
    <row r="114" ht="14.25" customHeight="1">
      <c r="A114">
        <f>A113+1</f>
        <v>4</v>
      </c>
      <c r="C114" t="str">
        <v>#</v>
      </c>
    </row>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B8" r:id="rId2"/>
  </hyperlinks>
  <pageMargins left="0.7" right="0.7" top="0.25" bottom="0.75" header="0" footer="0"/>
  <ignoredErrors>
    <ignoredError numberStoredAsText="1" sqref="A1:AO1000"/>
  </ignoredErrors>
</worksheet>
</file>

<file path=xl/worksheets/sheet4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Century Fence</v>
      </c>
      <c r="N1" t="str">
        <v>Long Fence</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Shane Fisher</v>
      </c>
      <c r="N2" t="str">
        <v>Mark</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Long Fence</v>
      </c>
      <c r="AJ3" s="3" t="str">
        <f t="array" ref="AJ3">IFNA(INDEX($K$6:$AE$6,1,MATCH($AH3,$K$10:$AE$10,0)+1),"")</f>
        <v/>
      </c>
      <c r="AK3" s="3">
        <f t="array" ref="AK3">IFNA(INDEX($K$7:$AE$7,1,MATCH($AH3,$K$10:$AE$10,0)+1),"")</f>
        <v>101822</v>
      </c>
      <c r="AL3" s="3">
        <f t="array" ref="AL3">IFNA(INDEX($K$8:$AE$8,1,MATCH($AH3,$K$10:$AE$10,0)+1),"")</f>
        <v>2036.44</v>
      </c>
      <c r="AM3" s="3">
        <f t="array" ref="AM3">IFNA(INDEX($K$9:$AE$9,1,MATCH($AH3,$K$10:$AE$10,0)+1),"")</f>
        <v>103858.44</v>
      </c>
      <c r="AO3" s="9">
        <f>IFERROR(AN3*AM3,0)</f>
        <v>0</v>
      </c>
    </row>
    <row r="4" ht="14.25" customHeight="1" outlineLevel="1">
      <c r="A4" t="str">
        <v>Trade:</v>
      </c>
      <c r="B4" t="str">
        <v>32 - SITE FENCING</v>
      </c>
      <c r="I4" t="str">
        <v>Phone:</v>
      </c>
      <c r="K4" t="str">
        <v>Number</v>
      </c>
      <c r="N4" t="str">
        <v>Number</v>
      </c>
      <c r="Q4" t="str">
        <v>Number</v>
      </c>
      <c r="T4" t="str">
        <v>Number</v>
      </c>
      <c r="W4" t="str">
        <v>Number</v>
      </c>
      <c r="Z4" t="str">
        <v>Number</v>
      </c>
      <c r="AC4" t="str">
        <v>Number</v>
      </c>
      <c r="AH4">
        <v>2</v>
      </c>
      <c r="AI4" t="str">
        <f>IFNA(INDEX($K$1:$AE$1,1,MATCH($AH4,$K$10:$AE$10,0)),"")</f>
        <v>Century Fence</v>
      </c>
      <c r="AJ4" s="3">
        <f t="array" ref="AJ4">IFNA(INDEX($K$6:$AE$6,1,MATCH($AH4,$K$10:$AE$10,0)+1),"")</f>
        <v>220110</v>
      </c>
      <c r="AK4" s="3">
        <f t="array" ref="AK4">IFNA(INDEX($K$7:$AE$7,1,MATCH($AH4,$K$10:$AE$10,0)+1),"")</f>
        <v>0</v>
      </c>
      <c r="AL4" s="3">
        <f t="array" ref="AL4">IFNA(INDEX($K$8:$AE$8,1,MATCH($AH4,$K$10:$AE$10,0)+1),"")</f>
        <v>4402.2</v>
      </c>
      <c r="AM4" s="3">
        <f t="array" ref="AM4">IFNA(INDEX($K$9:$AE$9,1,MATCH($AH4,$K$10:$AE$10,0)+1),"")</f>
        <v>224512.2</v>
      </c>
      <c r="AO4" s="9">
        <f>IFERROR(AN4*AM4,0)</f>
        <v>0</v>
      </c>
    </row>
    <row r="5" ht="14.25" customHeight="1" outlineLevel="1">
      <c r="A5" t="str">
        <v>Rev/Date:</v>
      </c>
      <c r="B5" t="str">
        <v>Date Issued 01-27-2026</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220110</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Safi Khan</v>
      </c>
      <c r="C7" t="str">
        <v>Contact:</v>
      </c>
      <c r="G7" s="8" t="str">
        <v>| MCN Budget</v>
      </c>
      <c r="I7" s="8">
        <f>SUM(I20:I94,I13:I18)</f>
        <v>0</v>
      </c>
      <c r="K7" t="str">
        <v>Adjustments:</v>
      </c>
      <c r="L7" s="4">
        <f>SUM(L13:L18,L20:L94)</f>
        <v>0</v>
      </c>
      <c r="N7" t="str">
        <v>Adjustments:</v>
      </c>
      <c r="O7" s="4">
        <f>SUM(O13:O18,O20:O94)</f>
        <v>101822</v>
      </c>
      <c r="Q7" t="str">
        <v>Adjustments:</v>
      </c>
      <c r="R7" s="4">
        <f>SUM(R13:R18,R20:R94)</f>
        <v>0</v>
      </c>
      <c r="T7" t="str">
        <v>Adjustments:</v>
      </c>
      <c r="U7" s="4">
        <f>SUM(U13:U18,U20:U94)</f>
        <v>0</v>
      </c>
      <c r="W7" t="str">
        <v>Adjustments:</v>
      </c>
      <c r="X7" s="4">
        <f>SUM(X13:X18,X20:X94)</f>
        <v>0</v>
      </c>
      <c r="Z7" t="str">
        <v>Adjustments:</v>
      </c>
      <c r="AA7" s="4">
        <f>SUM(AA13:AA18,AA20:AA94)</f>
        <v>0</v>
      </c>
      <c r="AC7" t="str">
        <v>Adjustments:</v>
      </c>
      <c r="AD7" s="4">
        <f>SUM(AD13:AD18,AD20:AD94)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safi.khan@mcnbuild.com</v>
      </c>
      <c r="C8" t="str">
        <v>Email:</v>
      </c>
      <c r="F8" s="10">
        <v>0.02</v>
      </c>
      <c r="G8" s="8" t="str">
        <v>| Bond</v>
      </c>
      <c r="I8" s="8">
        <f>F8*I7</f>
        <v>0</v>
      </c>
      <c r="J8" s="10">
        <v>0.02</v>
      </c>
      <c r="K8" t="str">
        <v>Bond:</v>
      </c>
      <c r="L8" s="4">
        <f>J8*SUM(L6:L7)</f>
        <v>4402.2</v>
      </c>
      <c r="M8" s="10">
        <v>0.02</v>
      </c>
      <c r="N8" t="str">
        <v>Bond:</v>
      </c>
      <c r="O8" s="4">
        <f>M8*SUM(O6:O7)</f>
        <v>2036.44</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202-674-5842</v>
      </c>
      <c r="C9" t="str">
        <v>Phone:</v>
      </c>
      <c r="G9" t="str">
        <v>-----</v>
      </c>
      <c r="H9" s="8" t="str">
        <v xml:space="preserve">  --------&gt;</v>
      </c>
      <c r="I9" s="8">
        <f>SUM(I7:I8)</f>
        <v>0</v>
      </c>
      <c r="K9" t="str">
        <v>Total Bid:</v>
      </c>
      <c r="L9" s="4">
        <f>IF(L5="FULL SCOPE",SUM(L6:L8),"not level")</f>
        <v>224512.2</v>
      </c>
      <c r="N9" t="str">
        <v>Total Bid:</v>
      </c>
      <c r="O9" s="4">
        <f>IF(O5="FULL SCOPE",SUM(O6:O8),"not level")</f>
        <v>103858.44</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220110</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Decorative Metal Fence</v>
      </c>
      <c r="C22" t="str">
        <v>#</v>
      </c>
      <c r="D22" t="str">
        <v>$</v>
      </c>
      <c r="I22" s="8">
        <f>H22*F22</f>
        <v>0</v>
      </c>
      <c r="O22" s="8">
        <v>44997</v>
      </c>
    </row>
    <row r="23" ht="14.25" customHeight="1">
      <c r="A23">
        <f>A22+1</f>
        <v>5</v>
      </c>
      <c r="B23" t="str">
        <v>Decorative Metal Gate</v>
      </c>
      <c r="C23" t="str">
        <v>#</v>
      </c>
      <c r="D23" t="str">
        <v>$</v>
      </c>
      <c r="I23" s="8">
        <f>H23*F23</f>
        <v>0</v>
      </c>
      <c r="N23" t="str">
        <v>w/ above</v>
      </c>
    </row>
    <row r="24" ht="14.25" customHeight="1">
      <c r="A24">
        <f>A23+1</f>
        <v>6</v>
      </c>
      <c r="B24" t="str">
        <v>Decorative Dumpster Encloser</v>
      </c>
      <c r="C24" t="str">
        <v>#</v>
      </c>
      <c r="D24" t="str">
        <v>$</v>
      </c>
      <c r="I24" s="8">
        <f>H24*F24</f>
        <v>0</v>
      </c>
      <c r="O24" s="8">
        <v>18220</v>
      </c>
    </row>
    <row r="25" ht="14.25" customHeight="1">
      <c r="A25">
        <f>A24+1</f>
        <v>7</v>
      </c>
      <c r="B25" t="str">
        <v>Decorative Wood Screen</v>
      </c>
      <c r="C25" t="str">
        <v>#</v>
      </c>
      <c r="D25" t="str">
        <v>$</v>
      </c>
      <c r="I25" s="8">
        <f>H25*F25</f>
        <v>0</v>
      </c>
      <c r="O25" s="8">
        <v>28728</v>
      </c>
    </row>
    <row r="26" ht="14.25" customHeight="1">
      <c r="A26">
        <f>A25+1</f>
        <v>8</v>
      </c>
      <c r="B26" t="str">
        <v>Fence Relocation</v>
      </c>
      <c r="I26" s="8">
        <f>H26*F26</f>
        <v>0</v>
      </c>
      <c r="O26" s="8">
        <v>9877</v>
      </c>
    </row>
    <row r="27" ht="14.25" customHeight="1">
      <c r="A27">
        <f>A26+1</f>
        <v>9</v>
      </c>
      <c r="B27" t="str">
        <v>Key Quantity Breakdown</v>
      </c>
      <c r="I27" s="8">
        <f>H27*F27</f>
        <v>0</v>
      </c>
    </row>
    <row r="28" ht="14.25" customHeight="1">
      <c r="A28">
        <f>A27+1</f>
        <v>10</v>
      </c>
      <c r="B28" t="str">
        <v>Decorative Metal Fence</v>
      </c>
      <c r="C28" t="str">
        <v>#</v>
      </c>
      <c r="D28" t="str">
        <v>LF</v>
      </c>
      <c r="I28" s="8">
        <f>H28*F28</f>
        <v>0</v>
      </c>
    </row>
    <row r="29" ht="14.25" customHeight="1">
      <c r="A29">
        <f>A28+1</f>
        <v>11</v>
      </c>
      <c r="B29" t="str">
        <v>Decorative Metal Gate</v>
      </c>
      <c r="C29" t="str">
        <v>#</v>
      </c>
      <c r="D29" t="str">
        <v>LF</v>
      </c>
      <c r="I29" s="8">
        <f>H29*F29</f>
        <v>0</v>
      </c>
    </row>
    <row r="30" ht="14.25" customHeight="1">
      <c r="A30">
        <f>A29+1</f>
        <v>12</v>
      </c>
      <c r="B30" t="str">
        <v>Decorative Dumpster Encloser</v>
      </c>
      <c r="C30" t="str">
        <v>#</v>
      </c>
      <c r="D30" t="str">
        <v>LF</v>
      </c>
      <c r="I30" s="8">
        <f>H30*F30</f>
        <v>0</v>
      </c>
    </row>
    <row r="31" ht="14.25" customHeight="1">
      <c r="A31">
        <f>A30+1</f>
        <v>13</v>
      </c>
      <c r="B31" t="str">
        <v>Decorative Wood Screen</v>
      </c>
      <c r="C31" t="str">
        <v>#</v>
      </c>
      <c r="D31" t="str">
        <v>LF</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03 3000 - Cast-In-Place Concrete (as applicable to this Bid Package)</v>
      </c>
      <c r="C37" t="str">
        <v>Y</v>
      </c>
    </row>
    <row r="38" ht="14.25" customHeight="1">
      <c r="A38" t="str">
        <v>B</v>
      </c>
      <c r="B38" t="str">
        <v>Inclusions</v>
      </c>
    </row>
    <row r="39" ht="14.25" customHeight="1">
      <c r="A39">
        <v>1</v>
      </c>
      <c r="B39" t="str">
        <v>SPECIFIC SCOPE ITEMS</v>
      </c>
      <c r="C39" t="str">
        <v>Y</v>
      </c>
      <c r="I39" s="8">
        <f>H39*F39</f>
        <v>0</v>
      </c>
    </row>
    <row r="40" ht="14.25" customHeight="1">
      <c r="A40">
        <f>A39+1</f>
        <v>2</v>
      </c>
      <c r="B40" t="str">
        <v>Permanent Fencing</v>
      </c>
      <c r="C40" t="str">
        <v>Y</v>
      </c>
      <c r="I40" s="8">
        <f>H40*F40</f>
        <v>0</v>
      </c>
    </row>
    <row r="41" ht="14.25" customHeight="1">
      <c r="A41">
        <f>A40+1</f>
        <v>3</v>
      </c>
      <c r="B41" t="str">
        <v>Fence as indicated, including but not limited to (Refer L1.3):</v>
      </c>
      <c r="C41" t="str">
        <v>Y</v>
      </c>
    </row>
    <row r="42" ht="14.25" customHeight="1">
      <c r="A42">
        <f>A41+1</f>
        <v>4</v>
      </c>
      <c r="B42" t="str">
        <v>F&amp;I decorative metal gate, Refer 1/L3.5</v>
      </c>
      <c r="C42" t="str">
        <v>Y</v>
      </c>
    </row>
    <row r="43" ht="14.25" customHeight="1">
      <c r="A43">
        <f>A42+1</f>
        <v>5</v>
      </c>
      <c r="B43" t="str">
        <v>- include concrete footing</v>
      </c>
      <c r="C43" t="str">
        <v>Y</v>
      </c>
    </row>
    <row r="44" ht="14.25" customHeight="1">
      <c r="A44">
        <f>A43+1</f>
        <v>6</v>
      </c>
      <c r="B44" t="str">
        <v>- Include Gate frame</v>
      </c>
      <c r="C44" t="str">
        <v>Y</v>
      </c>
    </row>
    <row r="45" ht="14.25" customHeight="1">
      <c r="A45">
        <f>A44+1</f>
        <v>7</v>
      </c>
      <c r="B45" t="str">
        <v>- include security mesh</v>
      </c>
      <c r="C45" t="str">
        <v>Y</v>
      </c>
    </row>
    <row r="46" ht="14.25" customHeight="1">
      <c r="A46">
        <f>A45+1</f>
        <v>8</v>
      </c>
      <c r="B46" t="str">
        <v>- Panic bar</v>
      </c>
      <c r="C46" t="str">
        <v>Y</v>
      </c>
    </row>
    <row r="47" ht="14.25" customHeight="1">
      <c r="A47">
        <f>A46+1</f>
        <v>9</v>
      </c>
      <c r="B47" t="str">
        <v>- Bracket</v>
      </c>
      <c r="C47" t="str">
        <v>Y</v>
      </c>
    </row>
    <row r="48" ht="14.25" customHeight="1">
      <c r="A48">
        <f>A47+1</f>
        <v>10</v>
      </c>
      <c r="B48" t="str">
        <v>F&amp;I decorative metal fence BOD [Monumental Iron Works], Refer 2/L3.5</v>
      </c>
      <c r="C48" t="str">
        <v>Y</v>
      </c>
    </row>
    <row r="49" ht="14.25" customHeight="1">
      <c r="A49">
        <f>A48+1</f>
        <v>11</v>
      </c>
      <c r="B49" t="str">
        <v>- include concrete footing</v>
      </c>
      <c r="C49" t="str">
        <v>Y</v>
      </c>
    </row>
    <row r="50" ht="14.25" customHeight="1">
      <c r="A50">
        <f>A49+1</f>
        <v>12</v>
      </c>
      <c r="B50" t="str">
        <v>F&amp;I decorative dumpster enclosure BOD [Omega Fence System], Refer 3,4/L3.5</v>
      </c>
      <c r="C50" t="str">
        <v>Y</v>
      </c>
    </row>
    <row r="51" ht="14.25" customHeight="1">
      <c r="A51">
        <f>A50+1</f>
        <v>13</v>
      </c>
      <c r="B51" t="str">
        <v>- include concrete footing</v>
      </c>
      <c r="C51" t="str">
        <v>Y</v>
      </c>
    </row>
    <row r="52" ht="14.25" customHeight="1">
      <c r="A52">
        <f>A51+1</f>
        <v>14</v>
      </c>
      <c r="B52" t="str">
        <v>- include latch and cane bolt etc as req</v>
      </c>
      <c r="C52" t="str">
        <v>Y</v>
      </c>
    </row>
    <row r="53" ht="14.25" customHeight="1">
      <c r="A53">
        <f>A52+1</f>
        <v>15</v>
      </c>
      <c r="B53" t="str">
        <v>- include horizontal louvers</v>
      </c>
      <c r="C53" t="str">
        <v>Y</v>
      </c>
    </row>
    <row r="54" ht="14.25" customHeight="1">
      <c r="A54">
        <f>A53+1</f>
        <v>16</v>
      </c>
      <c r="B54" t="str">
        <v>F&amp;I decorative wood screen, Refer 6,7/L3.1</v>
      </c>
      <c r="C54" t="str">
        <v>Y</v>
      </c>
    </row>
    <row r="55" ht="14.25" customHeight="1">
      <c r="A55">
        <f>A54+1</f>
        <v>17</v>
      </c>
      <c r="B55" t="str">
        <v>- include deep concrete footing</v>
      </c>
      <c r="C55" t="str">
        <v>Y</v>
      </c>
    </row>
    <row r="56" ht="14.25" customHeight="1">
      <c r="A56">
        <f>A55+1</f>
        <v>18</v>
      </c>
      <c r="B56" t="str">
        <v>Provide all hardware, hinges and latches as required for a complete installation.</v>
      </c>
      <c r="C56" t="str">
        <v>Y</v>
      </c>
    </row>
    <row r="57" ht="14.25" customHeight="1">
      <c r="A57">
        <f>A56+1</f>
        <v>19</v>
      </c>
      <c r="B57" t="str">
        <v>Foundations for fencing, including excavation, stone base, concrete, and backfill</v>
      </c>
      <c r="C57" t="str">
        <v>Y</v>
      </c>
    </row>
    <row r="58" ht="14.25" customHeight="1">
      <c r="A58">
        <f>A57+1</f>
        <v>20</v>
      </c>
      <c r="B58" t="str">
        <v>Relocation of batting cage, Refer L1.3</v>
      </c>
      <c r="C58" t="str">
        <v>Y</v>
      </c>
      <c r="I58" s="8">
        <f>H58*F58</f>
        <v>0</v>
      </c>
    </row>
    <row r="59" ht="14.25" customHeight="1">
      <c r="A59">
        <f>A58+1</f>
        <v>21</v>
      </c>
      <c r="B59" t="str">
        <v>STANDARD / GENERAL SCOPE</v>
      </c>
      <c r="C59" t="str">
        <v>Y</v>
      </c>
      <c r="I59" s="8">
        <f>H59*F59</f>
        <v>0</v>
      </c>
    </row>
    <row r="60" ht="14.25" customHeight="1">
      <c r="A60">
        <f>A59+1</f>
        <v>22</v>
      </c>
      <c r="B60" t="str">
        <v>Finish as indicated</v>
      </c>
      <c r="C60" t="str">
        <v>Y</v>
      </c>
      <c r="I60" s="8">
        <f>H60*F60</f>
        <v>0</v>
      </c>
    </row>
    <row r="61" ht="14.25" customHeight="1">
      <c r="A61">
        <f>A60+1</f>
        <v>23</v>
      </c>
      <c r="B61" t="str">
        <v xml:space="preserve">Fencing to arrive prefinished, including touch up </v>
      </c>
      <c r="C61" t="str">
        <v>Y</v>
      </c>
      <c r="I61" s="8">
        <f>H61*F61</f>
        <v>0</v>
      </c>
    </row>
    <row r="62" ht="14.25" customHeight="1">
      <c r="A62">
        <f>A61+1</f>
        <v>24</v>
      </c>
      <c r="B62" t="str">
        <v>F&amp;I concrete footers for posts; including excavation for your work</v>
      </c>
      <c r="C62" t="str">
        <v>Y</v>
      </c>
      <c r="I62" s="8">
        <f>H62*F62</f>
        <v>0</v>
      </c>
    </row>
    <row r="63" ht="14.25" customHeight="1">
      <c r="A63">
        <f>A62+1</f>
        <v>25</v>
      </c>
      <c r="B63" t="str">
        <v>Provide all tools, equip, hoisting, etc for your work</v>
      </c>
      <c r="C63" t="str">
        <v>Y</v>
      </c>
      <c r="I63" s="8">
        <f>H63*F63</f>
        <v>0</v>
      </c>
    </row>
    <row r="64" ht="14.25" customHeight="1">
      <c r="A64">
        <f>A63+1</f>
        <v>26</v>
      </c>
      <c r="B64" t="str">
        <v>Protect work of other trades from damage by your operations</v>
      </c>
      <c r="C64" t="str">
        <v>Y</v>
      </c>
      <c r="I64" s="8">
        <f>H64*F64</f>
        <v>0</v>
      </c>
    </row>
    <row r="65" ht="14.25" customHeight="1">
      <c r="A65">
        <f>A64+1</f>
        <v>27</v>
      </c>
      <c r="B65" t="str">
        <v>Layout from GC control lines and benchmarks</v>
      </c>
      <c r="C65" t="str">
        <v>Y</v>
      </c>
      <c r="I65" s="8">
        <f>H65*F65</f>
        <v>0</v>
      </c>
    </row>
    <row r="66" ht="14.25" customHeight="1">
      <c r="A66">
        <f>A65+1</f>
        <v>28</v>
      </c>
      <c r="B66" t="str">
        <v>Clean up debris and dispose in MCN dumpster</v>
      </c>
      <c r="C66" t="str">
        <v>Y</v>
      </c>
      <c r="I66" s="8">
        <f>H66*F66</f>
        <v>0</v>
      </c>
    </row>
    <row r="67" ht="14.25" customHeight="1">
      <c r="A67">
        <f>A66+1</f>
        <v>29</v>
      </c>
      <c r="B67" t="str">
        <v>Removal w/Offsite disposal &amp; dump fees of debris generated from excavation operations inside of excavating area PROVIDE QTY OF SPOILS ____cy</v>
      </c>
      <c r="C67" t="str">
        <v>Y</v>
      </c>
      <c r="I67" s="8">
        <f>H67*F67</f>
        <v>0</v>
      </c>
    </row>
    <row r="68" ht="14.25" customHeight="1">
      <c r="A68">
        <f>A67+1</f>
        <v>30</v>
      </c>
      <c r="B68" t="str">
        <v>Product data, samples, shop drawings, test reports, certs, etc</v>
      </c>
      <c r="C68" t="str">
        <v>Y</v>
      </c>
      <c r="I68" s="8">
        <f>H68*F68</f>
        <v>0</v>
      </c>
    </row>
    <row r="69" ht="14.25" customHeight="1">
      <c r="A69">
        <f>A68+1</f>
        <v>31</v>
      </c>
      <c r="B69" t="str">
        <v xml:space="preserve">Mock-ups </v>
      </c>
      <c r="C69" t="str">
        <v>Y</v>
      </c>
      <c r="I69" s="8">
        <f>H69*F69</f>
        <v>0</v>
      </c>
    </row>
    <row r="70" ht="14.25" customHeight="1"/>
    <row r="71" ht="14.25" customHeight="1">
      <c r="A71" t="str">
        <v>C</v>
      </c>
      <c r="B71" t="str">
        <v>Exclusions</v>
      </c>
    </row>
    <row r="72" ht="14.25" customHeight="1">
      <c r="A72">
        <v>1</v>
      </c>
      <c r="B72" t="str">
        <v>Grounding for fence</v>
      </c>
      <c r="C72" t="str">
        <v>N</v>
      </c>
      <c r="D72" t="str">
        <v>by Elec</v>
      </c>
    </row>
    <row r="73" ht="14.25" customHeight="1">
      <c r="A73">
        <f>A72+1</f>
        <v>2</v>
      </c>
      <c r="B73" t="str">
        <v>Removal of the Existing fence</v>
      </c>
      <c r="C73" t="str">
        <v>N</v>
      </c>
      <c r="D73" t="str">
        <v>by earth work</v>
      </c>
    </row>
    <row r="74" ht="14.25" customHeight="1">
      <c r="A74">
        <f>A73+1</f>
        <v>3</v>
      </c>
      <c r="B74" t="str">
        <v>Removal of the Existing Chain link fence</v>
      </c>
      <c r="C74" t="str">
        <v>N</v>
      </c>
      <c r="D74" t="str">
        <v>by earth work</v>
      </c>
    </row>
    <row r="75" ht="14.25" customHeight="1"/>
    <row r="76" ht="14.25" customHeight="1">
      <c r="A76" t="str">
        <v>D</v>
      </c>
      <c r="B76" t="str">
        <v>Schedule</v>
      </c>
    </row>
    <row r="77" ht="14.25" customHeight="1">
      <c r="A77">
        <v>1</v>
      </c>
      <c r="B77" t="str">
        <v>Meet MCN Schedule</v>
      </c>
      <c r="C77" t="str">
        <v>Y</v>
      </c>
    </row>
    <row r="78" ht="14.25" customHeight="1">
      <c r="A78">
        <f>A77+1</f>
        <v>2</v>
      </c>
      <c r="B78" t="str">
        <v>Advise of Durations</v>
      </c>
    </row>
    <row r="79" ht="14.25" customHeight="1">
      <c r="A79">
        <f>A78+1</f>
        <v>3</v>
      </c>
      <c r="C79" t="str">
        <v>---&gt;</v>
      </c>
    </row>
    <row r="80" ht="14.25" customHeight="1">
      <c r="A80">
        <f>A79+1</f>
        <v>4</v>
      </c>
      <c r="C80" t="str">
        <v>---&gt;</v>
      </c>
    </row>
    <row r="81" ht="14.25" customHeight="1">
      <c r="A81">
        <f>A80+1</f>
        <v>5</v>
      </c>
      <c r="C81" t="str">
        <v>---&gt;</v>
      </c>
    </row>
    <row r="82" ht="14.25" customHeight="1">
      <c r="A82">
        <f>A81+1</f>
        <v>6</v>
      </c>
      <c r="B82" t="str">
        <v>Duration for Submittals and Shop Drawings</v>
      </c>
      <c r="C82" t="str">
        <v>---&gt;</v>
      </c>
    </row>
    <row r="83" ht="14.25" customHeight="1">
      <c r="A83">
        <f>A82+1</f>
        <v>7</v>
      </c>
      <c r="B83" t="str">
        <v>Advise of Lead Times:</v>
      </c>
    </row>
    <row r="84" ht="14.25" customHeight="1">
      <c r="A84">
        <f>A83+1</f>
        <v>8</v>
      </c>
      <c r="C84" t="str">
        <v>---&gt;</v>
      </c>
    </row>
    <row r="85" ht="14.25" customHeight="1">
      <c r="A85">
        <f>A84+1</f>
        <v>9</v>
      </c>
      <c r="C85" t="str">
        <v>---&gt;</v>
      </c>
    </row>
    <row r="86" ht="14.25" customHeight="1">
      <c r="A86">
        <f>A85+1</f>
        <v>10</v>
      </c>
      <c r="C86" t="str">
        <v>---&gt;</v>
      </c>
    </row>
    <row r="87" ht="14.25" customHeight="1"/>
    <row r="88" ht="14.25" customHeight="1"/>
    <row r="89" ht="14.25" customHeight="1">
      <c r="B89" t="str">
        <v>Allowances</v>
      </c>
    </row>
    <row r="90" ht="14.25" customHeight="1">
      <c r="A90">
        <v>1</v>
      </c>
    </row>
    <row r="91" ht="14.25" customHeight="1">
      <c r="A91">
        <f>A90+1</f>
        <v>2</v>
      </c>
    </row>
    <row r="92" ht="14.25" customHeight="1">
      <c r="A92">
        <f>A91+1</f>
        <v>3</v>
      </c>
    </row>
    <row r="93" ht="14.25" customHeight="1">
      <c r="A93">
        <f>A92+1</f>
        <v>4</v>
      </c>
    </row>
    <row r="94" ht="14.25" customHeight="1"/>
    <row r="95" ht="14.25" customHeight="1"/>
    <row r="96" ht="14.25" customHeight="1">
      <c r="B96" t="str">
        <v>Alternates</v>
      </c>
    </row>
    <row r="97" ht="14.25" customHeight="1">
      <c r="A97">
        <v>1</v>
      </c>
      <c r="B97" t="str">
        <v>F&amp;I new sports fence to match existing. Refer to L1.3 or sim</v>
      </c>
      <c r="C97" t="str">
        <v>#</v>
      </c>
      <c r="N97" s="3">
        <v>248587</v>
      </c>
    </row>
    <row r="98" ht="14.25" customHeight="1">
      <c r="A98">
        <f>A97+1</f>
        <v>2</v>
      </c>
      <c r="B98" t="str">
        <v>LSL Lumber in Lieu of LVL Lumber for Engineered Wood Screen.</v>
      </c>
      <c r="C98" t="str">
        <v>#</v>
      </c>
      <c r="K98" t="str">
        <v xml:space="preserve">Deduct: $24,110.00 </v>
      </c>
    </row>
    <row r="99" ht="14.25" customHeight="1">
      <c r="A99">
        <f>A98+1</f>
        <v>3</v>
      </c>
      <c r="C99" t="str">
        <v>#</v>
      </c>
    </row>
    <row r="100" ht="14.25" customHeight="1">
      <c r="A100">
        <f>A99+1</f>
        <v>4</v>
      </c>
      <c r="C100" t="str">
        <v>#</v>
      </c>
    </row>
    <row r="101" ht="14.25" customHeight="1">
      <c r="C101" t="str">
        <v>#</v>
      </c>
    </row>
    <row r="102" ht="14.25" customHeight="1">
      <c r="B102" t="str">
        <v>Unit Prices</v>
      </c>
    </row>
    <row r="103" ht="14.25" customHeight="1">
      <c r="A103">
        <v>1</v>
      </c>
      <c r="C103" t="str">
        <v>#</v>
      </c>
    </row>
    <row r="104" ht="14.25" customHeight="1">
      <c r="A104">
        <f>A103+1</f>
        <v>2</v>
      </c>
      <c r="C104" t="str">
        <v>#</v>
      </c>
    </row>
    <row r="105" ht="14.25" customHeight="1">
      <c r="A105">
        <f>A104+1</f>
        <v>3</v>
      </c>
      <c r="C105" t="str">
        <v>#</v>
      </c>
    </row>
    <row r="106" ht="14.25" customHeight="1">
      <c r="A106">
        <f>A105+1</f>
        <v>4</v>
      </c>
      <c r="C106" t="str">
        <v>#</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B8" r:id="rId1"/>
  </hyperlinks>
  <pageMargins left="0.7" right="0.7" top="0.25" bottom="0.75" header="0" footer="0"/>
  <ignoredErrors>
    <ignoredError numberStoredAsText="1" sqref="A1:AO1000"/>
  </ignoredErrors>
</worksheet>
</file>

<file path=xl/worksheets/sheet4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Complete</v>
      </c>
      <c r="N1" t="str">
        <v>BeechField</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Tom Sheehan</v>
      </c>
      <c r="N2" t="str">
        <v>Bonnie Pickett</v>
      </c>
      <c r="Q2" t="str">
        <v>Name</v>
      </c>
      <c r="T2" t="str">
        <v>Name</v>
      </c>
      <c r="W2" t="str">
        <v>Name</v>
      </c>
      <c r="Z2" t="str">
        <v>Name</v>
      </c>
      <c r="AC2" t="str">
        <v>Name</v>
      </c>
      <c r="AH2" t="str">
        <v>MCN</v>
      </c>
      <c r="AM2" s="8">
        <f>I9</f>
        <v>0</v>
      </c>
    </row>
    <row r="3" ht="14.25" customHeight="1" outlineLevel="1">
      <c r="I3" t="str">
        <v>Email:</v>
      </c>
      <c r="K3" t="str">
        <v>Tom.Sheehan@completelandscapingservice.com</v>
      </c>
      <c r="N3" t="str">
        <v>bonnie@beechfieldlandscaping.com</v>
      </c>
      <c r="Q3" t="str">
        <v>Email</v>
      </c>
      <c r="T3" t="str">
        <v>Email</v>
      </c>
      <c r="W3" t="str">
        <v>Email</v>
      </c>
      <c r="Z3" t="str">
        <v>Email</v>
      </c>
      <c r="AC3" t="str">
        <v>Email</v>
      </c>
      <c r="AH3">
        <v>1</v>
      </c>
      <c r="AI3" t="str">
        <f>IFNA(INDEX($K$1:$AE$1,1,MATCH($AH3,$K$10:$AE$10,0)),"")</f>
        <v>BeechField</v>
      </c>
      <c r="AJ3" s="3">
        <f t="array" ref="AJ3">IFNA(INDEX($K$6:$AE$6,1,MATCH($AH3,$K$10:$AE$10,0)+1),"")</f>
        <v>180122</v>
      </c>
      <c r="AK3" s="3">
        <f t="array" ref="AK3">IFNA(INDEX($K$7:$AE$7,1,MATCH($AH3,$K$10:$AE$10,0)+1),"")</f>
        <v>76718.6</v>
      </c>
      <c r="AL3" s="3">
        <f t="array" ref="AL3">IFNA(INDEX($K$8:$AE$8,1,MATCH($AH3,$K$10:$AE$10,0)+1),"")</f>
        <v>5136.812</v>
      </c>
      <c r="AM3" s="3">
        <f t="array" ref="AM3">IFNA(INDEX($K$9:$AE$9,1,MATCH($AH3,$K$10:$AE$10,0)+1),"")</f>
        <v>261977.412</v>
      </c>
      <c r="AO3" s="9">
        <f>IFERROR(AN3*AM3,0)</f>
        <v>0</v>
      </c>
    </row>
    <row r="4" ht="14.25" customHeight="1" outlineLevel="1">
      <c r="A4" t="str">
        <v>Trade:</v>
      </c>
      <c r="B4" t="str">
        <v>32 - LANDSCAPING &amp; SITE FURN</v>
      </c>
      <c r="I4" t="str">
        <v>Phone:</v>
      </c>
      <c r="K4" t="str">
        <v>301-218-1800</v>
      </c>
      <c r="N4" t="str">
        <v>410-549-1370</v>
      </c>
      <c r="Q4" t="str">
        <v>Number</v>
      </c>
      <c r="T4" t="str">
        <v>Number</v>
      </c>
      <c r="W4" t="str">
        <v>Number</v>
      </c>
      <c r="Z4" t="str">
        <v>Number</v>
      </c>
      <c r="AC4" t="str">
        <v>Number</v>
      </c>
      <c r="AH4">
        <v>2</v>
      </c>
      <c r="AI4" t="str">
        <f>IFNA(INDEX($K$1:$AE$1,1,MATCH($AH4,$K$10:$AE$10,0)),"")</f>
        <v>Complete</v>
      </c>
      <c r="AJ4" s="3">
        <f t="array" ref="AJ4">IFNA(INDEX($K$6:$AE$6,1,MATCH($AH4,$K$10:$AE$10,0)+1),"")</f>
        <v>278805.44</v>
      </c>
      <c r="AK4" s="3">
        <f t="array" ref="AK4">IFNA(INDEX($K$7:$AE$7,1,MATCH($AH4,$K$10:$AE$10,0)+1),"")</f>
        <v>0</v>
      </c>
      <c r="AL4" s="3">
        <f t="array" ref="AL4">IFNA(INDEX($K$8:$AE$8,1,MATCH($AH4,$K$10:$AE$10,0)+1),"")</f>
        <v>5576.1088</v>
      </c>
      <c r="AM4" s="3">
        <f t="array" ref="AM4">IFNA(INDEX($K$9:$AE$9,1,MATCH($AH4,$K$10:$AE$10,0)+1),"")</f>
        <v>284381.5488</v>
      </c>
      <c r="AO4" s="9">
        <f>IFERROR(AN4*AM4,0)</f>
        <v>0</v>
      </c>
    </row>
    <row r="5" ht="14.25" customHeight="1" outlineLevel="1">
      <c r="A5" t="str">
        <v>Rev/Date:</v>
      </c>
      <c r="B5" t="str">
        <v>Date Issued 01-27-2026</v>
      </c>
      <c r="C5" t="str">
        <v>Bidder:</v>
      </c>
      <c r="K5" t="str">
        <v>Level Scope?</v>
      </c>
      <c r="L5" s="4" t="str">
        <v>FULL SCOPE</v>
      </c>
      <c r="N5" t="str">
        <v>Level Scope?</v>
      </c>
      <c r="O5" s="4" t="str">
        <v>FULL SCOPE</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L6" s="4">
        <v>278805.44</v>
      </c>
      <c r="N6" t="str">
        <v>Base Bid:</v>
      </c>
      <c r="O6" s="4">
        <v>180122</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Safi Khan</v>
      </c>
      <c r="C7" t="str">
        <v>Contact:</v>
      </c>
      <c r="G7" s="8" t="str">
        <v>| MCN Budget</v>
      </c>
      <c r="I7" s="8">
        <f>SUM(I20:I118,I13:I18)</f>
        <v>0</v>
      </c>
      <c r="K7" t="str">
        <v>Adjustments:</v>
      </c>
      <c r="L7" s="4">
        <f>SUM(L13:L18,L20:L118)</f>
        <v>0</v>
      </c>
      <c r="N7" t="str">
        <v>Adjustments:</v>
      </c>
      <c r="O7" s="4">
        <f>SUM(O13:O18,O20:O118)</f>
        <v>76718.6</v>
      </c>
      <c r="Q7" t="str">
        <v>Adjustments:</v>
      </c>
      <c r="R7" s="4">
        <f>SUM(R13:R18,R20:R118)</f>
        <v>0</v>
      </c>
      <c r="T7" t="str">
        <v>Adjustments:</v>
      </c>
      <c r="U7" s="4">
        <f>SUM(U13:U18,U20:U118)</f>
        <v>0</v>
      </c>
      <c r="W7" t="str">
        <v>Adjustments:</v>
      </c>
      <c r="X7" s="4">
        <f>SUM(X13:X18,X20:X118)</f>
        <v>0</v>
      </c>
      <c r="Z7" t="str">
        <v>Adjustments:</v>
      </c>
      <c r="AA7" s="4">
        <f>SUM(AA13:AA18,AA20:AA118)</f>
        <v>0</v>
      </c>
      <c r="AC7" t="str">
        <v>Adjustments:</v>
      </c>
      <c r="AD7" s="4">
        <f>SUM(AD13:AD18,AD20:AD118)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safi.khan@mcnbuild.com</v>
      </c>
      <c r="C8" t="str">
        <v>Email:</v>
      </c>
      <c r="F8" s="10">
        <v>0.02</v>
      </c>
      <c r="G8" s="8" t="str">
        <v>| Bond</v>
      </c>
      <c r="I8" s="8">
        <f>F8*I7</f>
        <v>0</v>
      </c>
      <c r="J8" s="10">
        <v>0.02</v>
      </c>
      <c r="K8" t="str">
        <v>Bond:</v>
      </c>
      <c r="L8" s="4">
        <f>J8*SUM(L6:L7)</f>
        <v>5576.1088</v>
      </c>
      <c r="M8" s="10">
        <v>0.02</v>
      </c>
      <c r="N8" t="str">
        <v>Bond:</v>
      </c>
      <c r="O8" s="4">
        <f>M8*SUM(O6:O7)</f>
        <v>5136.812</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202-674-5842</v>
      </c>
      <c r="C9" t="str">
        <v>Phone:</v>
      </c>
      <c r="G9" t="str">
        <v>-----</v>
      </c>
      <c r="H9" s="8" t="str">
        <v xml:space="preserve">  --------&gt;</v>
      </c>
      <c r="I9" s="8">
        <f>SUM(I7:I8)</f>
        <v>0</v>
      </c>
      <c r="K9" t="str">
        <v>Total Bid:</v>
      </c>
      <c r="L9" s="4">
        <f>IF(L5="FULL SCOPE",SUM(L6:L8),"not level")</f>
        <v>284381.5488</v>
      </c>
      <c r="N9" t="str">
        <v>Total Bid:</v>
      </c>
      <c r="O9" s="4">
        <f>IF(O5="FULL SCOPE",SUM(O6:O8),"not level")</f>
        <v>261977.412</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t="14.25" customHeight="1" outlineLevel="1">
      <c r="A10" t="str">
        <v>HIDE</v>
      </c>
      <c r="B10" t="str">
        <v>Rank</v>
      </c>
      <c r="D10" t="str">
        <v>HIDE</v>
      </c>
      <c r="F10" t="str">
        <v>HIDE</v>
      </c>
      <c r="H10" s="8" t="str">
        <v>HIDE</v>
      </c>
      <c r="I10" s="8" t="str">
        <v>RANK</v>
      </c>
      <c r="K10">
        <f>IF(L5="NO","INCOMPLETE",RANK.EQ(L9,$L$9:$AE$9,1))</f>
        <v>2</v>
      </c>
      <c r="N10">
        <f>IF(O5="NO","INCOMPLETE",RANK.EQ(O9,$L$9:$AE$9,1))</f>
        <v>1</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f>L6</f>
        <v>278805.44</v>
      </c>
      <c r="O19" s="8">
        <f>O6</f>
        <v>180122</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Planting</v>
      </c>
      <c r="C22" t="str">
        <v>#</v>
      </c>
      <c r="D22" t="str">
        <v>$</v>
      </c>
      <c r="I22" s="8">
        <f>H22*F22</f>
        <v>0</v>
      </c>
      <c r="K22" t="str">
        <v>Breakdown</v>
      </c>
      <c r="L22" s="8" t="str">
        <v>[65691]</v>
      </c>
      <c r="N22" t="str">
        <v>Breakdown</v>
      </c>
      <c r="O22" s="8" t="str">
        <v>[88380]</v>
      </c>
    </row>
    <row r="23" ht="14.25" customHeight="1">
      <c r="A23">
        <f>A22+1</f>
        <v>5</v>
      </c>
      <c r="B23" t="str">
        <v>Mulch &amp; Seeding</v>
      </c>
      <c r="C23" t="str">
        <v>#</v>
      </c>
      <c r="D23" t="str">
        <v>$</v>
      </c>
      <c r="I23" s="8">
        <f>H23*F23</f>
        <v>0</v>
      </c>
      <c r="K23" t="str">
        <v>Breakdown</v>
      </c>
      <c r="L23" s="8" t="str">
        <v>[9743]</v>
      </c>
      <c r="N23" t="str">
        <v>Breakdown</v>
      </c>
      <c r="O23" s="8" t="str">
        <v>[1350]</v>
      </c>
    </row>
    <row r="24" ht="14.25" customHeight="1">
      <c r="A24">
        <f>A23+1</f>
        <v>6</v>
      </c>
      <c r="B24" t="str">
        <v>Soils</v>
      </c>
      <c r="C24" t="str">
        <v>#</v>
      </c>
      <c r="D24" t="str">
        <v>$</v>
      </c>
      <c r="I24" s="8">
        <f>H24*F24</f>
        <v>0</v>
      </c>
      <c r="K24" t="str">
        <v>Breakdown</v>
      </c>
      <c r="L24" s="8" t="str">
        <v>[28649]</v>
      </c>
      <c r="N24" t="str">
        <v>Breakdown</v>
      </c>
      <c r="O24" s="8" t="str">
        <v>[28080]</v>
      </c>
    </row>
    <row r="25" ht="14.25" customHeight="1">
      <c r="A25">
        <f>A24+1</f>
        <v>7</v>
      </c>
      <c r="B25" t="str">
        <v>Site FF&amp;E</v>
      </c>
      <c r="C25" t="str">
        <v>#</v>
      </c>
      <c r="D25" t="str">
        <v>$</v>
      </c>
      <c r="I25" s="8">
        <f>H25*F25</f>
        <v>0</v>
      </c>
      <c r="K25" t="str">
        <v>Breakdown</v>
      </c>
      <c r="L25" s="8" t="str">
        <v>[124879]</v>
      </c>
      <c r="N25" t="str">
        <v>Breakdown</v>
      </c>
      <c r="O25" s="8" t="str">
        <v>[44660]</v>
      </c>
    </row>
    <row r="26" ht="14.25" customHeight="1">
      <c r="A26">
        <f>A25+1</f>
        <v>8</v>
      </c>
      <c r="B26" t="str">
        <v>Signage</v>
      </c>
      <c r="K26" t="str">
        <v>Breakdown</v>
      </c>
      <c r="L26" s="8" t="str">
        <v>[21032]</v>
      </c>
      <c r="N26" t="str">
        <v>see Plug below</v>
      </c>
    </row>
    <row r="27" ht="14.25" customHeight="1">
      <c r="A27">
        <f>A26+1</f>
        <v>9</v>
      </c>
      <c r="B27" t="str">
        <v>Maintenance and Warranty</v>
      </c>
      <c r="C27" t="str">
        <v>#</v>
      </c>
      <c r="D27" t="str">
        <v>$</v>
      </c>
      <c r="K27" t="str">
        <v>w/ planting</v>
      </c>
      <c r="N27" t="str">
        <v>w/ planting</v>
      </c>
    </row>
    <row r="28" ht="14.25" customHeight="1">
      <c r="A28">
        <f>A27+1</f>
        <v>10</v>
      </c>
    </row>
    <row r="29" ht="14.25" customHeight="1">
      <c r="A29">
        <f>A28+1</f>
        <v>11</v>
      </c>
      <c r="B29" t="str">
        <v>Key Quantity Breakdown</v>
      </c>
      <c r="I29" s="8">
        <f>H29*F29</f>
        <v>0</v>
      </c>
    </row>
    <row r="30" ht="14.25" customHeight="1">
      <c r="A30">
        <f>A29+1</f>
        <v>12</v>
      </c>
      <c r="B30" t="str">
        <v>Generated Spoils</v>
      </c>
      <c r="C30" t="str">
        <v>#</v>
      </c>
      <c r="D30" t="str">
        <v>CY</v>
      </c>
      <c r="I30" s="8">
        <f>H30*F30</f>
        <v>0</v>
      </c>
    </row>
    <row r="31" ht="14.25" customHeight="1">
      <c r="A31">
        <f>A30+1</f>
        <v>13</v>
      </c>
      <c r="B31" t="str">
        <v>Topsoil</v>
      </c>
      <c r="C31" t="str">
        <v>#</v>
      </c>
      <c r="D31" t="str">
        <v>SF</v>
      </c>
      <c r="I31" s="8">
        <f>H31*F31</f>
        <v>0</v>
      </c>
    </row>
    <row r="32" ht="14.25" customHeight="1">
      <c r="A32">
        <f>A31+1</f>
        <v>14</v>
      </c>
      <c r="B32" t="str">
        <v xml:space="preserve">Mobilization </v>
      </c>
      <c r="C32" t="str">
        <v>#</v>
      </c>
      <c r="D32" t="str">
        <v>LF</v>
      </c>
      <c r="I32" s="8">
        <f>H32*F32</f>
        <v>0</v>
      </c>
    </row>
    <row r="33" ht="14.25" customHeight="1">
      <c r="I33" s="8">
        <f>H33*F33</f>
        <v>0</v>
      </c>
    </row>
    <row r="34" ht="14.25" customHeight="1">
      <c r="B34" t="str">
        <v>Section 3 - Scope of Work</v>
      </c>
    </row>
    <row r="35" ht="14.25" customHeight="1">
      <c r="B35" t="str">
        <v>Furnish and Install All Items UON</v>
      </c>
      <c r="C35" t="str">
        <v>Y</v>
      </c>
    </row>
    <row r="36" ht="14.25" customHeight="1">
      <c r="A36" t="str">
        <v>A</v>
      </c>
      <c r="B36" t="str">
        <v>Specifications</v>
      </c>
    </row>
    <row r="37" ht="14.25" customHeight="1">
      <c r="B37" t="str">
        <v>Division 01 - General Requirements</v>
      </c>
      <c r="C37" t="str">
        <v>Y</v>
      </c>
    </row>
    <row r="38" ht="14.25" customHeight="1">
      <c r="B38" t="str">
        <v>31 2000 - Earthwork (as applies to this Bid Package)</v>
      </c>
      <c r="C38" t="str">
        <v>Y</v>
      </c>
    </row>
    <row r="39" ht="14.25" customHeight="1">
      <c r="A39" t="str">
        <v>B</v>
      </c>
      <c r="B39" t="str">
        <v>Inclusions</v>
      </c>
    </row>
    <row r="40" ht="14.25" customHeight="1">
      <c r="A40">
        <v>1</v>
      </c>
      <c r="B40" t="str">
        <v>SPECIFIC SCOPE ITEMS</v>
      </c>
      <c r="C40" t="str">
        <v>Y</v>
      </c>
      <c r="I40" s="8">
        <f>H40*F40</f>
        <v>0</v>
      </c>
    </row>
    <row r="41" ht="14.25" customHeight="1">
      <c r="A41">
        <f>A40+1</f>
        <v>2</v>
      </c>
      <c r="B41" t="str">
        <v>Plants</v>
      </c>
      <c r="C41" t="str">
        <v>Y</v>
      </c>
      <c r="J41" t="str">
        <v>Y</v>
      </c>
      <c r="M41" t="str">
        <v>Y</v>
      </c>
    </row>
    <row r="42" ht="14.25" customHeight="1">
      <c r="A42">
        <f>A41+1</f>
        <v>3</v>
      </c>
      <c r="B42" t="str">
        <v>Tree protection as per schedule. Refer to L1.0</v>
      </c>
      <c r="C42" t="str">
        <v>Y</v>
      </c>
      <c r="J42" t="str">
        <v>Y</v>
      </c>
      <c r="K42" t="str">
        <v>Tree protection Fence</v>
      </c>
      <c r="L42" s="8" t="str">
        <v>[$9,320.00]</v>
      </c>
      <c r="M42" t="str">
        <v>Y</v>
      </c>
      <c r="N42" t="str">
        <v>Tree protection Fence</v>
      </c>
      <c r="O42" s="8">
        <f>1.2*9320</f>
        <v>11184</v>
      </c>
    </row>
    <row r="43" ht="14.25" customHeight="1">
      <c r="A43">
        <f>A42+1</f>
        <v>4</v>
      </c>
      <c r="B43" t="str">
        <v>Trees, shrubs, groundcover, ferns, grasses, turf, bulds, vegetation carpet and other plantings as per legend and schedule. Refer L2.1 - L2.2 or sim</v>
      </c>
      <c r="C43" t="str">
        <v>Y</v>
      </c>
      <c r="J43" t="str">
        <v>Y</v>
      </c>
      <c r="K43" t="str">
        <v>Arborist services</v>
      </c>
      <c r="L43" s="8" t="str">
        <v>[$2,130]</v>
      </c>
      <c r="M43" t="str">
        <v>Y</v>
      </c>
      <c r="N43" t="str">
        <v>Arborist services</v>
      </c>
      <c r="O43" s="8">
        <f>1.2*2130</f>
        <v>2556</v>
      </c>
    </row>
    <row r="44" ht="14.25" customHeight="1">
      <c r="A44">
        <f>A43+1</f>
        <v>5</v>
      </c>
      <c r="B44" t="str">
        <v>Seed</v>
      </c>
      <c r="C44" t="str">
        <v>Y</v>
      </c>
      <c r="J44" t="str">
        <v>Y</v>
      </c>
      <c r="M44" t="str">
        <v>Y</v>
      </c>
    </row>
    <row r="45" ht="14.25" customHeight="1">
      <c r="A45">
        <f>A44+1</f>
        <v>6</v>
      </c>
      <c r="B45" t="str">
        <v>Mulch</v>
      </c>
      <c r="C45" t="str">
        <v>Y</v>
      </c>
      <c r="J45" t="str">
        <v>Y</v>
      </c>
      <c r="M45" t="str">
        <v>N</v>
      </c>
      <c r="N45" t="str">
        <v>Including maintenance on new turf</v>
      </c>
      <c r="O45" s="8">
        <f>1350+9743</f>
        <v>11093</v>
      </c>
    </row>
    <row r="46" ht="14.25" customHeight="1">
      <c r="A46">
        <f>A45+1</f>
        <v>7</v>
      </c>
      <c r="B46" t="str">
        <v>- This subcontractor is responsible for bioretention plants and mulch</v>
      </c>
      <c r="C46" t="str">
        <v>Y</v>
      </c>
      <c r="J46" t="str">
        <v>Y</v>
      </c>
      <c r="M46" t="str">
        <v>Y</v>
      </c>
    </row>
    <row r="47" ht="14.25" customHeight="1">
      <c r="A47">
        <f>A46+1</f>
        <v>8</v>
      </c>
      <c r="B47" t="str">
        <v>Edging as required</v>
      </c>
      <c r="C47" t="str">
        <v>Y</v>
      </c>
      <c r="J47" t="str">
        <v>Y</v>
      </c>
      <c r="M47" t="str">
        <v>Y</v>
      </c>
    </row>
    <row r="48" ht="14.25" customHeight="1">
      <c r="A48">
        <f>A47+1</f>
        <v>9</v>
      </c>
      <c r="B48" t="str">
        <v>Soils</v>
      </c>
      <c r="C48" t="str">
        <v>Y</v>
      </c>
      <c r="J48" t="str">
        <v>Y</v>
      </c>
      <c r="M48" t="str">
        <v>Y</v>
      </c>
    </row>
    <row r="49" ht="14.25" customHeight="1">
      <c r="A49">
        <f>A48+1</f>
        <v>10</v>
      </c>
      <c r="B49" t="str">
        <v>Planting soil, including new topsoil and/or amendments per specification, assume the following depths:</v>
      </c>
      <c r="C49" t="str">
        <v>Y</v>
      </c>
      <c r="J49" t="str">
        <v>Y</v>
      </c>
      <c r="M49" t="str">
        <v>Y</v>
      </c>
    </row>
    <row r="50" ht="14.25" customHeight="1">
      <c r="A50">
        <f>A49+1</f>
        <v>11</v>
      </c>
      <c r="B50" t="str">
        <v>Seed/sod/lawn - 4"</v>
      </c>
      <c r="C50" t="str">
        <v>Y</v>
      </c>
      <c r="J50" t="str">
        <v>Y</v>
      </c>
      <c r="M50" t="str">
        <v>Y</v>
      </c>
    </row>
    <row r="51" ht="14.25" customHeight="1">
      <c r="A51">
        <f>A50+1</f>
        <v>12</v>
      </c>
      <c r="B51" t="str">
        <v>Ground cover - 6"</v>
      </c>
      <c r="C51" t="str">
        <v>Y</v>
      </c>
      <c r="J51" t="str">
        <v>Y</v>
      </c>
      <c r="M51" t="str">
        <v>Y</v>
      </c>
    </row>
    <row r="52" ht="14.25" customHeight="1">
      <c r="A52">
        <f>A51+1</f>
        <v>13</v>
      </c>
      <c r="B52" t="str">
        <v>Shrubs 16" - 20"</v>
      </c>
      <c r="C52" t="str">
        <v>Y</v>
      </c>
      <c r="J52" t="str">
        <v>Y</v>
      </c>
      <c r="M52" t="str">
        <v>Y</v>
      </c>
    </row>
    <row r="53" ht="14.25" customHeight="1">
      <c r="A53">
        <f>A52+1</f>
        <v>14</v>
      </c>
      <c r="B53" t="str">
        <v>Tree pits - various, ref to details</v>
      </c>
      <c r="C53" t="str">
        <v>Y</v>
      </c>
      <c r="J53" t="str">
        <v>Y</v>
      </c>
      <c r="M53" t="str">
        <v>Y</v>
      </c>
    </row>
    <row r="54" ht="14.25" customHeight="1">
      <c r="A54">
        <f>A53+1</f>
        <v>15</v>
      </c>
      <c r="B54" t="str">
        <v>Subcontractor is responsible for excavation +/-0.2' from 4" below finsihed grade. All excavation for plantings and rootballs beyond rough grade elevations stipulated above</v>
      </c>
      <c r="C54" t="str">
        <v>Y</v>
      </c>
      <c r="J54" t="str">
        <v>Y</v>
      </c>
      <c r="M54" t="str">
        <v>Y</v>
      </c>
    </row>
    <row r="55" ht="14.25" customHeight="1">
      <c r="A55">
        <f>A54+1</f>
        <v>16</v>
      </c>
      <c r="B55" t="str">
        <v>Scarfying subgrade/planting soil as indicated</v>
      </c>
      <c r="C55" t="str">
        <v>Y</v>
      </c>
      <c r="J55" t="str">
        <v>Y</v>
      </c>
      <c r="M55" t="str">
        <v>Y</v>
      </c>
    </row>
    <row r="56" ht="14.25" customHeight="1">
      <c r="A56">
        <f>A55+1</f>
        <v>17</v>
      </c>
      <c r="B56" t="str">
        <v>Include raking and hand work/excavation as required</v>
      </c>
      <c r="C56" t="str">
        <v>Y</v>
      </c>
      <c r="J56" t="str">
        <v>Y</v>
      </c>
      <c r="M56" t="str">
        <v>Y</v>
      </c>
    </row>
    <row r="57" ht="14.25" customHeight="1">
      <c r="A57">
        <f>A56+1</f>
        <v>18</v>
      </c>
      <c r="B57" t="str">
        <v>Subcontractor is responsible for haul of their own spoils</v>
      </c>
      <c r="C57" t="str">
        <v>Y</v>
      </c>
      <c r="J57" t="str">
        <v>Y</v>
      </c>
      <c r="M57" t="str">
        <v>Y</v>
      </c>
    </row>
    <row r="58" ht="14.25" customHeight="1">
      <c r="A58">
        <f>A57+1</f>
        <v>19</v>
      </c>
      <c r="B58" t="str">
        <v>Subsoil drain, including trenching, piping, and backfill; where appliable</v>
      </c>
      <c r="C58" t="str">
        <v>Y</v>
      </c>
      <c r="J58" t="str">
        <v>Y</v>
      </c>
      <c r="M58" t="str">
        <v>Y</v>
      </c>
    </row>
    <row r="59" ht="14.25" customHeight="1">
      <c r="A59">
        <f>A58+1</f>
        <v>20</v>
      </c>
      <c r="B59" t="str">
        <v>Supply &amp; Install Site Furniture, Including But Not Limited To:</v>
      </c>
      <c r="C59" t="str">
        <v>Y</v>
      </c>
      <c r="M59" t="str">
        <v>Y</v>
      </c>
    </row>
    <row r="60" ht="14.25" customHeight="1">
      <c r="A60">
        <f>A59+1</f>
        <v>21</v>
      </c>
      <c r="B60" t="str">
        <v>Bench. Ref 2/L3.2</v>
      </c>
      <c r="C60" t="str">
        <v>Y</v>
      </c>
      <c r="J60" t="str">
        <v>Y</v>
      </c>
      <c r="M60" t="str">
        <v>Y</v>
      </c>
    </row>
    <row r="61" ht="14.25" customHeight="1">
      <c r="A61">
        <f>A60+1</f>
        <v>22</v>
      </c>
      <c r="B61" t="str">
        <v>Trash/Recycling Receptacle. REef 2/L3.4</v>
      </c>
      <c r="C61" t="str">
        <v>Y</v>
      </c>
      <c r="J61" t="str">
        <v>Y</v>
      </c>
      <c r="M61" t="str">
        <v>Y</v>
      </c>
    </row>
    <row r="62" ht="14.25" customHeight="1">
      <c r="A62">
        <f>A61+1</f>
        <v>23</v>
      </c>
      <c r="B62" t="str">
        <v>Metal Bollards. Ref 1,6/L3.2</v>
      </c>
      <c r="C62" t="str">
        <v>Y</v>
      </c>
      <c r="J62" t="str">
        <v>Y</v>
      </c>
      <c r="K62" t="str">
        <v>Breakdown</v>
      </c>
      <c r="L62" s="8" t="str">
        <v>[22206]</v>
      </c>
      <c r="M62" t="str">
        <v>N</v>
      </c>
      <c r="N62" t="str">
        <v>MCN P</v>
      </c>
      <c r="O62" s="8">
        <f>22206*1.2</f>
        <v>26647.2</v>
      </c>
    </row>
    <row r="63" ht="14.25" customHeight="1">
      <c r="A63">
        <f>A62+1</f>
        <v>24</v>
      </c>
      <c r="B63" t="str">
        <v xml:space="preserve">Bike Racks </v>
      </c>
      <c r="C63" t="str">
        <v>Y</v>
      </c>
      <c r="J63" t="str">
        <v>Y</v>
      </c>
      <c r="M63" t="str">
        <v>Y</v>
      </c>
    </row>
    <row r="64" ht="14.25" customHeight="1">
      <c r="A64">
        <f>A63+1</f>
        <v>25</v>
      </c>
      <c r="B64" t="str">
        <v>Drinking Fountain</v>
      </c>
      <c r="C64" t="str">
        <v>Y</v>
      </c>
      <c r="J64" t="str">
        <v>Y</v>
      </c>
      <c r="M64" t="str">
        <v>Y</v>
      </c>
    </row>
    <row r="65" ht="14.25" customHeight="1">
      <c r="A65">
        <f>A64+1</f>
        <v>26</v>
      </c>
      <c r="B65" t="str">
        <v>Signage</v>
      </c>
      <c r="C65" t="str">
        <v>Y</v>
      </c>
      <c r="J65" t="str">
        <v>Y</v>
      </c>
      <c r="M65" t="str">
        <v>N</v>
      </c>
      <c r="N65" t="str">
        <v>MCN P</v>
      </c>
      <c r="O65" s="8">
        <f>21032*1.2</f>
        <v>25238.4</v>
      </c>
    </row>
    <row r="66" ht="14.25" customHeight="1">
      <c r="A66">
        <f>A65+1</f>
        <v>27</v>
      </c>
      <c r="B66" t="str">
        <v>Provide all the signage as shown in the drawings and details. Ref L3.3 - L3.4 or sim</v>
      </c>
      <c r="C66" t="str">
        <v>Y</v>
      </c>
      <c r="J66" t="str">
        <v>Y</v>
      </c>
      <c r="M66" t="str">
        <v>N</v>
      </c>
      <c r="N66" t="str">
        <v>w/above</v>
      </c>
    </row>
    <row r="67" ht="14.25" customHeight="1">
      <c r="A67">
        <f>A66+1</f>
        <v>28</v>
      </c>
      <c r="B67" t="str">
        <v>Include the mounting and footing for the signage</v>
      </c>
      <c r="C67" t="str">
        <v>Y</v>
      </c>
      <c r="J67" t="str">
        <v>Y</v>
      </c>
      <c r="M67" t="str">
        <v>N</v>
      </c>
      <c r="N67" t="str">
        <v>w/above</v>
      </c>
    </row>
    <row r="68" ht="14.25" customHeight="1">
      <c r="A68">
        <f>A67+1</f>
        <v>29</v>
      </c>
      <c r="B68" t="str">
        <v>Maintenance and Warranty</v>
      </c>
      <c r="C68" t="str">
        <v>Y</v>
      </c>
      <c r="J68" t="str">
        <v>Y</v>
      </c>
      <c r="M68" t="str">
        <v>Y</v>
      </c>
    </row>
    <row r="69" ht="14.25" customHeight="1">
      <c r="A69">
        <f>A68+1</f>
        <v>30</v>
      </c>
      <c r="B69" t="str">
        <v>One year maintenance and warranty period, including provision for supplying water</v>
      </c>
      <c r="C69" t="str">
        <v>Y</v>
      </c>
      <c r="I69" s="8">
        <f>H69*F69</f>
        <v>0</v>
      </c>
      <c r="J69" t="str">
        <v>Y</v>
      </c>
      <c r="M69" t="str">
        <v>Y</v>
      </c>
    </row>
    <row r="70" ht="14.25" customHeight="1">
      <c r="A70">
        <f>A69+1</f>
        <v>31</v>
      </c>
      <c r="B70" t="str">
        <v>Maintenance period to start from Final Completion</v>
      </c>
      <c r="C70" t="str">
        <v>Y</v>
      </c>
      <c r="J70" t="str">
        <v>Y</v>
      </c>
      <c r="M70" t="str">
        <v>Y</v>
      </c>
    </row>
    <row r="71" ht="14.25" customHeight="1">
      <c r="A71">
        <f>A70+1</f>
        <v>32</v>
      </c>
      <c r="B71" t="str">
        <v>Provide quantity of spoils for removal by othes in section below</v>
      </c>
      <c r="C71" t="str">
        <v>Y</v>
      </c>
      <c r="J71" t="str">
        <v>Y</v>
      </c>
      <c r="M71" t="str">
        <v>Y</v>
      </c>
    </row>
    <row r="72" ht="14.25" customHeight="1">
      <c r="A72">
        <f>A71+1</f>
        <v>33</v>
      </c>
      <c r="B72" t="str">
        <v>Existing trees to be included in maintenance</v>
      </c>
      <c r="C72" t="str">
        <v>Y</v>
      </c>
      <c r="J72" t="str">
        <v>Y</v>
      </c>
      <c r="M72" t="str">
        <v>Y</v>
      </c>
    </row>
    <row r="73" ht="14.25" customHeight="1">
      <c r="A73">
        <f>A72+1</f>
        <v>34</v>
      </c>
    </row>
    <row r="74" ht="14.25" customHeight="1">
      <c r="A74">
        <f>A73+1</f>
        <v>35</v>
      </c>
      <c r="B74" t="str">
        <v>STANDARD / GENERAL SCOPE</v>
      </c>
      <c r="C74" t="str">
        <v>Y</v>
      </c>
      <c r="I74" s="8">
        <f>H74*F74</f>
        <v>0</v>
      </c>
      <c r="J74" t="str">
        <v>Y</v>
      </c>
    </row>
    <row r="75" ht="14.25" customHeight="1">
      <c r="A75">
        <f>A74+1</f>
        <v>36</v>
      </c>
      <c r="B75" t="str">
        <v>Air spade as required in Tree Protection Zone</v>
      </c>
      <c r="C75" t="str">
        <v>Y</v>
      </c>
    </row>
    <row r="76" ht="14.25" customHeight="1">
      <c r="A76">
        <f>A75+1</f>
        <v>37</v>
      </c>
      <c r="B76" t="str">
        <v>Handwork as required</v>
      </c>
      <c r="C76" t="str">
        <v>Y</v>
      </c>
    </row>
    <row r="77" ht="14.25" customHeight="1">
      <c r="A77">
        <f>A76+1</f>
        <v>38</v>
      </c>
      <c r="B77" t="str">
        <v>Air spading as required</v>
      </c>
      <c r="C77" t="str">
        <v>Y</v>
      </c>
    </row>
    <row r="78" ht="14.25" customHeight="1">
      <c r="A78">
        <f>A77+1</f>
        <v>39</v>
      </c>
      <c r="B78" t="str">
        <v>Root pruning as required</v>
      </c>
      <c r="C78" t="str">
        <v>Y</v>
      </c>
    </row>
    <row r="79" ht="14.25" customHeight="1">
      <c r="A79">
        <f>A78+1</f>
        <v>40</v>
      </c>
      <c r="B79" t="str">
        <v>Hoisting</v>
      </c>
      <c r="C79" t="str">
        <v>Y</v>
      </c>
    </row>
    <row r="80" ht="14.25" customHeight="1">
      <c r="A80">
        <f>A79+1</f>
        <v>41</v>
      </c>
      <c r="B80" t="str">
        <v>Trained Flagmen as required</v>
      </c>
      <c r="C80" t="str">
        <v>Y</v>
      </c>
    </row>
    <row r="81" ht="14.25" customHeight="1">
      <c r="A81">
        <f>A80+1</f>
        <v>42</v>
      </c>
      <c r="B81" t="str">
        <v>Traffic Control &amp; Certified Flag Person as required for your trade</v>
      </c>
      <c r="C81" t="str">
        <v>Y</v>
      </c>
      <c r="I81" s="8">
        <f>H81*F81</f>
        <v>0</v>
      </c>
    </row>
    <row r="82" ht="14.25" customHeight="1">
      <c r="A82">
        <f>A81+1</f>
        <v>43</v>
      </c>
      <c r="B82" t="str">
        <v>Disposal of all spoils generated by this trade</v>
      </c>
      <c r="C82" t="str">
        <v>Y</v>
      </c>
      <c r="I82" s="8">
        <f>H82*F82</f>
        <v>0</v>
      </c>
    </row>
    <row r="83" ht="14.25" customHeight="1">
      <c r="A83">
        <f>A82+1</f>
        <v>44</v>
      </c>
      <c r="B83" t="str">
        <v xml:space="preserve">Furnishing &amp; installation of all topsoil for plants as required </v>
      </c>
      <c r="C83" t="str">
        <v>Y</v>
      </c>
      <c r="I83" s="8">
        <f>H83*F83</f>
        <v>0</v>
      </c>
    </row>
    <row r="84" ht="14.25" customHeight="1">
      <c r="A84">
        <f>A83+1</f>
        <v>45</v>
      </c>
      <c r="B84" t="str">
        <v>Add mixtures &amp; fertilizer to Planting soil Mix &amp; topsoil's</v>
      </c>
      <c r="C84" t="str">
        <v>Y</v>
      </c>
      <c r="I84" s="8">
        <f>H84*F84</f>
        <v>0</v>
      </c>
    </row>
    <row r="85" ht="14.25" customHeight="1">
      <c r="A85">
        <f>A84+1</f>
        <v>46</v>
      </c>
      <c r="B85" t="str">
        <v>Soils - Testing including Planting Soil Mix and Topsoil's</v>
      </c>
      <c r="C85" t="str">
        <v>Y</v>
      </c>
      <c r="I85" s="8">
        <f>H85*F85</f>
        <v>0</v>
      </c>
    </row>
    <row r="86" ht="14.25" customHeight="1">
      <c r="A86">
        <f>A85+1</f>
        <v>47</v>
      </c>
      <c r="B86" t="str">
        <v>Layout work</v>
      </c>
      <c r="C86" t="str">
        <v>Y</v>
      </c>
      <c r="I86" s="8">
        <f>H86*F86</f>
        <v>0</v>
      </c>
    </row>
    <row r="87" ht="14.25" customHeight="1">
      <c r="A87">
        <f>A86+1</f>
        <v>48</v>
      </c>
      <c r="B87" t="str">
        <v xml:space="preserve">Full time superintendent while active </v>
      </c>
      <c r="C87" t="str">
        <v>Y</v>
      </c>
      <c r="I87" s="8">
        <f>H87*F87</f>
        <v>0</v>
      </c>
    </row>
    <row r="88" ht="14.25" customHeight="1">
      <c r="A88">
        <f>A87+1</f>
        <v>49</v>
      </c>
      <c r="B88" t="str">
        <v>Sales Tax (if material is not deliver onsite) &amp; special permits for this trade &amp; fees</v>
      </c>
      <c r="C88" t="str">
        <v>Y</v>
      </c>
      <c r="I88" s="8">
        <f>H88*F88</f>
        <v>0</v>
      </c>
    </row>
    <row r="89" ht="14.25" customHeight="1">
      <c r="A89">
        <f>A88+1</f>
        <v>50</v>
      </c>
      <c r="B89" t="str">
        <v>Replace damaged plants after installations</v>
      </c>
      <c r="C89" t="str">
        <v>Y</v>
      </c>
      <c r="I89" s="8">
        <f>H89*F89</f>
        <v>0</v>
      </c>
    </row>
    <row r="90" ht="14.25" customHeight="1">
      <c r="A90">
        <f>A89+1</f>
        <v>51</v>
      </c>
      <c r="B90" t="str">
        <v>Daily cleanup of all trash and debris resulting from the work and placement in dumpsters provided by the contractor</v>
      </c>
      <c r="C90" t="str">
        <v>Y</v>
      </c>
      <c r="I90" s="8">
        <f>H90*F90</f>
        <v>0</v>
      </c>
    </row>
    <row r="91" ht="14.25" customHeight="1">
      <c r="A91">
        <f>A90+1</f>
        <v>52</v>
      </c>
      <c r="B91" t="str">
        <v>Stockpiling of excess spoils in a locations specificed by the contractor. Soil removal is by the earthwork subcontractor</v>
      </c>
      <c r="C91" t="str">
        <v>Y</v>
      </c>
      <c r="I91" s="8">
        <f>H91*F91</f>
        <v>0</v>
      </c>
    </row>
    <row r="92" ht="14.25" customHeight="1">
      <c r="I92" s="8">
        <f>H92*F92</f>
        <v>0</v>
      </c>
    </row>
    <row r="93" ht="14.25" customHeight="1">
      <c r="A93" t="str">
        <v>C</v>
      </c>
      <c r="B93" t="str">
        <v>Exclusions</v>
      </c>
    </row>
    <row r="94" ht="14.25" customHeight="1">
      <c r="A94">
        <v>1</v>
      </c>
      <c r="B94" t="str">
        <v>Rough grading to +/- 0.2' to balance within 50'</v>
      </c>
      <c r="C94" t="str">
        <v>N</v>
      </c>
    </row>
    <row r="95" ht="14.25" customHeight="1">
      <c r="A95">
        <v>2</v>
      </c>
      <c r="B95" t="str">
        <v>Conc site work &amp; pavers paving by Conc. Site Work</v>
      </c>
      <c r="C95" t="str">
        <v>N</v>
      </c>
    </row>
    <row r="96" ht="14.25" customHeight="1">
      <c r="A96">
        <v>3</v>
      </c>
      <c r="B96" t="str">
        <v xml:space="preserve">Water Cost </v>
      </c>
      <c r="C96" t="str">
        <v>N</v>
      </c>
    </row>
    <row r="97" ht="14.25" customHeight="1">
      <c r="A97">
        <v>5</v>
      </c>
      <c r="B97" t="str">
        <v>Electrical connection to controller (by Electrical)</v>
      </c>
      <c r="C97" t="str">
        <v>N</v>
      </c>
    </row>
    <row r="98" ht="14.25" customHeight="1">
      <c r="A98">
        <v>9</v>
      </c>
      <c r="B98" t="str">
        <v>Fences</v>
      </c>
      <c r="C98" t="str">
        <v>N</v>
      </c>
    </row>
    <row r="99" ht="14.25" customHeight="1"/>
    <row r="100" ht="14.25" customHeight="1">
      <c r="A100" t="str">
        <v>D</v>
      </c>
      <c r="B100" t="str">
        <v>Schedule</v>
      </c>
    </row>
    <row r="101" ht="14.25" customHeight="1">
      <c r="A101">
        <v>1</v>
      </c>
      <c r="B101" t="str">
        <v>Meet MCN Schedule</v>
      </c>
      <c r="C101" t="str">
        <v>Y</v>
      </c>
    </row>
    <row r="102" ht="14.25" customHeight="1">
      <c r="A102">
        <f>A101+1</f>
        <v>2</v>
      </c>
      <c r="B102" t="str">
        <v>Advise of Durations</v>
      </c>
    </row>
    <row r="103" ht="14.25" customHeight="1">
      <c r="A103">
        <f>A102+1</f>
        <v>3</v>
      </c>
      <c r="C103" t="str">
        <v>---&gt;</v>
      </c>
    </row>
    <row r="104" ht="14.25" customHeight="1">
      <c r="A104">
        <f>A103+1</f>
        <v>4</v>
      </c>
      <c r="C104" t="str">
        <v>---&gt;</v>
      </c>
    </row>
    <row r="105" ht="14.25" customHeight="1">
      <c r="A105">
        <f>A104+1</f>
        <v>5</v>
      </c>
      <c r="C105" t="str">
        <v>---&gt;</v>
      </c>
    </row>
    <row r="106" ht="14.25" customHeight="1">
      <c r="A106">
        <f>A105+1</f>
        <v>6</v>
      </c>
      <c r="B106" t="str">
        <v>Duration for Submittals and Shop Drawings</v>
      </c>
      <c r="C106" t="str">
        <v>---&gt;</v>
      </c>
    </row>
    <row r="107" ht="14.25" customHeight="1">
      <c r="A107">
        <f>A106+1</f>
        <v>7</v>
      </c>
      <c r="B107" t="str">
        <v>Advise of Lead Times:</v>
      </c>
    </row>
    <row r="108" ht="14.25" customHeight="1">
      <c r="A108">
        <f>A107+1</f>
        <v>8</v>
      </c>
      <c r="C108" t="str">
        <v>---&gt;</v>
      </c>
    </row>
    <row r="109" ht="14.25" customHeight="1">
      <c r="A109">
        <f>A108+1</f>
        <v>9</v>
      </c>
      <c r="C109" t="str">
        <v>---&gt;</v>
      </c>
    </row>
    <row r="110" ht="14.25" customHeight="1">
      <c r="A110">
        <f>A109+1</f>
        <v>10</v>
      </c>
      <c r="C110" t="str">
        <v>---&gt;</v>
      </c>
    </row>
    <row r="111" ht="14.25" customHeight="1"/>
    <row r="112" ht="14.25" customHeight="1"/>
    <row r="113" ht="14.25" customHeight="1">
      <c r="B113" t="str">
        <v>Allowances</v>
      </c>
    </row>
    <row r="114" ht="14.25" customHeight="1">
      <c r="A114">
        <v>1</v>
      </c>
    </row>
    <row r="115" ht="14.25" customHeight="1">
      <c r="A115">
        <f>A114+1</f>
        <v>2</v>
      </c>
    </row>
    <row r="116" ht="14.25" customHeight="1">
      <c r="A116">
        <f>A115+1</f>
        <v>3</v>
      </c>
    </row>
    <row r="117" ht="14.25" customHeight="1">
      <c r="A117">
        <f>A116+1</f>
        <v>4</v>
      </c>
    </row>
    <row r="118" ht="14.25" customHeight="1"/>
    <row r="119" ht="14.25" customHeight="1"/>
    <row r="120" ht="14.25" customHeight="1">
      <c r="B120" t="str">
        <v>Alternates</v>
      </c>
    </row>
    <row r="121" ht="14.25" customHeight="1">
      <c r="A121">
        <v>1</v>
      </c>
      <c r="B121" t="str">
        <v>Relocating Marker Stone, Ref L1.2 or sim</v>
      </c>
      <c r="C121" t="str">
        <v>#</v>
      </c>
    </row>
    <row r="122" ht="14.25" customHeight="1">
      <c r="A122">
        <f>A121+1</f>
        <v>2</v>
      </c>
      <c r="C122" t="str">
        <v>#</v>
      </c>
    </row>
    <row r="123" ht="14.25" customHeight="1">
      <c r="A123">
        <f>A122+1</f>
        <v>3</v>
      </c>
      <c r="C123" t="str">
        <v>#</v>
      </c>
    </row>
    <row r="124" ht="14.25" customHeight="1">
      <c r="A124">
        <f>A123+1</f>
        <v>4</v>
      </c>
      <c r="C124" t="str">
        <v>#</v>
      </c>
    </row>
    <row r="125" ht="14.25" customHeight="1">
      <c r="C125" t="str">
        <v>#</v>
      </c>
    </row>
    <row r="126" ht="14.25" customHeight="1">
      <c r="B126" t="str">
        <v>Unit Prices</v>
      </c>
    </row>
    <row r="127" ht="14.25" customHeight="1">
      <c r="A127">
        <v>1</v>
      </c>
      <c r="C127" t="str">
        <v>#</v>
      </c>
    </row>
    <row r="128" ht="14.25" customHeight="1">
      <c r="A128">
        <f>A127+1</f>
        <v>2</v>
      </c>
      <c r="C128" t="str">
        <v>#</v>
      </c>
    </row>
    <row r="129" ht="14.25" customHeight="1">
      <c r="A129">
        <f>A128+1</f>
        <v>3</v>
      </c>
      <c r="C129" t="str">
        <v>#</v>
      </c>
    </row>
    <row r="130" ht="14.25" customHeight="1">
      <c r="A130">
        <f>A129+1</f>
        <v>4</v>
      </c>
      <c r="C130" t="str">
        <v>#</v>
      </c>
    </row>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 ref="K3" r:id="rId1"/>
    <hyperlink ref="N3" r:id="rId2"/>
    <hyperlink ref="B8" r:id="rId3"/>
  </hyperlinks>
  <pageMargins left="0.7" right="0.7" top="0.25" bottom="0.75" header="0" footer="0"/>
  <ignoredErrors>
    <ignoredError numberStoredAsText="1" sqref="A1:AO1000"/>
  </ignoredErrors>
</worksheet>
</file>

<file path=xl/worksheets/sheet4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33 - WET UTILITIES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SUM(I20:I133,I13:I18)</f>
        <v>0</v>
      </c>
      <c r="K7" t="str">
        <v>Adjustments:</v>
      </c>
      <c r="L7" s="4">
        <f>SUM(L13:L18,L20:L133)</f>
        <v>0</v>
      </c>
      <c r="N7" t="str">
        <v>Adjustments:</v>
      </c>
      <c r="O7" s="4">
        <f>SUM(O13:O18,O20:O133)</f>
        <v>0</v>
      </c>
      <c r="Q7" t="str">
        <v>Adjustments:</v>
      </c>
      <c r="R7" s="4">
        <f>SUM(R13:R18,R20:R133)</f>
        <v>0</v>
      </c>
      <c r="T7" t="str">
        <v>Adjustments:</v>
      </c>
      <c r="U7" s="4">
        <f>SUM(U13:U18,U20:U133)</f>
        <v>0</v>
      </c>
      <c r="W7" t="str">
        <v>Adjustments:</v>
      </c>
      <c r="X7" s="4">
        <f>SUM(X13:X18,X20:X133)</f>
        <v>0</v>
      </c>
      <c r="Z7" t="str">
        <v>Adjustments:</v>
      </c>
      <c r="AA7" s="4">
        <f>SUM(AA13:AA18,AA20:AA133)</f>
        <v>0</v>
      </c>
      <c r="AC7" t="str">
        <v>Adjustments:</v>
      </c>
      <c r="AD7" s="4">
        <f>SUM(AD13:AD18,AD20:AD133)</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B43" t="str">
        <v xml:space="preserve">Site fire Pole FDC </v>
      </c>
    </row>
    <row r="44" ht="14.25" customHeight="1">
      <c r="A44">
        <v>2</v>
      </c>
      <c r="B44" t="str">
        <v>Utility Relocation</v>
      </c>
      <c r="C44" t="str">
        <v>Y</v>
      </c>
      <c r="I44" s="8">
        <f>H44*F44</f>
        <v>0</v>
      </c>
    </row>
    <row r="45" ht="14.25" customHeight="1">
      <c r="A45">
        <v>3</v>
      </c>
      <c r="B45" t="str">
        <v xml:space="preserve">Storm Drain Sewer &amp; Structures Relocation. Including various sizes of HDPE, RCP &amp; PVC Piping etc and new structures similar to various key notes including #_, _,  of dwg C-_ _ . Including  connections to existing structure &amp; Disconnection &amp; removal from public spcaces (and/or abandonment per DC DDOT, WSSC, WASA, MD SHA Stds) </v>
      </c>
      <c r="C45" t="str">
        <v>Y</v>
      </c>
      <c r="I45" s="8">
        <f>H45*F45</f>
        <v>0</v>
      </c>
    </row>
    <row r="46" ht="14.25" customHeight="1">
      <c r="A46">
        <v>4</v>
      </c>
      <c r="B46" t="str">
        <v>_" &amp; _" Sanitary Sewer &amp; Structures or _" Storm Drain Sewer. Including _" &amp; _"  Sanitary Sewer, Water Main, Storm drain Piping and MH's, Cleanouts &amp; MH Flow Diverters etc. per  key notes #_, _, .... etc. on dwg C-_ _ profiles on C-_ _ &amp; C-_ _ . Work includes connections to ex. system or structure going to _____ Bldg and  __. Also connection to ex. Public Structure on _______ Street. Includes all required paving removal, saw cutting. Traffic controsl and metal plates per DDOT, WASA,WSSC, MD SHA, DC Water Std. Coordinate with Sheeting Contractor refers to dwg S___ (specially at ex. ___Road) and Other Contractor.</v>
      </c>
      <c r="C46" t="str">
        <v>Y</v>
      </c>
      <c r="I46" s="8">
        <f>H46*F46</f>
        <v>0</v>
      </c>
    </row>
    <row r="47" ht="14.25" customHeight="1">
      <c r="A47">
        <v>5</v>
      </c>
      <c r="B47" t="str">
        <v>__" Waterline from existing water meter per note #__/C-_ _  with backflow preventor &amp; vault per __/C-__2) and future connection cap for ___ (note #__/C-__)</v>
      </c>
      <c r="C47" t="str">
        <v>Y</v>
      </c>
      <c r="I47" s="8">
        <f>H47*F47</f>
        <v>0</v>
      </c>
    </row>
    <row r="48" ht="14.25" customHeight="1">
      <c r="A48">
        <v>6</v>
      </c>
      <c r="B48" t="str">
        <v>Utility Demolition - Cutting, Capping, abandon &amp; Removal of existing Utilities lines</v>
      </c>
      <c r="C48" t="str">
        <v>Y</v>
      </c>
      <c r="I48" s="8">
        <f>H48*F48</f>
        <v>0</v>
      </c>
    </row>
    <row r="49" ht="14.25" customHeight="1">
      <c r="A49">
        <v>7</v>
      </c>
      <c r="B49" t="str">
        <v xml:space="preserve"> After competion of utility relocation and new relocated utility (Sewer)  lines are in service  perform utility demolition w/disconnections in public &amp; private areas w/Removal and/or abandonment (per MD SHA, VDOT, DC Water Stds, WSSA).</v>
      </c>
      <c r="C49" t="str">
        <v>Y</v>
      </c>
      <c r="I49" s="8">
        <f>H49*F49</f>
        <v>0</v>
      </c>
    </row>
    <row r="50" ht="14.25" customHeight="1">
      <c r="A50">
        <v>8</v>
      </c>
      <c r="B50" t="str">
        <v>Existing paving (asphalt &amp; conrete) to be removed - full depth - also removal of  ex. concrete to facilitate the removal &amp; installation of new utility lines &amp; structures per ______ Work includes required saw cutting, tarffic control and metal plates as applicable per DC Water Std.</v>
      </c>
      <c r="C50" t="str">
        <v>Y</v>
      </c>
      <c r="I50" s="8">
        <f>H50*F50</f>
        <v>0</v>
      </c>
    </row>
    <row r="51" ht="14.25" customHeight="1">
      <c r="A51">
        <v>9</v>
      </c>
      <c r="B51" t="str">
        <v xml:space="preserve">Remove ex. _" Water Line, Water Meter &amp; Water Vault per _, _ &amp; _/C-_ _. </v>
      </c>
      <c r="C51" t="str">
        <v>Y</v>
      </c>
      <c r="I51" s="8">
        <f>H51*F51</f>
        <v>0</v>
      </c>
    </row>
    <row r="52" ht="14.25" customHeight="1">
      <c r="A52">
        <v>10</v>
      </c>
      <c r="B52" t="str">
        <v>Ex. storm drain, San Sewer to be capped at public utility and/or private area per #__/C-__</v>
      </c>
      <c r="C52" t="str">
        <v>Y</v>
      </c>
      <c r="I52" s="8">
        <f>H52*F52</f>
        <v>0</v>
      </c>
    </row>
    <row r="53" ht="14.25" customHeight="1">
      <c r="A53">
        <v>11</v>
      </c>
      <c r="B53" t="str">
        <v>Portion of ex. Storm Line and/or Sanitary Sewer  in public space to be abandomned in place and capped at main per _/C-__  per Stds</v>
      </c>
      <c r="C53" t="str">
        <v>Y</v>
      </c>
      <c r="I53" s="8">
        <f>H53*F53</f>
        <v>0</v>
      </c>
    </row>
    <row r="54" ht="14.25" customHeight="1">
      <c r="A54">
        <v>12</v>
      </c>
      <c r="B54" t="str">
        <v xml:space="preserve">Disconnect  ex. Sewer lateral from main &amp; install water Tight bulkhead, abandon &amp; fill w/Grout per similar setai #_/C-__ (Next to ….. at _ Road, St…..)  </v>
      </c>
      <c r="C54" t="str">
        <v>Y</v>
      </c>
      <c r="I54" s="8">
        <f>H54*F54</f>
        <v>0</v>
      </c>
    </row>
    <row r="55" ht="14.25" customHeight="1">
      <c r="A55">
        <v>13</v>
      </c>
      <c r="B55" t="str">
        <v xml:space="preserve"> </v>
      </c>
      <c r="C55" t="str">
        <v>Y</v>
      </c>
      <c r="I55" s="8">
        <f>H55*F55</f>
        <v>0</v>
      </c>
    </row>
    <row r="56" ht="14.25" customHeight="1">
      <c r="A56">
        <v>14</v>
      </c>
      <c r="B56" t="str">
        <v>Water Utilities</v>
      </c>
      <c r="C56" t="str">
        <v>Y</v>
      </c>
      <c r="I56" s="8">
        <f>H56*F56</f>
        <v>0</v>
      </c>
    </row>
    <row r="57" ht="14.25" customHeight="1">
      <c r="A57">
        <v>15</v>
      </c>
      <c r="B57" t="str">
        <v xml:space="preserve">New _", __" DIP Water Main (W/L "_") and other sizes similar to details #__, _ _ &amp; _ _  etc of dwg C-__ per MD SHA, DC Std </v>
      </c>
      <c r="C57" t="str">
        <v>Y</v>
      </c>
      <c r="I57" s="8">
        <f>H57*F57</f>
        <v>0</v>
      </c>
    </row>
    <row r="58" ht="14.25" customHeight="1">
      <c r="A58">
        <v>16</v>
      </c>
      <c r="B58" t="str">
        <v>New _" Water Meter Vault &amp; installation of wter meter (provided by others) per DDOT DC/WASA Std, WSSC per _/C-__ (Std #...... on drawing C-__)</v>
      </c>
      <c r="C58" t="str">
        <v>Y</v>
      </c>
      <c r="I58" s="8">
        <f>H58*F58</f>
        <v>0</v>
      </c>
    </row>
    <row r="59" ht="14.25" customHeight="1">
      <c r="A59">
        <v>17</v>
      </c>
      <c r="B59" t="str">
        <v>_" DIP W/L to be capped for future connection per key note _/C-____</v>
      </c>
      <c r="C59" t="str">
        <v>Y</v>
      </c>
      <c r="I59" s="8">
        <f>H59*F59</f>
        <v>0</v>
      </c>
    </row>
    <row r="60" ht="14.25" customHeight="1">
      <c r="A60">
        <v>18</v>
      </c>
      <c r="B60" t="str">
        <v>_" Copper line to …. irrigation system control boxes Per note __/C-__ .</v>
      </c>
      <c r="C60" t="str">
        <v>Y</v>
      </c>
      <c r="I60" s="8">
        <f>H60*F60</f>
        <v>0</v>
      </c>
    </row>
    <row r="61" ht="14.25" customHeight="1">
      <c r="A61">
        <v>19</v>
      </c>
      <c r="B61" t="str">
        <v>Water Connections, gate valves, fitting and thrust block per key notes on C-_ _ and details on C-__ thru C-___</v>
      </c>
      <c r="C61" t="str">
        <v>Y</v>
      </c>
      <c r="I61" s="8">
        <f>H61*F61</f>
        <v>0</v>
      </c>
    </row>
    <row r="62" ht="14.25" customHeight="1">
      <c r="A62">
        <v>20</v>
      </c>
      <c r="B62" t="str">
        <v>Backflow Prevention valve w/Precast Vault per note #_/C-__</v>
      </c>
      <c r="C62" t="str">
        <v>Y</v>
      </c>
      <c r="I62" s="8">
        <f>H62*F62</f>
        <v>0</v>
      </c>
    </row>
    <row r="63" ht="14.25" customHeight="1">
      <c r="A63">
        <v>21</v>
      </c>
      <c r="B63" t="str">
        <v>6"x8" Tee Connection</v>
      </c>
      <c r="C63" t="str">
        <v>Y</v>
      </c>
      <c r="I63" s="8">
        <f>H63*F63</f>
        <v>0</v>
      </c>
    </row>
    <row r="64" ht="14.25" customHeight="1">
      <c r="A64">
        <v>22</v>
      </c>
      <c r="B64" t="str">
        <v>Tee w/Capping connection for 1" &amp; 2" copper lines by others</v>
      </c>
      <c r="C64" t="str">
        <v>Y</v>
      </c>
      <c r="I64" s="8">
        <f>H64*F64</f>
        <v>0</v>
      </c>
    </row>
    <row r="65" ht="14.25" customHeight="1">
      <c r="A65">
        <v>23</v>
      </c>
      <c r="B65" t="str">
        <v xml:space="preserve"> Sanitary Sewerage Utilities</v>
      </c>
      <c r="C65" t="str">
        <v>Y</v>
      </c>
      <c r="I65" s="8">
        <f>H65*F65</f>
        <v>0</v>
      </c>
    </row>
    <row r="66" ht="14.25" customHeight="1">
      <c r="A66">
        <v>24</v>
      </c>
      <c r="B66" t="str">
        <v>__" PVC Sanitary Sewer Lateral per #_ / C-__.</v>
      </c>
      <c r="C66" t="str">
        <v>Y</v>
      </c>
      <c r="I66" s="8">
        <f>H66*F66</f>
        <v>0</v>
      </c>
    </row>
    <row r="67" ht="14.25" customHeight="1">
      <c r="A67">
        <v>25</v>
      </c>
      <c r="B67" t="str">
        <v>__" RCP, HDPE Sanitary Sewer Lateral per #_ / C-__.</v>
      </c>
      <c r="C67" t="str">
        <v>Y</v>
      </c>
      <c r="I67" s="8">
        <f>H67*F67</f>
        <v>0</v>
      </c>
    </row>
    <row r="68" ht="14.25" customHeight="1">
      <c r="A68">
        <v>26</v>
      </c>
      <c r="B68" t="str">
        <v>MH Structures per note __ &amp; __/C-___</v>
      </c>
      <c r="C68" t="str">
        <v>Y</v>
      </c>
      <c r="I68" s="8">
        <f>H68*F68</f>
        <v>0</v>
      </c>
    </row>
    <row r="69" ht="14.25" customHeight="1">
      <c r="A69">
        <v>27</v>
      </c>
      <c r="B69" t="str">
        <v>Clean Out Structures per note __ &amp; __/C-___</v>
      </c>
      <c r="C69" t="str">
        <v>Y</v>
      </c>
      <c r="I69" s="8">
        <f>H69*F69</f>
        <v>0</v>
      </c>
    </row>
    <row r="70" ht="14.25" customHeight="1">
      <c r="A70">
        <v>28</v>
      </c>
      <c r="B70" t="str">
        <v>Connections to relocated MH  structures per DC Std (DDOT) &amp; Specs ____</v>
      </c>
      <c r="C70" t="str">
        <v>Y</v>
      </c>
      <c r="I70" s="8">
        <f>H70*F70</f>
        <v>0</v>
      </c>
    </row>
    <row r="71" ht="14.25" customHeight="1">
      <c r="A71">
        <v>29</v>
      </c>
      <c r="B71" t="str">
        <v>Test Pits as required</v>
      </c>
      <c r="C71" t="str">
        <v>Y</v>
      </c>
      <c r="I71" s="8">
        <f>H71*F71</f>
        <v>0</v>
      </c>
    </row>
    <row r="72" ht="14.25" customHeight="1">
      <c r="A72">
        <v>30</v>
      </c>
      <c r="B72" t="str">
        <v xml:space="preserve"> </v>
      </c>
      <c r="C72" t="str">
        <v>Y</v>
      </c>
      <c r="I72" s="8">
        <f>H72*F72</f>
        <v>0</v>
      </c>
    </row>
    <row r="73" ht="14.25" customHeight="1">
      <c r="A73">
        <v>31</v>
      </c>
      <c r="B73" t="str">
        <v xml:space="preserve"> Storm Drainage Utilities (includes but not limited to:)</v>
      </c>
      <c r="C73" t="str">
        <v>Y</v>
      </c>
      <c r="I73" s="8">
        <f>H73*F73</f>
        <v>0</v>
      </c>
    </row>
    <row r="74" ht="14.25" customHeight="1">
      <c r="A74">
        <v>32</v>
      </c>
      <c r="B74" t="str">
        <v>Temp 15" RCP Storm Pipe from ex. MH #53 to new MH D-42 (not shown)</v>
      </c>
      <c r="C74" t="str">
        <v>Y</v>
      </c>
      <c r="I74" s="8">
        <f>H74*F74</f>
        <v>0</v>
      </c>
    </row>
    <row r="75" ht="14.25" customHeight="1">
      <c r="A75">
        <v>33</v>
      </c>
      <c r="B75" t="str">
        <v>All HDPE, RCPR &amp; PVC Storm Drain Sewer per _____</v>
      </c>
      <c r="C75" t="str">
        <v>Y</v>
      </c>
      <c r="I75" s="8">
        <f>H75*F75</f>
        <v>0</v>
      </c>
    </row>
    <row r="76" ht="14.25" customHeight="1">
      <c r="A76">
        <v>34</v>
      </c>
      <c r="B76" t="str">
        <v>Storm MH, curn-Inlets, yarad-inlets, MH w/Pedestrian inlets structures &amp; grate type Catch Basins w/safety grate etc per various notes and/or similar to ….. on C-____ and detail _/C-_____</v>
      </c>
      <c r="C76" t="str">
        <v>Y</v>
      </c>
      <c r="I76" s="8">
        <f>H76*F76</f>
        <v>0</v>
      </c>
    </row>
    <row r="77" ht="14.25" customHeight="1">
      <c r="A77">
        <v>35</v>
      </c>
      <c r="B77" t="str">
        <v>_' x _ _ ' peak diversion MH Storm Filter Structure w/Cartridges per …..C-___ and details on C-____</v>
      </c>
      <c r="C77" t="str">
        <v>Y</v>
      </c>
      <c r="I77" s="8">
        <f>H77*F77</f>
        <v>0</v>
      </c>
    </row>
    <row r="78" ht="14.25" customHeight="1">
      <c r="A78">
        <v>36</v>
      </c>
      <c r="B78" t="str">
        <v>__" x _ _"  Stormgate Vault w/High Flow Bypass per __/C-___ detail on C-___ at …..</v>
      </c>
      <c r="C78" t="str">
        <v>Y</v>
      </c>
      <c r="I78" s="8">
        <f>H78*F78</f>
        <v>0</v>
      </c>
    </row>
    <row r="79" ht="14.25" customHeight="1">
      <c r="A79">
        <v>37</v>
      </c>
      <c r="B79" t="str">
        <v>Solid Underdrain Collector Piping at the perimeter of ___ , _____  and associated MH's &amp; drain basins structures per # __, ……./ C____ and detail on C-__ and/or L-_____</v>
      </c>
      <c r="C79" t="str">
        <v>Y</v>
      </c>
      <c r="I79" s="8">
        <f>H79*F79</f>
        <v>0</v>
      </c>
    </row>
    <row r="80" ht="14.25" customHeight="1">
      <c r="A80">
        <v>38</v>
      </c>
      <c r="B80" t="str">
        <v>Gravel w/Filter fabric at top of collector piping at synthetic turf fields per ____</v>
      </c>
      <c r="C80" t="str">
        <v>Y</v>
      </c>
      <c r="I80" s="8">
        <f>H80*F80</f>
        <v>0</v>
      </c>
    </row>
    <row r="81" ht="14.25" customHeight="1">
      <c r="A81">
        <v>39</v>
      </c>
      <c r="B81" t="str">
        <v>4" Perforated PVC  Storm  along _____ per #____ / C-__</v>
      </c>
      <c r="C81" t="str">
        <v>Y</v>
      </c>
      <c r="I81" s="8">
        <f>H81*F81</f>
        <v>0</v>
      </c>
    </row>
    <row r="82" ht="14.25" customHeight="1">
      <c r="A82">
        <v>40</v>
      </c>
      <c r="B82" t="str">
        <v>6" Perf PVC  wraped  in aggragate and fiter fabric per detail ____/C-___ and detail _/C-___</v>
      </c>
      <c r="C82" t="str">
        <v>Y</v>
      </c>
      <c r="I82" s="8">
        <f>H82*F82</f>
        <v>0</v>
      </c>
    </row>
    <row r="83" ht="14.25" customHeight="1">
      <c r="A83">
        <v>41</v>
      </c>
      <c r="B83" t="str">
        <v xml:space="preserve">Vertical 4" Perforated PVC wraped in aggregate and fabric at ….per __/C-__  (also per detail _/C-___) </v>
      </c>
      <c r="C83" t="str">
        <v>Y</v>
      </c>
      <c r="I83" s="8">
        <f>H83*F83</f>
        <v>0</v>
      </c>
    </row>
    <row r="84" ht="14.25" customHeight="1">
      <c r="A84">
        <v>42</v>
      </c>
      <c r="B84" t="str">
        <v xml:space="preserve">Furnish, insatll &amp; connect  - trench drain at ….. per #__/C-__. </v>
      </c>
      <c r="C84" t="str">
        <v>Y</v>
      </c>
      <c r="I84" s="8">
        <f>H84*F84</f>
        <v>0</v>
      </c>
    </row>
    <row r="85" ht="14.25" customHeight="1">
      <c r="A85">
        <v>43</v>
      </c>
      <c r="B85" t="str">
        <v>Connection to ex. Storm System as required</v>
      </c>
      <c r="C85" t="str">
        <v>Y</v>
      </c>
      <c r="I85" s="8">
        <f>H85*F85</f>
        <v>0</v>
      </c>
    </row>
    <row r="86" ht="14.25" customHeight="1">
      <c r="A86">
        <v>44</v>
      </c>
      <c r="C86" t="str">
        <v>Y</v>
      </c>
      <c r="I86" s="8">
        <f>H86*F86</f>
        <v>0</v>
      </c>
    </row>
    <row r="87" ht="14.25" customHeight="1">
      <c r="A87">
        <v>45</v>
      </c>
      <c r="B87" t="str">
        <v>STANDARD / GENERAL SCOPE</v>
      </c>
      <c r="C87" t="str">
        <v>Y</v>
      </c>
      <c r="I87" s="8">
        <f>H87*F87</f>
        <v>0</v>
      </c>
    </row>
    <row r="88" ht="14.25" customHeight="1">
      <c r="A88">
        <v>46</v>
      </c>
      <c r="B88" t="str">
        <v>Provide certified flag person and signs, barrels, arrow boards etc. as required</v>
      </c>
      <c r="C88" t="str">
        <v>Y</v>
      </c>
      <c r="I88" s="8">
        <f>H88*F88</f>
        <v>0</v>
      </c>
    </row>
    <row r="89" ht="14.25" customHeight="1">
      <c r="A89">
        <v>47</v>
      </c>
      <c r="B89" t="str">
        <v>Unclassified Excavation</v>
      </c>
      <c r="C89" t="str">
        <v>Y</v>
      </c>
      <c r="I89" s="8">
        <f>H89*F89</f>
        <v>0</v>
      </c>
    </row>
    <row r="90" ht="14.25" customHeight="1">
      <c r="A90">
        <v>48</v>
      </c>
      <c r="B90" t="str">
        <v>All utility work up to 5' of building wall</v>
      </c>
      <c r="C90" t="str">
        <v>Y</v>
      </c>
      <c r="I90" s="8">
        <f>H90*F90</f>
        <v>0</v>
      </c>
    </row>
    <row r="91" ht="14.25" customHeight="1">
      <c r="A91">
        <v>49</v>
      </c>
      <c r="B91" t="str">
        <v xml:space="preserve">Adjust ex. MH covers, valve boxes, etc. per final new grades. </v>
      </c>
      <c r="C91" t="str">
        <v>Y</v>
      </c>
      <c r="I91" s="8">
        <f>H91*F91</f>
        <v>0</v>
      </c>
    </row>
    <row r="92" ht="14.25" customHeight="1">
      <c r="A92">
        <v>50</v>
      </c>
      <c r="B92" t="str">
        <v xml:space="preserve">Compliances with MD SHA, VDOT, WSSC, WASA, DC Water &amp; Sewer Service Standards </v>
      </c>
      <c r="C92" t="str">
        <v>Y</v>
      </c>
      <c r="I92" s="8">
        <f>H92*F92</f>
        <v>0</v>
      </c>
    </row>
    <row r="93" ht="14.25" customHeight="1">
      <c r="A93">
        <v>51</v>
      </c>
      <c r="B93" t="str">
        <v>Saw Cutting, excavation, backfilling w/compaction of trenches &amp; around of Utility MH w/acceptable suitable material per MD SHA , VDOT, WSSC, WASA &amp; DDOT and Water Authorities Standards</v>
      </c>
      <c r="C93" t="str">
        <v>Y</v>
      </c>
      <c r="I93" s="8">
        <f>H93*F93</f>
        <v>0</v>
      </c>
    </row>
    <row r="94" ht="14.25" customHeight="1">
      <c r="A94">
        <v>52</v>
      </c>
      <c r="B94" t="str">
        <v xml:space="preserve">Test pits as necessary w/Handwork as required </v>
      </c>
      <c r="C94" t="str">
        <v>Y</v>
      </c>
      <c r="I94" s="8">
        <f>H94*F94</f>
        <v>0</v>
      </c>
    </row>
    <row r="95" ht="14.25" customHeight="1">
      <c r="A95">
        <v>53</v>
      </c>
      <c r="B95" t="str">
        <v xml:space="preserve">Surface water pumping </v>
      </c>
      <c r="C95" t="str">
        <v>Y</v>
      </c>
      <c r="I95" s="8">
        <f>H95*F95</f>
        <v>0</v>
      </c>
    </row>
    <row r="96" ht="14.25" customHeight="1">
      <c r="A96">
        <v>54</v>
      </c>
      <c r="B96" t="str">
        <v>Mobilization as required</v>
      </c>
      <c r="C96" t="str">
        <v>Y</v>
      </c>
      <c r="I96" s="8">
        <f>H96*F96</f>
        <v>0</v>
      </c>
    </row>
    <row r="97" ht="14.25" customHeight="1">
      <c r="A97">
        <v>55</v>
      </c>
      <c r="B97" t="str">
        <v>Erosion Control work for utility work for your trade including inlet protection at new inlets</v>
      </c>
      <c r="C97" t="str">
        <v>Y</v>
      </c>
      <c r="I97" s="8">
        <f>H97*F97</f>
        <v>0</v>
      </c>
    </row>
    <row r="98" ht="14.25" customHeight="1">
      <c r="A98">
        <v>56</v>
      </c>
      <c r="B98" t="str">
        <v>Road Plates, temp patching per DC  standards</v>
      </c>
      <c r="C98" t="str">
        <v>Y</v>
      </c>
      <c r="I98" s="8">
        <f>H98*F98</f>
        <v>0</v>
      </c>
    </row>
    <row r="99" ht="14.25" customHeight="1">
      <c r="A99">
        <v>57</v>
      </c>
      <c r="B99" t="str">
        <v>Steel plate permit  &amp; fees as applicable</v>
      </c>
      <c r="C99" t="str">
        <v>Y</v>
      </c>
      <c r="I99" s="8">
        <f>H99*F99</f>
        <v>0</v>
      </c>
    </row>
    <row r="100" ht="14.25" customHeight="1">
      <c r="A100">
        <v>58</v>
      </c>
      <c r="B100" t="str">
        <v>All valves, casings, fittings casing etc. as required</v>
      </c>
      <c r="C100" t="str">
        <v>Y</v>
      </c>
      <c r="I100" s="8">
        <f>H100*F100</f>
        <v>0</v>
      </c>
    </row>
    <row r="101" ht="14.25" customHeight="1">
      <c r="A101">
        <v>59</v>
      </c>
      <c r="B101" t="str">
        <v>All blocking, thurst blocks, restrains &amp; straps as required</v>
      </c>
      <c r="C101" t="str">
        <v>Y</v>
      </c>
      <c r="I101" s="8">
        <f>H101*F101</f>
        <v>0</v>
      </c>
    </row>
    <row r="102" ht="14.25" customHeight="1">
      <c r="A102">
        <v>60</v>
      </c>
      <c r="B102" t="str">
        <v>All test &amp; inspections per jurisdiction regulations</v>
      </c>
      <c r="C102" t="str">
        <v>Y</v>
      </c>
      <c r="I102" s="8">
        <f>H102*F102</f>
        <v>0</v>
      </c>
    </row>
    <row r="103" ht="14.25" customHeight="1">
      <c r="A103">
        <v>61</v>
      </c>
      <c r="B103" t="str">
        <v>Removal w/Offsite disposal &amp; dump fees of debris generated from demo of ex. utility pipe, structures &amp; street paving outside of excavating area PROVIDE QTY OF SPOILS ____cy</v>
      </c>
      <c r="C103" t="str">
        <v>Y</v>
      </c>
      <c r="I103" s="8">
        <f>H103*F103</f>
        <v>0</v>
      </c>
    </row>
    <row r="104" ht="14.25" customHeight="1">
      <c r="A104">
        <v>62</v>
      </c>
      <c r="B104" t="str">
        <v>Backfilling of trenches with offsite approved material in in public right of way</v>
      </c>
      <c r="C104" t="str">
        <v>Y</v>
      </c>
      <c r="I104" s="8">
        <f>H104*F104</f>
        <v>0</v>
      </c>
    </row>
    <row r="105" ht="14.25" customHeight="1">
      <c r="A105">
        <v>63</v>
      </c>
      <c r="B105" t="str">
        <v>Necessary pumping &amp; temp diversion pipes as required</v>
      </c>
      <c r="C105" t="str">
        <v>Y</v>
      </c>
      <c r="I105" s="8">
        <f>H105*F105</f>
        <v>0</v>
      </c>
    </row>
    <row r="106" ht="14.25" customHeight="1">
      <c r="I106" s="8">
        <f>H106*F106</f>
        <v>0</v>
      </c>
    </row>
    <row r="107" ht="14.25" customHeight="1">
      <c r="A107" t="str">
        <v>C</v>
      </c>
      <c r="B107" t="str">
        <v>Exclusions</v>
      </c>
    </row>
    <row r="108" ht="14.25" customHeight="1">
      <c r="A108">
        <v>1</v>
      </c>
      <c r="B108" t="str">
        <v>Surveying &amp; as built drawings</v>
      </c>
      <c r="C108" t="str">
        <v>N</v>
      </c>
    </row>
    <row r="109" ht="14.25" customHeight="1">
      <c r="A109">
        <f>A108+1</f>
        <v>2</v>
      </c>
      <c r="B109" t="str">
        <v>Utilities within 5' of Bldg.</v>
      </c>
      <c r="C109" t="str">
        <v>N</v>
      </c>
    </row>
    <row r="110" ht="14.25" customHeight="1">
      <c r="A110">
        <f>A109+1</f>
        <v>3</v>
      </c>
      <c r="B110" t="str">
        <v>Handling &amp; disposal of Contaminated Material</v>
      </c>
      <c r="C110" t="str">
        <v>N</v>
      </c>
    </row>
    <row r="111" ht="14.25" customHeight="1">
      <c r="A111">
        <f>A110+1</f>
        <v>4</v>
      </c>
      <c r="B111" t="str">
        <v>Special Backfill similar to topsoil, Seeding &amp; Sod... etc.</v>
      </c>
      <c r="C111" t="str">
        <v>N</v>
      </c>
    </row>
    <row r="112" ht="14.25" customHeight="1">
      <c r="A112">
        <f>A111+1</f>
        <v>5</v>
      </c>
      <c r="B112" t="str">
        <v>1" &amp; 1-1/2" Copper lines</v>
      </c>
      <c r="C112" t="str">
        <v>N</v>
      </c>
    </row>
    <row r="113" ht="14.25" customHeight="1">
      <c r="A113">
        <f>A112+1</f>
        <v>6</v>
      </c>
      <c r="B113" t="str">
        <v>Perm Patch at Roads &amp; Other Perm Paving</v>
      </c>
      <c r="C113" t="str">
        <v>N</v>
      </c>
    </row>
    <row r="114" ht="14.25" customHeight="1"/>
    <row r="115" ht="14.25" customHeight="1">
      <c r="A115" t="str">
        <v>D</v>
      </c>
      <c r="B115" t="str">
        <v>Schedule</v>
      </c>
    </row>
    <row r="116" ht="14.25" customHeight="1">
      <c r="A116">
        <v>1</v>
      </c>
      <c r="B116" t="str">
        <v>Meet MCN Schedule</v>
      </c>
      <c r="C116" t="str">
        <v>Y</v>
      </c>
    </row>
    <row r="117" ht="14.25" customHeight="1">
      <c r="A117">
        <f>A116+1</f>
        <v>2</v>
      </c>
      <c r="B117" t="str">
        <v>Advise of Durations</v>
      </c>
    </row>
    <row r="118" ht="14.25" customHeight="1">
      <c r="A118">
        <f>A117+1</f>
        <v>3</v>
      </c>
      <c r="B118" t="str">
        <v>Activity 1</v>
      </c>
      <c r="C118" t="str">
        <v>---&gt;</v>
      </c>
    </row>
    <row r="119" ht="14.25" customHeight="1">
      <c r="A119">
        <f>A118+1</f>
        <v>4</v>
      </c>
      <c r="B119" t="str">
        <v>Activity 2</v>
      </c>
      <c r="C119" t="str">
        <v>---&gt;</v>
      </c>
    </row>
    <row r="120" ht="14.25" customHeight="1">
      <c r="A120">
        <f>A119+1</f>
        <v>5</v>
      </c>
      <c r="B120" t="str">
        <v>Activity 3</v>
      </c>
      <c r="C120" t="str">
        <v>---&gt;</v>
      </c>
    </row>
    <row r="121" ht="14.25" customHeight="1">
      <c r="A121">
        <f>A120+1</f>
        <v>6</v>
      </c>
      <c r="B121" t="str">
        <v>Duration for Submittals and Shop Drawings</v>
      </c>
      <c r="C121" t="str">
        <v>---&gt;</v>
      </c>
    </row>
    <row r="122" ht="14.25" customHeight="1">
      <c r="A122">
        <f>A121+1</f>
        <v>7</v>
      </c>
      <c r="B122" t="str">
        <v>Advise of Lead Times:</v>
      </c>
    </row>
    <row r="123" ht="14.25" customHeight="1">
      <c r="A123">
        <f>A122+1</f>
        <v>8</v>
      </c>
      <c r="B123" t="str">
        <v>Material 1</v>
      </c>
      <c r="C123" t="str">
        <v>---&gt;</v>
      </c>
    </row>
    <row r="124" ht="14.25" customHeight="1">
      <c r="A124">
        <f>A123+1</f>
        <v>9</v>
      </c>
      <c r="B124" t="str">
        <v>Material 2</v>
      </c>
      <c r="C124" t="str">
        <v>---&gt;</v>
      </c>
    </row>
    <row r="125" ht="14.25" customHeight="1">
      <c r="A125">
        <f>A124+1</f>
        <v>10</v>
      </c>
      <c r="B125" t="str">
        <v>Material 3</v>
      </c>
      <c r="C125" t="str">
        <v>---&gt;</v>
      </c>
    </row>
    <row r="126" ht="14.25" customHeight="1"/>
    <row r="127" ht="14.25" customHeight="1"/>
    <row r="128" ht="14.25" customHeight="1">
      <c r="B128" t="str">
        <v>Allowances</v>
      </c>
    </row>
    <row r="129" ht="14.25" customHeight="1">
      <c r="A129">
        <v>1</v>
      </c>
    </row>
    <row r="130" ht="14.25" customHeight="1">
      <c r="A130">
        <f>A129+1</f>
        <v>2</v>
      </c>
    </row>
    <row r="131" ht="14.25" customHeight="1">
      <c r="A131">
        <f>A130+1</f>
        <v>3</v>
      </c>
    </row>
    <row r="132" ht="14.25" customHeight="1">
      <c r="A132">
        <f>A131+1</f>
        <v>4</v>
      </c>
    </row>
    <row r="133" ht="14.25" customHeight="1"/>
    <row r="134" ht="14.25" customHeight="1"/>
    <row r="135" ht="14.25" customHeight="1">
      <c r="B135" t="str">
        <v>Alternates</v>
      </c>
    </row>
    <row r="136" ht="14.25" customHeight="1">
      <c r="A136">
        <v>1</v>
      </c>
      <c r="C136" t="str">
        <v>#</v>
      </c>
    </row>
    <row r="137" ht="14.25" customHeight="1">
      <c r="A137">
        <f>A136+1</f>
        <v>2</v>
      </c>
      <c r="C137" t="str">
        <v>#</v>
      </c>
    </row>
    <row r="138" ht="14.25" customHeight="1">
      <c r="A138">
        <f>A137+1</f>
        <v>3</v>
      </c>
      <c r="C138" t="str">
        <v>#</v>
      </c>
    </row>
    <row r="139" ht="14.25" customHeight="1">
      <c r="A139">
        <f>A138+1</f>
        <v>4</v>
      </c>
      <c r="C139" t="str">
        <v>#</v>
      </c>
    </row>
    <row r="140" ht="14.25" customHeight="1">
      <c r="C140" t="str">
        <v>#</v>
      </c>
    </row>
    <row r="141" ht="14.25" customHeight="1">
      <c r="B141" t="str">
        <v>Unit Prices</v>
      </c>
    </row>
    <row r="142" ht="14.25" customHeight="1">
      <c r="A142">
        <v>1</v>
      </c>
      <c r="C142" t="str">
        <v>#</v>
      </c>
    </row>
    <row r="143" ht="14.25" customHeight="1">
      <c r="A143">
        <f>A142+1</f>
        <v>2</v>
      </c>
      <c r="C143" t="str">
        <v>#</v>
      </c>
    </row>
    <row r="144" ht="14.25" customHeight="1">
      <c r="A144">
        <f>A143+1</f>
        <v>3</v>
      </c>
      <c r="C144" t="str">
        <v>#</v>
      </c>
    </row>
    <row r="145" ht="14.25" customHeight="1">
      <c r="A145">
        <f>A144+1</f>
        <v>4</v>
      </c>
      <c r="C145" t="str">
        <v>#</v>
      </c>
    </row>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4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33 - DRY UTILITIES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SUM(I20:I97,I13:I18)</f>
        <v>0</v>
      </c>
      <c r="K7" t="str">
        <v>Adjustments:</v>
      </c>
      <c r="L7" s="4">
        <f>SUM(L13:L18,L20:L97)</f>
        <v>0</v>
      </c>
      <c r="N7" t="str">
        <v>Adjustments:</v>
      </c>
      <c r="O7" s="4">
        <f>SUM(O13:O18,O20:O97)</f>
        <v>0</v>
      </c>
      <c r="Q7" t="str">
        <v>Adjustments:</v>
      </c>
      <c r="R7" s="4">
        <f>SUM(R13:R18,R20:R97)</f>
        <v>0</v>
      </c>
      <c r="T7" t="str">
        <v>Adjustments:</v>
      </c>
      <c r="U7" s="4">
        <f>SUM(U13:U18,U20:U97)</f>
        <v>0</v>
      </c>
      <c r="W7" t="str">
        <v>Adjustments:</v>
      </c>
      <c r="X7" s="4">
        <f>SUM(X13:X18,X20:X97)</f>
        <v>0</v>
      </c>
      <c r="Z7" t="str">
        <v>Adjustments:</v>
      </c>
      <c r="AA7" s="4">
        <f>SUM(AA13:AA18,AA20:AA97)</f>
        <v>0</v>
      </c>
      <c r="AC7" t="str">
        <v>Adjustments:</v>
      </c>
      <c r="AD7" s="4">
        <f>SUM(AD13:AD18,AD20:AD97)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PEPCO Dry Utilities - By Richter &amp; Associates dated ______</v>
      </c>
      <c r="C43" t="str">
        <v>Y</v>
      </c>
      <c r="I43" s="8">
        <f>H43*F43</f>
        <v>0</v>
      </c>
    </row>
    <row r="44" ht="14.25" customHeight="1">
      <c r="A44">
        <v>3</v>
      </c>
      <c r="B44" t="str">
        <v>F&amp;I Secondary</v>
      </c>
      <c r="C44" t="str">
        <v>Y</v>
      </c>
      <c r="I44" s="8">
        <f>H44*F44</f>
        <v>0</v>
      </c>
    </row>
    <row r="45" ht="14.25" customHeight="1">
      <c r="A45">
        <v>4</v>
      </c>
      <c r="B45" t="str">
        <v>Onsite, ductbank, manholes, transformer vaults, and bus holes, from property line to switchgear</v>
      </c>
      <c r="C45" t="str">
        <v>Y</v>
      </c>
      <c r="I45" s="8">
        <f>H45*F45</f>
        <v>0</v>
      </c>
    </row>
    <row r="46" ht="14.25" customHeight="1">
      <c r="A46">
        <v>5</v>
      </c>
      <c r="B46" t="str">
        <v>Onsite PEPCO tops</v>
      </c>
      <c r="C46" t="str">
        <v>Y</v>
      </c>
      <c r="I46" s="8">
        <f>H46*F46</f>
        <v>0</v>
      </c>
    </row>
    <row r="47" ht="14.25" customHeight="1">
      <c r="A47">
        <v>6</v>
      </c>
      <c r="B47" t="str">
        <v>Mule line for PEPCO</v>
      </c>
      <c r="C47" t="str">
        <v>Y</v>
      </c>
      <c r="I47" s="8">
        <f>H47*F47</f>
        <v>0</v>
      </c>
    </row>
    <row r="48" ht="14.25" customHeight="1">
      <c r="A48">
        <v>7</v>
      </c>
      <c r="C48" t="str">
        <v>Y</v>
      </c>
      <c r="I48" s="8">
        <f>H48*F48</f>
        <v>0</v>
      </c>
    </row>
    <row r="49" ht="14.25" customHeight="1">
      <c r="A49">
        <v>8</v>
      </c>
      <c r="B49" t="str">
        <v>STANDARD / GENERAL SCOPE</v>
      </c>
      <c r="C49" t="str">
        <v>Y</v>
      </c>
      <c r="I49" s="8">
        <f>H49*F49</f>
        <v>0</v>
      </c>
    </row>
    <row r="50" ht="14.25" customHeight="1">
      <c r="A50">
        <v>9</v>
      </c>
      <c r="B50" t="str">
        <v>Provide certified flag person and signs, barrels, arrow boards etc. as required</v>
      </c>
      <c r="C50" t="str">
        <v>Y</v>
      </c>
      <c r="I50" s="8">
        <f>H50*F50</f>
        <v>0</v>
      </c>
    </row>
    <row r="51" ht="14.25" customHeight="1">
      <c r="A51">
        <v>10</v>
      </c>
      <c r="B51" t="str">
        <v>Unclassified Excavation</v>
      </c>
      <c r="C51" t="str">
        <v>Y</v>
      </c>
      <c r="I51" s="8">
        <f>H51*F51</f>
        <v>0</v>
      </c>
    </row>
    <row r="52" ht="14.25" customHeight="1">
      <c r="A52">
        <v>11</v>
      </c>
      <c r="B52" t="str">
        <v>All utility work up to 5' of building wall</v>
      </c>
      <c r="C52" t="str">
        <v>Y</v>
      </c>
      <c r="I52" s="8">
        <f>H52*F52</f>
        <v>0</v>
      </c>
    </row>
    <row r="53" ht="14.25" customHeight="1">
      <c r="A53">
        <v>12</v>
      </c>
      <c r="B53" t="str">
        <v xml:space="preserve">Adjust ex. MH covers, valve boxes, etc. per final new grades. </v>
      </c>
      <c r="C53" t="str">
        <v>Y</v>
      </c>
      <c r="I53" s="8">
        <f>H53*F53</f>
        <v>0</v>
      </c>
    </row>
    <row r="54" ht="14.25" customHeight="1">
      <c r="A54">
        <v>13</v>
      </c>
      <c r="B54" t="str">
        <v xml:space="preserve">Compliances with MD SHA, VDOT, WSSC, WASA, DC Water &amp; Sewer Service Standards </v>
      </c>
      <c r="C54" t="str">
        <v>Y</v>
      </c>
      <c r="I54" s="8">
        <f>H54*F54</f>
        <v>0</v>
      </c>
    </row>
    <row r="55" ht="14.25" customHeight="1">
      <c r="A55">
        <v>14</v>
      </c>
      <c r="B55" t="str">
        <v>Saw Cutting, excavation, backfilling w/compaction of trenches &amp; around of Utility MH w/acceptable suitable material per MD SHA , VDOT, WSSC, WASA &amp; DDOT and Water Authorities Standards</v>
      </c>
      <c r="C55" t="str">
        <v>Y</v>
      </c>
      <c r="I55" s="8">
        <f>H55*F55</f>
        <v>0</v>
      </c>
    </row>
    <row r="56" ht="14.25" customHeight="1">
      <c r="A56">
        <v>15</v>
      </c>
      <c r="B56" t="str">
        <v xml:space="preserve">Test pits as necessary w/Handwork as required </v>
      </c>
      <c r="C56" t="str">
        <v>Y</v>
      </c>
      <c r="I56" s="8">
        <f>H56*F56</f>
        <v>0</v>
      </c>
    </row>
    <row r="57" ht="14.25" customHeight="1">
      <c r="A57">
        <v>16</v>
      </c>
      <c r="B57" t="str">
        <v xml:space="preserve">Surface water pumping </v>
      </c>
      <c r="C57" t="str">
        <v>Y</v>
      </c>
      <c r="I57" s="8">
        <f>H57*F57</f>
        <v>0</v>
      </c>
    </row>
    <row r="58" ht="14.25" customHeight="1">
      <c r="A58">
        <v>17</v>
      </c>
      <c r="B58" t="str">
        <v>Mobilization as required</v>
      </c>
      <c r="C58" t="str">
        <v>Y</v>
      </c>
      <c r="I58" s="8">
        <f>H58*F58</f>
        <v>0</v>
      </c>
    </row>
    <row r="59" ht="14.25" customHeight="1">
      <c r="A59">
        <v>18</v>
      </c>
      <c r="B59" t="str">
        <v>Erosion Control work for utility work for your trade including inlet protection at new inlets</v>
      </c>
      <c r="C59" t="str">
        <v>Y</v>
      </c>
      <c r="I59" s="8">
        <f>H59*F59</f>
        <v>0</v>
      </c>
    </row>
    <row r="60" ht="14.25" customHeight="1">
      <c r="A60">
        <v>19</v>
      </c>
      <c r="B60" t="str">
        <v>Road Plates, temp patching per DC  standards</v>
      </c>
      <c r="C60" t="str">
        <v>Y</v>
      </c>
      <c r="I60" s="8">
        <f>H60*F60</f>
        <v>0</v>
      </c>
    </row>
    <row r="61" ht="14.25" customHeight="1">
      <c r="A61">
        <v>20</v>
      </c>
      <c r="B61" t="str">
        <v>Steel plate permit  &amp; fees as applicable</v>
      </c>
      <c r="C61" t="str">
        <v>Y</v>
      </c>
      <c r="I61" s="8">
        <f>H61*F61</f>
        <v>0</v>
      </c>
    </row>
    <row r="62" ht="14.25" customHeight="1">
      <c r="A62">
        <v>21</v>
      </c>
      <c r="B62" t="str">
        <v>All valves, casings, fittings casing etc. as required</v>
      </c>
      <c r="C62" t="str">
        <v>Y</v>
      </c>
      <c r="I62" s="8">
        <f>H62*F62</f>
        <v>0</v>
      </c>
    </row>
    <row r="63" ht="14.25" customHeight="1">
      <c r="A63">
        <v>22</v>
      </c>
      <c r="B63" t="str">
        <v>Grouting of all dry utility sleeves after feeder install.</v>
      </c>
      <c r="C63" t="str">
        <v>Y</v>
      </c>
      <c r="I63" s="8">
        <f>H63*F63</f>
        <v>0</v>
      </c>
    </row>
    <row r="64" ht="14.25" customHeight="1">
      <c r="A64">
        <v>23</v>
      </c>
      <c r="B64" t="str">
        <v>All test &amp; inspections per jurisdiction regulations</v>
      </c>
      <c r="C64" t="str">
        <v>Y</v>
      </c>
      <c r="I64" s="8">
        <f>H64*F64</f>
        <v>0</v>
      </c>
    </row>
    <row r="65" ht="14.25" customHeight="1">
      <c r="A65">
        <v>24</v>
      </c>
      <c r="B65" t="str">
        <v>Removal w/Offsite disposal &amp; dump fees of debris generated from demo of ex. utility pipe, structures &amp; street paving outside of excavating area PROVIDE QTY OF SPOILS ____cy</v>
      </c>
      <c r="C65" t="str">
        <v>Y</v>
      </c>
      <c r="I65" s="8">
        <f>H65*F65</f>
        <v>0</v>
      </c>
    </row>
    <row r="66" ht="14.25" customHeight="1">
      <c r="A66">
        <v>25</v>
      </c>
      <c r="B66" t="str">
        <v>Backfilling of trenches with offsite approved material in in public right of way</v>
      </c>
      <c r="C66" t="str">
        <v>Y</v>
      </c>
      <c r="I66" s="8">
        <f>H66*F66</f>
        <v>0</v>
      </c>
    </row>
    <row r="67" ht="14.25" customHeight="1">
      <c r="A67">
        <v>26</v>
      </c>
      <c r="C67" t="str">
        <v>Y</v>
      </c>
      <c r="I67" s="8">
        <f>H67*F67</f>
        <v>0</v>
      </c>
    </row>
    <row r="68" ht="14.25" customHeight="1">
      <c r="A68">
        <v>27</v>
      </c>
      <c r="C68" t="str">
        <v>Y</v>
      </c>
      <c r="I68" s="8">
        <f>H68*F68</f>
        <v>0</v>
      </c>
    </row>
    <row r="69" ht="14.25" customHeight="1">
      <c r="I69" s="8">
        <f>H69*F69</f>
        <v>0</v>
      </c>
    </row>
    <row r="70" ht="14.25" customHeight="1">
      <c r="A70" t="str">
        <v>C</v>
      </c>
      <c r="B70" t="str">
        <v>Exclusions</v>
      </c>
    </row>
    <row r="71" ht="14.25" customHeight="1">
      <c r="A71">
        <v>1</v>
      </c>
      <c r="B71" t="str">
        <v>Site Lighting and Conduits</v>
      </c>
      <c r="C71" t="str">
        <v>N</v>
      </c>
      <c r="D71" t="str">
        <v>By Elec</v>
      </c>
      <c r="I71" s="8">
        <f>H71*F71</f>
        <v>0</v>
      </c>
    </row>
    <row r="72" ht="14.25" customHeight="1">
      <c r="A72">
        <v>2</v>
      </c>
      <c r="B72" t="str">
        <v>F&amp;I Site Light Fixtures</v>
      </c>
      <c r="C72" t="str">
        <v>N</v>
      </c>
      <c r="D72" t="str">
        <v>By Elec</v>
      </c>
      <c r="I72" s="8">
        <f>H72*F72</f>
        <v>0</v>
      </c>
    </row>
    <row r="73" ht="14.25" customHeight="1">
      <c r="A73">
        <v>3</v>
      </c>
      <c r="B73" t="str">
        <v>F&amp;I Site Lighting Conduit and base</v>
      </c>
      <c r="C73" t="str">
        <v>N</v>
      </c>
      <c r="D73" t="str">
        <v>By Elec</v>
      </c>
      <c r="I73" s="8">
        <f>H73*F73</f>
        <v>0</v>
      </c>
    </row>
    <row r="74" ht="14.25" customHeight="1">
      <c r="A74">
        <v>4</v>
      </c>
      <c r="B74" t="str">
        <v>F&amp;I Relocation of conduit</v>
      </c>
      <c r="C74" t="str">
        <v>N</v>
      </c>
      <c r="D74" t="str">
        <v>By Elec</v>
      </c>
      <c r="I74" s="8">
        <f>H74*F74</f>
        <v>0</v>
      </c>
    </row>
    <row r="75" ht="14.25" customHeight="1">
      <c r="A75">
        <v>5</v>
      </c>
      <c r="B75" t="str">
        <v>Repeter/Responsder/Booster</v>
      </c>
      <c r="C75" t="str">
        <v>N</v>
      </c>
      <c r="D75" t="str">
        <v>By Elec</v>
      </c>
      <c r="I75" s="8">
        <f>H75*F75</f>
        <v>0</v>
      </c>
    </row>
    <row r="76" ht="14.25" customHeight="1">
      <c r="A76">
        <v>6</v>
      </c>
      <c r="B76" t="str">
        <v>Duct bank, bases, and manholes for four (4) DC standard street lights allowance</v>
      </c>
      <c r="C76" t="str">
        <v>N</v>
      </c>
      <c r="D76" t="str">
        <v>By Elec</v>
      </c>
      <c r="I76" s="8">
        <f>H76*F76</f>
        <v>0</v>
      </c>
    </row>
    <row r="77" ht="14.25" customHeight="1">
      <c r="A77">
        <v>7</v>
      </c>
      <c r="B77" t="str">
        <v>Conduit and boxes (pathways) for security wiring allowance</v>
      </c>
      <c r="C77" t="str">
        <v>N</v>
      </c>
      <c r="D77" t="str">
        <v>By Elec</v>
      </c>
      <c r="I77" s="8">
        <f>H77*F77</f>
        <v>0</v>
      </c>
    </row>
    <row r="78" ht="14.25" customHeight="1"/>
    <row r="79" ht="14.25" customHeight="1">
      <c r="A79" t="str">
        <v>D</v>
      </c>
      <c r="B79" t="str">
        <v>Schedule</v>
      </c>
    </row>
    <row r="80" ht="14.25" customHeight="1">
      <c r="A80">
        <v>1</v>
      </c>
      <c r="B80" t="str">
        <v>Meet MCN Schedule</v>
      </c>
      <c r="C80" t="str">
        <v>Y</v>
      </c>
    </row>
    <row r="81" ht="14.25" customHeight="1">
      <c r="A81">
        <f>A80+1</f>
        <v>2</v>
      </c>
      <c r="B81" t="str">
        <v>Advise of Durations</v>
      </c>
    </row>
    <row r="82" ht="14.25" customHeight="1">
      <c r="A82">
        <f>A81+1</f>
        <v>3</v>
      </c>
      <c r="B82" t="str">
        <v>Activity 1</v>
      </c>
      <c r="C82" t="str">
        <v>---&gt;</v>
      </c>
    </row>
    <row r="83" ht="14.25" customHeight="1">
      <c r="A83">
        <f>A82+1</f>
        <v>4</v>
      </c>
      <c r="B83" t="str">
        <v>Activity 2</v>
      </c>
      <c r="C83" t="str">
        <v>---&gt;</v>
      </c>
    </row>
    <row r="84" ht="14.25" customHeight="1">
      <c r="A84">
        <f>A83+1</f>
        <v>5</v>
      </c>
      <c r="B84" t="str">
        <v>Activity 3</v>
      </c>
      <c r="C84" t="str">
        <v>---&gt;</v>
      </c>
    </row>
    <row r="85" ht="14.25" customHeight="1">
      <c r="A85">
        <f>A84+1</f>
        <v>6</v>
      </c>
      <c r="B85" t="str">
        <v>Duration for Submittals and Shop Drawings</v>
      </c>
      <c r="C85" t="str">
        <v>---&gt;</v>
      </c>
    </row>
    <row r="86" ht="14.25" customHeight="1">
      <c r="A86">
        <f>A85+1</f>
        <v>7</v>
      </c>
      <c r="B86" t="str">
        <v>Advise of Lead Times:</v>
      </c>
    </row>
    <row r="87" ht="14.25" customHeight="1">
      <c r="A87">
        <f>A86+1</f>
        <v>8</v>
      </c>
      <c r="B87" t="str">
        <v>Material 1</v>
      </c>
      <c r="C87" t="str">
        <v>---&gt;</v>
      </c>
    </row>
    <row r="88" ht="14.25" customHeight="1">
      <c r="A88">
        <f>A87+1</f>
        <v>9</v>
      </c>
      <c r="B88" t="str">
        <v>Material 2</v>
      </c>
      <c r="C88" t="str">
        <v>---&gt;</v>
      </c>
    </row>
    <row r="89" ht="14.25" customHeight="1">
      <c r="A89">
        <f>A88+1</f>
        <v>10</v>
      </c>
      <c r="B89" t="str">
        <v>Material 3</v>
      </c>
      <c r="C89" t="str">
        <v>---&gt;</v>
      </c>
    </row>
    <row r="90" ht="14.25" customHeight="1"/>
    <row r="91" ht="14.25" customHeight="1"/>
    <row r="92" ht="14.25" customHeight="1">
      <c r="B92" t="str">
        <v>Allowances</v>
      </c>
    </row>
    <row r="93" ht="14.25" customHeight="1">
      <c r="A93">
        <v>1</v>
      </c>
    </row>
    <row r="94" ht="14.25" customHeight="1">
      <c r="A94">
        <f>A93+1</f>
        <v>2</v>
      </c>
    </row>
    <row r="95" ht="14.25" customHeight="1">
      <c r="A95">
        <f>A94+1</f>
        <v>3</v>
      </c>
    </row>
    <row r="96" ht="14.25" customHeight="1">
      <c r="A96">
        <f>A95+1</f>
        <v>4</v>
      </c>
    </row>
    <row r="97" ht="14.25" customHeight="1"/>
    <row r="98" ht="14.25" customHeight="1"/>
    <row r="99" ht="14.25" customHeight="1">
      <c r="B99" t="str">
        <v>Alternates</v>
      </c>
    </row>
    <row r="100" ht="14.25" customHeight="1">
      <c r="A100">
        <v>1</v>
      </c>
      <c r="C100" t="str">
        <v>#</v>
      </c>
    </row>
    <row r="101" ht="14.25" customHeight="1">
      <c r="A101">
        <f>A100+1</f>
        <v>2</v>
      </c>
      <c r="C101" t="str">
        <v>#</v>
      </c>
    </row>
    <row r="102" ht="14.25" customHeight="1">
      <c r="A102">
        <f>A101+1</f>
        <v>3</v>
      </c>
      <c r="C102" t="str">
        <v>#</v>
      </c>
    </row>
    <row r="103" ht="14.25" customHeight="1">
      <c r="A103">
        <f>A102+1</f>
        <v>4</v>
      </c>
      <c r="C103" t="str">
        <v>#</v>
      </c>
    </row>
    <row r="104" ht="14.25" customHeight="1">
      <c r="C104" t="str">
        <v>#</v>
      </c>
    </row>
    <row r="105" ht="14.25" customHeight="1">
      <c r="B105" t="str">
        <v>Unit Prices</v>
      </c>
    </row>
    <row r="106" ht="14.25" customHeight="1">
      <c r="A106">
        <v>1</v>
      </c>
      <c r="C106" t="str">
        <v>#</v>
      </c>
    </row>
    <row r="107" ht="14.25" customHeight="1">
      <c r="A107">
        <f>A106+1</f>
        <v>2</v>
      </c>
      <c r="C107" t="str">
        <v>#</v>
      </c>
    </row>
    <row r="108" ht="14.25" customHeight="1">
      <c r="A108">
        <f>A107+1</f>
        <v>3</v>
      </c>
      <c r="C108" t="str">
        <v>#</v>
      </c>
    </row>
    <row r="109" ht="14.25" customHeight="1">
      <c r="A109">
        <f>A108+1</f>
        <v>4</v>
      </c>
      <c r="C109" t="str">
        <v>#</v>
      </c>
    </row>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4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33 - GEOTHERMAL</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SUM(I20:I88,I13:I18)</f>
        <v>0</v>
      </c>
      <c r="K7" t="str">
        <v>Adjustments:</v>
      </c>
      <c r="L7" s="4">
        <f>SUM(L13:L18,L20:L88)</f>
        <v>0</v>
      </c>
      <c r="N7" t="str">
        <v>Adjustments:</v>
      </c>
      <c r="O7" s="4">
        <f>SUM(O13:O18,O20:O88)</f>
        <v>0</v>
      </c>
      <c r="Q7" t="str">
        <v>Adjustments:</v>
      </c>
      <c r="R7" s="4">
        <f>SUM(R13:R18,R20:R88)</f>
        <v>0</v>
      </c>
      <c r="T7" t="str">
        <v>Adjustments:</v>
      </c>
      <c r="U7" s="4">
        <f>SUM(U13:U18,U20:U88)</f>
        <v>0</v>
      </c>
      <c r="W7" t="str">
        <v>Adjustments:</v>
      </c>
      <c r="X7" s="4">
        <f>SUM(X13:X18,X20:X88)</f>
        <v>0</v>
      </c>
      <c r="Z7" t="str">
        <v>Adjustments:</v>
      </c>
      <c r="AA7" s="4">
        <f>SUM(AA13:AA18,AA20:AA88)</f>
        <v>0</v>
      </c>
      <c r="AC7" t="str">
        <v>Adjustments:</v>
      </c>
      <c r="AD7" s="4">
        <f>SUM(AD13:AD18,AD20:AD88)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Geothermal Wells</v>
      </c>
      <c r="C43" t="str">
        <v>Y</v>
      </c>
      <c r="I43" s="8">
        <f>H43*F43</f>
        <v>0</v>
      </c>
    </row>
    <row r="44" ht="14.25" customHeight="1">
      <c r="A44">
        <v>3</v>
      </c>
      <c r="B44" t="str">
        <v>Drill and install ___Ea [1.25, 1.5, 1.75, or 2"] diameter geothermal loops to a depth of ____feet. Referene sheets ___ of ___</v>
      </c>
      <c r="C44" t="str">
        <v>Y</v>
      </c>
      <c r="I44" s="8">
        <f>H44*F44</f>
        <v>0</v>
      </c>
    </row>
    <row r="45" ht="14.25" customHeight="1">
      <c r="A45">
        <v>4</v>
      </c>
      <c r="B45" t="str">
        <v>Pipes, fitting, and manifold</v>
      </c>
      <c r="C45" t="str">
        <v>Y</v>
      </c>
      <c r="I45" s="8">
        <f>H45*F45</f>
        <v>0</v>
      </c>
    </row>
    <row r="46" ht="14.25" customHeight="1">
      <c r="A46">
        <v>5</v>
      </c>
      <c r="B46" t="str">
        <v>PVC casings as required</v>
      </c>
      <c r="C46" t="str">
        <v>Y</v>
      </c>
      <c r="I46" s="8">
        <f>H46*F46</f>
        <v>0</v>
      </c>
    </row>
    <row r="47" ht="14.25" customHeight="1">
      <c r="A47">
        <v>6</v>
      </c>
      <c r="B47" t="str">
        <v>Mechanical flanged connections</v>
      </c>
      <c r="C47" t="str">
        <v>Y</v>
      </c>
      <c r="I47" s="8">
        <f>H47*F47</f>
        <v>0</v>
      </c>
    </row>
    <row r="48" ht="14.25" customHeight="1">
      <c r="A48">
        <v>7</v>
      </c>
      <c r="C48" t="str">
        <v>Y</v>
      </c>
      <c r="I48" s="8">
        <f>H48*F48</f>
        <v>0</v>
      </c>
    </row>
    <row r="49" ht="14.25" customHeight="1">
      <c r="A49">
        <v>8</v>
      </c>
      <c r="B49" t="str">
        <v>STANDARD / GENERAL SCOPE</v>
      </c>
      <c r="C49" t="str">
        <v>Y</v>
      </c>
      <c r="I49" s="8">
        <f>H49*F49</f>
        <v>0</v>
      </c>
    </row>
    <row r="50" ht="14.25" customHeight="1">
      <c r="A50">
        <v>9</v>
      </c>
      <c r="B50" t="str">
        <v>Hangers &amp; supports for  piping and equipment provided under this scope</v>
      </c>
      <c r="C50" t="str">
        <v>Y</v>
      </c>
      <c r="I50" s="8">
        <f>H50*F50</f>
        <v>0</v>
      </c>
    </row>
    <row r="51" ht="14.25" customHeight="1">
      <c r="A51">
        <v>10</v>
      </c>
      <c r="B51" t="str">
        <v>All rigging &amp; hoisting required for Geothermal work.</v>
      </c>
      <c r="C51" t="str">
        <v>Y</v>
      </c>
      <c r="I51" s="8">
        <f>H51*F51</f>
        <v>0</v>
      </c>
    </row>
    <row r="52" ht="14.25" customHeight="1">
      <c r="A52">
        <v>11</v>
      </c>
      <c r="B52" t="str">
        <v>Comply with specifications for coordinated drawings</v>
      </c>
      <c r="C52" t="str">
        <v>Y</v>
      </c>
      <c r="I52" s="8">
        <f>H52*F52</f>
        <v>0</v>
      </c>
    </row>
    <row r="53" ht="14.25" customHeight="1">
      <c r="A53">
        <v>12</v>
      </c>
      <c r="B53" t="str">
        <v>Pressure testing</v>
      </c>
      <c r="C53" t="str">
        <v>Y</v>
      </c>
      <c r="I53" s="8">
        <f>H53*F53</f>
        <v>0</v>
      </c>
    </row>
    <row r="54" ht="14.25" customHeight="1">
      <c r="A54">
        <v>13</v>
      </c>
      <c r="B54" t="str">
        <v>Tracer wires for geothermal work</v>
      </c>
      <c r="C54" t="str">
        <v>Y</v>
      </c>
      <c r="I54" s="8">
        <f>H54*F54</f>
        <v>0</v>
      </c>
    </row>
    <row r="55" ht="14.25" customHeight="1">
      <c r="A55">
        <v>14</v>
      </c>
      <c r="B55" t="str">
        <v>Complete flushing of system</v>
      </c>
      <c r="C55" t="str">
        <v>Y</v>
      </c>
      <c r="I55" s="8">
        <f>H55*F55</f>
        <v>0</v>
      </c>
    </row>
    <row r="56" ht="14.25" customHeight="1">
      <c r="A56">
        <v>15</v>
      </c>
      <c r="B56" t="str">
        <v>Layout for openings</v>
      </c>
      <c r="C56" t="str">
        <v>Y</v>
      </c>
      <c r="I56" s="8">
        <f>H56*F56</f>
        <v>0</v>
      </c>
    </row>
    <row r="57" ht="14.25" customHeight="1">
      <c r="A57">
        <v>16</v>
      </c>
      <c r="B57" t="str">
        <v>Removal w/Offsite disposal &amp; dump fees of debris generated from drilling operations inside of excavating area PROVIDE QTY OF SPOILS ____cy</v>
      </c>
      <c r="C57" t="str">
        <v>Y</v>
      </c>
      <c r="I57" s="8">
        <f>H57*F57</f>
        <v>0</v>
      </c>
    </row>
    <row r="58" ht="14.25" customHeight="1">
      <c r="A58">
        <v>17</v>
      </c>
      <c r="C58" t="str">
        <v>Y</v>
      </c>
      <c r="I58" s="8">
        <f>H58*F58</f>
        <v>0</v>
      </c>
    </row>
    <row r="59" ht="14.25" customHeight="1">
      <c r="I59" s="8">
        <f>H59*F59</f>
        <v>0</v>
      </c>
    </row>
    <row r="60" ht="14.25" customHeight="1">
      <c r="A60" t="str">
        <v>C</v>
      </c>
      <c r="B60" t="str">
        <v>Exclusions</v>
      </c>
    </row>
    <row r="61" ht="14.25" customHeight="1">
      <c r="A61">
        <v>1</v>
      </c>
      <c r="B61" t="str">
        <v>Off-site removal of spoils</v>
      </c>
      <c r="C61" t="str">
        <v>N</v>
      </c>
      <c r="D61" t="str">
        <v>By Excav</v>
      </c>
    </row>
    <row r="62" ht="14.25" customHeight="1">
      <c r="A62">
        <f>A61+1</f>
        <v>2</v>
      </c>
      <c r="C62" t="str">
        <v>N</v>
      </c>
    </row>
    <row r="63" ht="14.25" customHeight="1">
      <c r="A63">
        <f>A62+1</f>
        <v>3</v>
      </c>
      <c r="C63" t="str">
        <v>N</v>
      </c>
    </row>
    <row r="64" ht="14.25" customHeight="1">
      <c r="A64">
        <f>A63+1</f>
        <v>4</v>
      </c>
      <c r="C64" t="str">
        <v>N</v>
      </c>
    </row>
    <row r="65" ht="14.25" customHeight="1">
      <c r="A65">
        <f>A64+1</f>
        <v>5</v>
      </c>
      <c r="C65" t="str">
        <v>N</v>
      </c>
    </row>
    <row r="66" ht="14.25" customHeight="1">
      <c r="A66">
        <f>A65+1</f>
        <v>6</v>
      </c>
      <c r="C66" t="str">
        <v>N</v>
      </c>
    </row>
    <row r="67" ht="14.25" customHeight="1">
      <c r="A67">
        <f>A66+1</f>
        <v>7</v>
      </c>
      <c r="C67" t="str">
        <v>N</v>
      </c>
    </row>
    <row r="68" ht="14.25" customHeight="1">
      <c r="A68">
        <f>A67+1</f>
        <v>8</v>
      </c>
      <c r="C68" t="str">
        <v>N</v>
      </c>
    </row>
    <row r="69" ht="14.25" customHeight="1"/>
    <row r="70" ht="14.25" customHeight="1">
      <c r="A70" t="str">
        <v>D</v>
      </c>
      <c r="B70" t="str">
        <v>Schedule</v>
      </c>
    </row>
    <row r="71" ht="14.25" customHeight="1">
      <c r="A71">
        <v>1</v>
      </c>
      <c r="B71" t="str">
        <v>Meet MCN Schedule</v>
      </c>
      <c r="C71" t="str">
        <v>Y</v>
      </c>
    </row>
    <row r="72" ht="14.25" customHeight="1">
      <c r="A72">
        <f>A71+1</f>
        <v>2</v>
      </c>
      <c r="B72" t="str">
        <v>Advise of Durations</v>
      </c>
    </row>
    <row r="73" ht="14.25" customHeight="1">
      <c r="A73">
        <f>A72+1</f>
        <v>3</v>
      </c>
      <c r="B73" t="str">
        <v>Activity 1</v>
      </c>
      <c r="C73" t="str">
        <v>---&gt;</v>
      </c>
    </row>
    <row r="74" ht="14.25" customHeight="1">
      <c r="A74">
        <f>A73+1</f>
        <v>4</v>
      </c>
      <c r="B74" t="str">
        <v>Activity 2</v>
      </c>
      <c r="C74" t="str">
        <v>---&gt;</v>
      </c>
    </row>
    <row r="75" ht="14.25" customHeight="1">
      <c r="A75">
        <f>A74+1</f>
        <v>5</v>
      </c>
      <c r="B75" t="str">
        <v>Activity 3</v>
      </c>
      <c r="C75" t="str">
        <v>---&gt;</v>
      </c>
    </row>
    <row r="76" ht="14.25" customHeight="1">
      <c r="A76">
        <f>A75+1</f>
        <v>6</v>
      </c>
      <c r="B76" t="str">
        <v>Duration for Submittals and Shop Drawings</v>
      </c>
      <c r="C76" t="str">
        <v>---&gt;</v>
      </c>
    </row>
    <row r="77" ht="14.25" customHeight="1">
      <c r="A77">
        <f>A76+1</f>
        <v>7</v>
      </c>
      <c r="B77" t="str">
        <v>Advise of Lead Times:</v>
      </c>
    </row>
    <row r="78" ht="14.25" customHeight="1">
      <c r="A78">
        <f>A77+1</f>
        <v>8</v>
      </c>
      <c r="B78" t="str">
        <v>Material 1</v>
      </c>
      <c r="C78" t="str">
        <v>---&gt;</v>
      </c>
    </row>
    <row r="79" ht="14.25" customHeight="1">
      <c r="A79">
        <f>A78+1</f>
        <v>9</v>
      </c>
      <c r="B79" t="str">
        <v>Material 2</v>
      </c>
      <c r="C79" t="str">
        <v>---&gt;</v>
      </c>
    </row>
    <row r="80" ht="14.25" customHeight="1">
      <c r="A80">
        <f>A79+1</f>
        <v>10</v>
      </c>
      <c r="B80" t="str">
        <v>Material 3</v>
      </c>
      <c r="C80" t="str">
        <v>---&gt;</v>
      </c>
    </row>
    <row r="81" ht="14.25" customHeight="1"/>
    <row r="82" ht="14.25" customHeight="1"/>
    <row r="83" ht="14.25" customHeight="1">
      <c r="B83" t="str">
        <v>Allowances</v>
      </c>
    </row>
    <row r="84" ht="14.25" customHeight="1">
      <c r="A84">
        <v>1</v>
      </c>
    </row>
    <row r="85" ht="14.25" customHeight="1">
      <c r="A85">
        <f>A84+1</f>
        <v>2</v>
      </c>
    </row>
    <row r="86" ht="14.25" customHeight="1">
      <c r="A86">
        <f>A85+1</f>
        <v>3</v>
      </c>
    </row>
    <row r="87" ht="14.25" customHeight="1">
      <c r="A87">
        <f>A86+1</f>
        <v>4</v>
      </c>
    </row>
    <row r="88" ht="14.25" customHeight="1"/>
    <row r="89" ht="14.25" customHeight="1"/>
    <row r="90" ht="14.25" customHeight="1">
      <c r="B90" t="str">
        <v>Alternates</v>
      </c>
    </row>
    <row r="91" ht="14.25" customHeight="1">
      <c r="A91">
        <v>1</v>
      </c>
      <c r="C91" t="str">
        <v>#</v>
      </c>
    </row>
    <row r="92" ht="14.25" customHeight="1">
      <c r="A92">
        <f>A91+1</f>
        <v>2</v>
      </c>
      <c r="C92" t="str">
        <v>#</v>
      </c>
    </row>
    <row r="93" ht="14.25" customHeight="1">
      <c r="A93">
        <f>A92+1</f>
        <v>3</v>
      </c>
      <c r="C93" t="str">
        <v>#</v>
      </c>
    </row>
    <row r="94" ht="14.25" customHeight="1">
      <c r="A94">
        <f>A93+1</f>
        <v>4</v>
      </c>
      <c r="C94" t="str">
        <v>#</v>
      </c>
    </row>
    <row r="95" ht="14.25" customHeight="1">
      <c r="C95" t="str">
        <v>#</v>
      </c>
    </row>
    <row r="96" ht="14.25" customHeight="1">
      <c r="B96" t="str">
        <v>Unit Prices</v>
      </c>
    </row>
    <row r="97" ht="14.25" customHeight="1">
      <c r="A97">
        <v>1</v>
      </c>
      <c r="C97" t="str">
        <v>#</v>
      </c>
    </row>
    <row r="98" ht="14.25" customHeight="1">
      <c r="A98">
        <f>A97+1</f>
        <v>2</v>
      </c>
      <c r="C98" t="str">
        <v>#</v>
      </c>
    </row>
    <row r="99" ht="14.25" customHeight="1">
      <c r="A99">
        <f>A98+1</f>
        <v>3</v>
      </c>
      <c r="C99" t="str">
        <v>#</v>
      </c>
    </row>
    <row r="100" ht="14.25" customHeight="1">
      <c r="A100">
        <f>A99+1</f>
        <v>4</v>
      </c>
      <c r="C100" t="str">
        <v>#</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4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Bidder 1</v>
      </c>
      <c r="AJ3" s="3" t="str">
        <f t="array" ref="AJ3">IFNA(INDEX($K$6:$AE$6,1,MATCH($AH3,$K$10:$AE$10,0)+1),"")</f>
        <v/>
      </c>
      <c r="AK3" s="3">
        <f t="array" ref="AK3">IFNA(INDEX($K$7:$AE$7,1,MATCH($AH3,$K$10:$AE$10,0)+1),"")</f>
        <v>0</v>
      </c>
      <c r="AL3" s="3">
        <f t="array" ref="AL3">IFNA(INDEX($K$8:$AE$8,1,MATCH($AH3,$K$10:$AE$10,0)+1),"")</f>
        <v>0</v>
      </c>
      <c r="AM3" s="3">
        <f t="array" ref="AM3">IFNA(INDEX($K$9:$AE$9,1,MATCH($AH3,$K$10:$AE$10,0)+1),"")</f>
        <v>0</v>
      </c>
      <c r="AO3" s="9">
        <f>IFERROR(AN3*AM3,0)</f>
        <v>0</v>
      </c>
    </row>
    <row r="4" ht="14.25" customHeight="1" outlineLevel="1">
      <c r="A4" t="str">
        <v>Trade:</v>
      </c>
      <c r="B4" t="str">
        <v>01 - FINAL CLEANING</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FULL SCOPE</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SUM(I20:I108,I13:I18)</f>
        <v>0</v>
      </c>
      <c r="K7" t="str">
        <v>Adjustments:</v>
      </c>
      <c r="L7" s="4">
        <f>SUM(L13:L18,L20:L108)</f>
        <v>0</v>
      </c>
      <c r="N7" t="str">
        <v>Adjustments:</v>
      </c>
      <c r="O7" s="4">
        <f>SUM(O13:O18,O20:O108)</f>
        <v>0</v>
      </c>
      <c r="Q7" t="str">
        <v>Adjustments:</v>
      </c>
      <c r="R7" s="4">
        <f>SUM(R13:R18,R20:R108)</f>
        <v>0</v>
      </c>
      <c r="T7" t="str">
        <v>Adjustments:</v>
      </c>
      <c r="U7" s="4">
        <f>SUM(U13:U18,U20:U108)</f>
        <v>0</v>
      </c>
      <c r="W7" t="str">
        <v>Adjustments:</v>
      </c>
      <c r="X7" s="4">
        <f>SUM(X13:X18,X20:X108)</f>
        <v>0</v>
      </c>
      <c r="Z7" t="str">
        <v>Adjustments:</v>
      </c>
      <c r="AA7" s="4">
        <f>SUM(AA13:AA18,AA20:AA108)</f>
        <v>0</v>
      </c>
      <c r="AC7" t="str">
        <v>Adjustments:</v>
      </c>
      <c r="AD7" s="4">
        <f>SUM(AD13:AD18,AD20:AD108)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f>IF(L5="FULL SCOPE",SUM(L6:L8),"not level")</f>
        <v>0</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f>IF(L5="NO","INCOMPLETE",RANK.EQ(L9,$L$9:$AE$9,1))</f>
        <v>1</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Provide (1) rough clean, (1) final clean, and (1) touch up clean of for 49 units</v>
      </c>
      <c r="C43" t="str">
        <v>Y</v>
      </c>
      <c r="I43" s="8">
        <f>H43*F43</f>
        <v>0</v>
      </c>
    </row>
    <row r="44" ht="14.25" customHeight="1">
      <c r="A44">
        <v>3</v>
      </c>
      <c r="B44" t="str">
        <v>Provide rough clean and final clean of finished common areas (lobby, offices, etc.)</v>
      </c>
      <c r="C44" t="str">
        <v>Y</v>
      </c>
      <c r="I44" s="8">
        <f>H44*F44</f>
        <v>0</v>
      </c>
    </row>
    <row r="45" ht="14.25" customHeight="1">
      <c r="A45">
        <v>4</v>
      </c>
      <c r="B45" t="str">
        <v>Conduct cleaning and waste-removal operations to comply with local laws and ordinances and federal and local environmental and antipollution regulations.</v>
      </c>
      <c r="C45" t="str">
        <v>Y</v>
      </c>
      <c r="I45" s="8">
        <f>H45*F45</f>
        <v>0</v>
      </c>
    </row>
    <row r="46" ht="14.25" customHeight="1">
      <c r="A46">
        <v>5</v>
      </c>
      <c r="B46" t="str">
        <v>Clean each surface or unit to condition expected in an average commercial building cleaning and maintenance program.</v>
      </c>
      <c r="C46" t="str">
        <v>Y</v>
      </c>
      <c r="I46" s="8">
        <f>H46*F46</f>
        <v>0</v>
      </c>
    </row>
    <row r="47" ht="14.25" customHeight="1">
      <c r="A47">
        <v>6</v>
      </c>
      <c r="B47" t="str">
        <v>Comply with all manufacturer's written instructions.</v>
      </c>
      <c r="C47" t="str">
        <v>Y</v>
      </c>
      <c r="I47" s="8">
        <f>H47*F47</f>
        <v>0</v>
      </c>
    </row>
    <row r="48" ht="14.25" customHeight="1">
      <c r="A48">
        <v>7</v>
      </c>
      <c r="B48" t="str">
        <v>Remove excess lubrication, paint and mortar droppings and any other foreign substances</v>
      </c>
      <c r="C48" t="str">
        <v>Y</v>
      </c>
      <c r="I48" s="8">
        <f>H48*F48</f>
        <v>0</v>
      </c>
    </row>
    <row r="49" ht="14.25" customHeight="1">
      <c r="A49">
        <v>8</v>
      </c>
      <c r="B49" t="str">
        <v>Mop all areas and remove all dust from these areas for future finishes</v>
      </c>
      <c r="C49" t="str">
        <v>Y</v>
      </c>
      <c r="I49" s="8">
        <f>H49*F49</f>
        <v>0</v>
      </c>
    </row>
    <row r="50" ht="14.25" customHeight="1">
      <c r="A50">
        <v>9</v>
      </c>
      <c r="B50" t="str">
        <v>Clean intetior windows</v>
      </c>
      <c r="C50" t="str">
        <v>Y</v>
      </c>
      <c r="I50" s="8">
        <f>H50*F50</f>
        <v>0</v>
      </c>
    </row>
    <row r="51" ht="14.25" customHeight="1">
      <c r="A51">
        <v>10</v>
      </c>
      <c r="B51" t="str">
        <v>Clean exterior windows with lifts as required</v>
      </c>
      <c r="C51" t="str">
        <v>Y</v>
      </c>
      <c r="I51" s="8">
        <f>H51*F51</f>
        <v>0</v>
      </c>
    </row>
    <row r="52" ht="14.25" customHeight="1">
      <c r="A52">
        <v>11</v>
      </c>
      <c r="B52" t="str">
        <v>Wipe down all hand rails, railings, and clean stairs</v>
      </c>
      <c r="C52" t="str">
        <v>Y</v>
      </c>
      <c r="I52" s="8">
        <f>H52*F52</f>
        <v>0</v>
      </c>
    </row>
    <row r="53" ht="14.25" customHeight="1">
      <c r="A53">
        <v>12</v>
      </c>
      <c r="B53" t="str">
        <v>Mop and buff all tile per manufacturer requirements</v>
      </c>
      <c r="C53" t="str">
        <v>Y</v>
      </c>
      <c r="I53" s="8">
        <f>H53*F53</f>
        <v>0</v>
      </c>
    </row>
    <row r="54" ht="14.25" customHeight="1">
      <c r="A54">
        <v>13</v>
      </c>
      <c r="B54" t="str">
        <v>Clean all interior glass and wipe down all mullions</v>
      </c>
      <c r="C54" t="str">
        <v>Y</v>
      </c>
      <c r="I54" s="8">
        <f>H54*F54</f>
        <v>0</v>
      </c>
    </row>
    <row r="55" ht="14.25" customHeight="1">
      <c r="A55">
        <v>14</v>
      </c>
      <c r="B55" t="str">
        <v>Clean all areas used during construction</v>
      </c>
      <c r="C55" t="str">
        <v>Y</v>
      </c>
      <c r="I55" s="8">
        <f>H55*F55</f>
        <v>0</v>
      </c>
    </row>
    <row r="56" ht="14.25" customHeight="1">
      <c r="A56">
        <v>15</v>
      </c>
      <c r="B56" t="str">
        <v>Wipe surfaces of mechanical and electrical equipment</v>
      </c>
      <c r="C56" t="str">
        <v>Y</v>
      </c>
      <c r="I56" s="8">
        <f>H56*F56</f>
        <v>0</v>
      </c>
    </row>
    <row r="57" ht="14.25" customHeight="1">
      <c r="A57">
        <v>16</v>
      </c>
      <c r="B57" t="str">
        <v>Clean all plumbing fixtures to a sanitary condition, free of stains</v>
      </c>
      <c r="C57" t="str">
        <v>Y</v>
      </c>
      <c r="I57" s="8">
        <f>H57*F57</f>
        <v>0</v>
      </c>
    </row>
    <row r="58" ht="14.25" customHeight="1">
      <c r="A58">
        <v>17</v>
      </c>
      <c r="B58" t="str">
        <v>Vacuum all carpet surfaces</v>
      </c>
      <c r="C58" t="str">
        <v>Y</v>
      </c>
      <c r="I58" s="8">
        <f>H58*F58</f>
        <v>0</v>
      </c>
    </row>
    <row r="59" ht="14.25" customHeight="1">
      <c r="A59">
        <v>18</v>
      </c>
      <c r="B59" t="str">
        <v>Clean all finishes installed in the project scope</v>
      </c>
      <c r="C59" t="str">
        <v>Y</v>
      </c>
      <c r="I59" s="8">
        <f>H59*F59</f>
        <v>0</v>
      </c>
    </row>
    <row r="60" ht="14.25" customHeight="1">
      <c r="A60">
        <v>19</v>
      </c>
      <c r="B60" t="str">
        <v>Clean all exposed surfaces installed in the project scope</v>
      </c>
      <c r="C60" t="str">
        <v>Y</v>
      </c>
      <c r="I60" s="8">
        <f>H60*F60</f>
        <v>0</v>
      </c>
    </row>
    <row r="61" ht="14.25" customHeight="1">
      <c r="A61">
        <v>20</v>
      </c>
      <c r="B61" t="str">
        <v>Cleaning of all construction areas to make space ready for occupancy</v>
      </c>
      <c r="C61" t="str">
        <v>Y</v>
      </c>
      <c r="I61" s="8">
        <f>H61*F61</f>
        <v>0</v>
      </c>
    </row>
    <row r="62" ht="14.25" customHeight="1">
      <c r="A62">
        <v>21</v>
      </c>
      <c r="B62" t="str">
        <v xml:space="preserve">Remove your excess materials/debris to MCN's dumpster on a daily basis </v>
      </c>
      <c r="C62" t="str">
        <v>Y</v>
      </c>
      <c r="I62" s="8">
        <f>H62*F62</f>
        <v>0</v>
      </c>
    </row>
    <row r="63" ht="14.25" customHeight="1">
      <c r="A63">
        <v>22</v>
      </c>
      <c r="B63" t="str">
        <v xml:space="preserve">Final clean all furnishings and accessories installed in the project scope. </v>
      </c>
      <c r="C63" t="str">
        <v>Y</v>
      </c>
      <c r="I63" s="8">
        <f>H63*F63</f>
        <v>0</v>
      </c>
    </row>
    <row r="64" ht="14.25" customHeight="1">
      <c r="A64">
        <v>23</v>
      </c>
      <c r="B64" t="str">
        <v>Wipe down all doors and door hardwares</v>
      </c>
      <c r="C64" t="str">
        <v>Y</v>
      </c>
      <c r="I64" s="8">
        <f>H64*F64</f>
        <v>0</v>
      </c>
    </row>
    <row r="65" ht="14.25" customHeight="1">
      <c r="A65">
        <v>24</v>
      </c>
      <c r="B65" t="str">
        <v>Clean all light fixtures</v>
      </c>
      <c r="C65" t="str">
        <v>Y</v>
      </c>
      <c r="I65" s="8">
        <f>H65*F65</f>
        <v>0</v>
      </c>
    </row>
    <row r="66" ht="14.25" customHeight="1">
      <c r="A66">
        <v>25</v>
      </c>
      <c r="B66" t="str">
        <v xml:space="preserve">Final clean all furniture, televisions, millwork items, and accessories installed in the project scope. </v>
      </c>
      <c r="C66" t="str">
        <v>Y</v>
      </c>
      <c r="I66" s="8">
        <f>H66*F66</f>
        <v>0</v>
      </c>
    </row>
    <row r="67" ht="14.25" customHeight="1">
      <c r="A67">
        <v>26</v>
      </c>
      <c r="B67" t="str">
        <v>Final clean all items per manufacturer requirements or suggested cleaning methods</v>
      </c>
      <c r="C67" t="str">
        <v>Y</v>
      </c>
      <c r="I67" s="8">
        <f>H67*F67</f>
        <v>0</v>
      </c>
    </row>
    <row r="68" ht="14.25" customHeight="1">
      <c r="A68">
        <v>27</v>
      </c>
      <c r="B68" t="str">
        <v>Include the cleaning of all Parking Levels</v>
      </c>
      <c r="C68" t="str">
        <v>Y</v>
      </c>
      <c r="I68" s="8">
        <f>H68*F68</f>
        <v>0</v>
      </c>
    </row>
    <row r="69" ht="14.25" customHeight="1">
      <c r="A69">
        <v>28</v>
      </c>
      <c r="B69" t="str">
        <v>Provide two cleanings for back of house common areas.</v>
      </c>
      <c r="C69" t="str">
        <v>Y</v>
      </c>
      <c r="I69" s="8">
        <f>H69*F69</f>
        <v>0</v>
      </c>
    </row>
    <row r="70" ht="14.25" customHeight="1">
      <c r="A70">
        <v>29</v>
      </c>
      <c r="B70" t="str">
        <v>Provide cleaning of all rooms, pipes, light fixtures, ductwork, etc. in the garage level rooms, garage parking areas, etc.</v>
      </c>
      <c r="C70" t="str">
        <v>Y</v>
      </c>
      <c r="I70" s="8">
        <f>H70*F70</f>
        <v>0</v>
      </c>
    </row>
    <row r="71" ht="14.25" customHeight="1">
      <c r="A71">
        <v>30</v>
      </c>
      <c r="B71" t="str">
        <v>Sweep paved areas broom clean. Remove petrochemical spills, stains, and other foreign deposits</v>
      </c>
      <c r="C71" t="str">
        <v>Y</v>
      </c>
      <c r="I71" s="8">
        <f>H71*F71</f>
        <v>0</v>
      </c>
    </row>
    <row r="72" ht="14.25" customHeight="1">
      <c r="A72">
        <v>31</v>
      </c>
      <c r="B72" t="str">
        <v>Remove snow and ice to provide safe access to building</v>
      </c>
      <c r="C72" t="str">
        <v>Y</v>
      </c>
      <c r="I72" s="8">
        <f>H72*F72</f>
        <v>0</v>
      </c>
    </row>
    <row r="73" ht="14.25" customHeight="1">
      <c r="A73">
        <v>32</v>
      </c>
      <c r="B73" t="str">
        <v>MCN Allowance</v>
      </c>
      <c r="C73" t="str">
        <v>N</v>
      </c>
      <c r="I73" s="8">
        <f>H73*F73</f>
        <v>0</v>
      </c>
    </row>
    <row r="74" ht="14.25" customHeight="1">
      <c r="A74">
        <v>33</v>
      </c>
      <c r="B74" t="str">
        <v>Unit Punch Out</v>
      </c>
      <c r="C74" t="str">
        <v>Allow.</v>
      </c>
      <c r="I74" s="8">
        <f>H74*F74</f>
        <v>0</v>
      </c>
    </row>
    <row r="75" ht="14.25" customHeight="1">
      <c r="A75">
        <v>34</v>
      </c>
      <c r="C75" t="str">
        <v>Y</v>
      </c>
      <c r="I75" s="8">
        <f>H75*F75</f>
        <v>0</v>
      </c>
    </row>
    <row r="76" ht="14.25" customHeight="1">
      <c r="A76">
        <v>35</v>
      </c>
      <c r="B76" t="str">
        <v>STANDARD / GENERAL SCOPE</v>
      </c>
      <c r="C76" t="str">
        <v>Y</v>
      </c>
      <c r="I76" s="8">
        <f>H76*F76</f>
        <v>0</v>
      </c>
    </row>
    <row r="77" ht="14.25" customHeight="1">
      <c r="A77">
        <v>36</v>
      </c>
      <c r="B77" t="str">
        <v>Provide all mat'ls, labor, equipment, tools, hoisting, supervision, etc for your work</v>
      </c>
      <c r="C77" t="str">
        <v>Y</v>
      </c>
      <c r="I77" s="8">
        <f>H77*F77</f>
        <v>0</v>
      </c>
    </row>
    <row r="78" ht="14.25" customHeight="1">
      <c r="A78">
        <v>37</v>
      </c>
      <c r="B78" t="str">
        <v>Clean up to MCN dumpster</v>
      </c>
      <c r="C78" t="str">
        <v>Y</v>
      </c>
      <c r="I78" s="8">
        <f>H78*F78</f>
        <v>0</v>
      </c>
    </row>
    <row r="79" ht="14.25" customHeight="1">
      <c r="I79" s="8">
        <f>H79*F79</f>
        <v>0</v>
      </c>
    </row>
    <row r="80" ht="14.25" customHeight="1">
      <c r="A80" t="str">
        <v>C</v>
      </c>
      <c r="B80" t="str">
        <v>Exclusions</v>
      </c>
    </row>
    <row r="81" ht="14.25" customHeight="1">
      <c r="A81">
        <v>1</v>
      </c>
      <c r="C81" t="str">
        <v>N</v>
      </c>
    </row>
    <row r="82" ht="14.25" customHeight="1">
      <c r="A82">
        <f>A81+1</f>
        <v>2</v>
      </c>
      <c r="C82" t="str">
        <v>N</v>
      </c>
    </row>
    <row r="83" ht="14.25" customHeight="1">
      <c r="A83">
        <f>A82+1</f>
        <v>3</v>
      </c>
      <c r="C83" t="str">
        <v>N</v>
      </c>
    </row>
    <row r="84" ht="14.25" customHeight="1">
      <c r="A84">
        <f>A83+1</f>
        <v>4</v>
      </c>
      <c r="C84" t="str">
        <v>N</v>
      </c>
    </row>
    <row r="85" ht="14.25" customHeight="1">
      <c r="A85">
        <f>A84+1</f>
        <v>5</v>
      </c>
      <c r="C85" t="str">
        <v>N</v>
      </c>
    </row>
    <row r="86" ht="14.25" customHeight="1">
      <c r="A86">
        <f>A85+1</f>
        <v>6</v>
      </c>
      <c r="C86" t="str">
        <v>N</v>
      </c>
    </row>
    <row r="87" ht="14.25" customHeight="1">
      <c r="A87">
        <f>A86+1</f>
        <v>7</v>
      </c>
      <c r="C87" t="str">
        <v>N</v>
      </c>
    </row>
    <row r="88" ht="14.25" customHeight="1">
      <c r="A88">
        <f>A87+1</f>
        <v>8</v>
      </c>
      <c r="C88" t="str">
        <v>N</v>
      </c>
    </row>
    <row r="89" ht="14.25" customHeight="1"/>
    <row r="90" ht="14.25" customHeight="1">
      <c r="A90" t="str">
        <v>D</v>
      </c>
      <c r="B90" t="str">
        <v>Schedule</v>
      </c>
    </row>
    <row r="91" ht="14.25" customHeight="1">
      <c r="A91">
        <v>1</v>
      </c>
      <c r="B91" t="str">
        <v>Meet MCN Schedule</v>
      </c>
      <c r="C91" t="str">
        <v>Y</v>
      </c>
    </row>
    <row r="92" ht="14.25" customHeight="1">
      <c r="A92">
        <f>A91+1</f>
        <v>2</v>
      </c>
      <c r="B92" t="str">
        <v>Advise of Durations</v>
      </c>
    </row>
    <row r="93" ht="14.25" customHeight="1">
      <c r="A93">
        <f>A92+1</f>
        <v>3</v>
      </c>
      <c r="B93" t="str">
        <v>Activity 1</v>
      </c>
      <c r="C93" t="str">
        <v>---&gt;</v>
      </c>
    </row>
    <row r="94" ht="14.25" customHeight="1">
      <c r="A94">
        <f>A93+1</f>
        <v>4</v>
      </c>
      <c r="B94" t="str">
        <v>Activity 2</v>
      </c>
      <c r="C94" t="str">
        <v>---&gt;</v>
      </c>
    </row>
    <row r="95" ht="14.25" customHeight="1">
      <c r="A95">
        <f>A94+1</f>
        <v>5</v>
      </c>
      <c r="B95" t="str">
        <v>Activity 3</v>
      </c>
      <c r="C95" t="str">
        <v>---&gt;</v>
      </c>
    </row>
    <row r="96" ht="14.25" customHeight="1">
      <c r="A96">
        <f>A95+1</f>
        <v>6</v>
      </c>
      <c r="B96" t="str">
        <v>Duration for Submittals and Shop Drawings</v>
      </c>
      <c r="C96" t="str">
        <v>---&gt;</v>
      </c>
    </row>
    <row r="97" ht="14.25" customHeight="1">
      <c r="A97">
        <f>A96+1</f>
        <v>7</v>
      </c>
      <c r="B97" t="str">
        <v>Advise of Lead Times:</v>
      </c>
    </row>
    <row r="98" ht="14.25" customHeight="1">
      <c r="A98">
        <f>A97+1</f>
        <v>8</v>
      </c>
      <c r="B98" t="str">
        <v>Material 1</v>
      </c>
      <c r="C98" t="str">
        <v>---&gt;</v>
      </c>
    </row>
    <row r="99" ht="14.25" customHeight="1">
      <c r="A99">
        <f>A98+1</f>
        <v>9</v>
      </c>
      <c r="B99" t="str">
        <v>Material 2</v>
      </c>
      <c r="C99" t="str">
        <v>---&gt;</v>
      </c>
    </row>
    <row r="100" ht="14.25" customHeight="1">
      <c r="A100">
        <f>A99+1</f>
        <v>10</v>
      </c>
      <c r="B100" t="str">
        <v>Material 3</v>
      </c>
      <c r="C100" t="str">
        <v>---&gt;</v>
      </c>
    </row>
    <row r="101" ht="14.25" customHeight="1"/>
    <row r="102" ht="14.25" customHeight="1"/>
    <row r="103" ht="14.25" customHeight="1">
      <c r="B103" t="str">
        <v>Allowances</v>
      </c>
    </row>
    <row r="104" ht="14.25" customHeight="1">
      <c r="A104">
        <v>1</v>
      </c>
    </row>
    <row r="105" ht="14.25" customHeight="1">
      <c r="A105">
        <f>A104+1</f>
        <v>2</v>
      </c>
    </row>
    <row r="106" ht="14.25" customHeight="1">
      <c r="A106">
        <f>A105+1</f>
        <v>3</v>
      </c>
    </row>
    <row r="107" ht="14.25" customHeight="1">
      <c r="A107">
        <f>A106+1</f>
        <v>4</v>
      </c>
    </row>
    <row r="108" ht="14.25" customHeight="1"/>
    <row r="109" ht="14.25" customHeight="1"/>
    <row r="110" ht="14.25" customHeight="1">
      <c r="B110" t="str">
        <v>Alternates</v>
      </c>
    </row>
    <row r="111" ht="14.25" customHeight="1">
      <c r="A111">
        <v>1</v>
      </c>
      <c r="C111" t="str">
        <v>#</v>
      </c>
    </row>
    <row r="112" ht="14.25" customHeight="1">
      <c r="A112">
        <f>A111+1</f>
        <v>2</v>
      </c>
      <c r="C112" t="str">
        <v>#</v>
      </c>
    </row>
    <row r="113" ht="14.25" customHeight="1">
      <c r="A113">
        <f>A112+1</f>
        <v>3</v>
      </c>
      <c r="C113" t="str">
        <v>#</v>
      </c>
    </row>
    <row r="114" ht="14.25" customHeight="1">
      <c r="A114">
        <f>A113+1</f>
        <v>4</v>
      </c>
      <c r="C114" t="str">
        <v>#</v>
      </c>
    </row>
    <row r="115" ht="14.25" customHeight="1">
      <c r="C115" t="str">
        <v>#</v>
      </c>
    </row>
    <row r="116" ht="14.25" customHeight="1">
      <c r="B116" t="str">
        <v>Unit Prices</v>
      </c>
    </row>
    <row r="117" ht="14.25" customHeight="1">
      <c r="A117">
        <v>1</v>
      </c>
      <c r="C117" t="str">
        <v>#</v>
      </c>
    </row>
    <row r="118" ht="14.25" customHeight="1">
      <c r="A118">
        <f>A117+1</f>
        <v>2</v>
      </c>
      <c r="C118" t="str">
        <v>#</v>
      </c>
    </row>
    <row r="119" ht="14.25" customHeight="1">
      <c r="A119">
        <f>A118+1</f>
        <v>3</v>
      </c>
      <c r="C119" t="str">
        <v>#</v>
      </c>
    </row>
    <row r="120" ht="14.25" customHeight="1">
      <c r="A120">
        <f>A119+1</f>
        <v>4</v>
      </c>
      <c r="C120" t="str">
        <v>#</v>
      </c>
    </row>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4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12 - FF&amp;E</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SUM(I20:I85,I13:I18)</f>
        <v>0</v>
      </c>
      <c r="K7" t="str">
        <v>Adjustments:</v>
      </c>
      <c r="L7" s="4">
        <f>SUM(L13:L18,L20:L85)</f>
        <v>0</v>
      </c>
      <c r="N7" t="str">
        <v>Adjustments:</v>
      </c>
      <c r="O7" s="4">
        <f>SUM(O13:O18,O20:O85)</f>
        <v>0</v>
      </c>
      <c r="Q7" t="str">
        <v>Adjustments:</v>
      </c>
      <c r="R7" s="4">
        <f>SUM(R13:R18,R20:R85)</f>
        <v>0</v>
      </c>
      <c r="T7" t="str">
        <v>Adjustments:</v>
      </c>
      <c r="U7" s="4">
        <f>SUM(U13:U18,U20:U85)</f>
        <v>0</v>
      </c>
      <c r="W7" t="str">
        <v>Adjustments:</v>
      </c>
      <c r="X7" s="4">
        <f>SUM(X13:X18,X20:X85)</f>
        <v>0</v>
      </c>
      <c r="Z7" t="str">
        <v>Adjustments:</v>
      </c>
      <c r="AA7" s="4">
        <f>SUM(AA13:AA18,AA20:AA85)</f>
        <v>0</v>
      </c>
      <c r="AC7" t="str">
        <v>Adjustments:</v>
      </c>
      <c r="AD7" s="4">
        <f>SUM(AD13:AD18,AD20:AD85)</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Window Washing Equipment</v>
      </c>
      <c r="C43" t="str">
        <v>Y</v>
      </c>
      <c r="I43" s="8">
        <f>H43*F43</f>
        <v>0</v>
      </c>
    </row>
    <row r="44" ht="14.25" customHeight="1">
      <c r="A44">
        <v>3</v>
      </c>
      <c r="B44" t="str">
        <v>Furnish and deliver roof-mounted safety tie back anchors [verify quantities]</v>
      </c>
      <c r="C44" t="str">
        <v>Y</v>
      </c>
      <c r="I44" s="8">
        <f>H44*F44</f>
        <v>0</v>
      </c>
    </row>
    <row r="45" ht="14.25" customHeight="1">
      <c r="A45">
        <v>4</v>
      </c>
      <c r="B45" t="str">
        <v>Furnish and deliver roof-mounted davit anchors [verify quantities]</v>
      </c>
      <c r="C45" t="str">
        <v>Y</v>
      </c>
      <c r="I45" s="8">
        <f>H45*F45</f>
        <v>0</v>
      </c>
    </row>
    <row r="46" ht="14.25" customHeight="1">
      <c r="A46">
        <v>5</v>
      </c>
      <c r="B46" t="str">
        <v>Furnish and deliver davit arms [verify quantities]</v>
      </c>
      <c r="C46" t="str">
        <v>Y</v>
      </c>
      <c r="I46" s="8">
        <f>H46*F46</f>
        <v>0</v>
      </c>
    </row>
    <row r="47" ht="14.25" customHeight="1">
      <c r="A47">
        <v>6</v>
      </c>
      <c r="B47" t="str">
        <v>Furnish and deliver window washing platform and accessories (if spec'd)</v>
      </c>
      <c r="C47" t="str">
        <v>Y</v>
      </c>
      <c r="I47" s="8">
        <f>H47*F47</f>
        <v>0</v>
      </c>
    </row>
    <row r="48" ht="14.25" customHeight="1">
      <c r="A48">
        <v>7</v>
      </c>
      <c r="B48" t="str">
        <v>***Other window washing equipment***</v>
      </c>
      <c r="C48" t="str">
        <v>Y</v>
      </c>
      <c r="I48" s="8">
        <f>H48*F48</f>
        <v>0</v>
      </c>
    </row>
    <row r="49" ht="14.25" customHeight="1">
      <c r="A49">
        <v>8</v>
      </c>
      <c r="B49" t="str">
        <v>Verify quantities/layout shown meet code/OSHA requirements; advise if conflict</v>
      </c>
      <c r="C49" t="str">
        <v>Y</v>
      </c>
      <c r="I49" s="8">
        <f>H49*F49</f>
        <v>0</v>
      </c>
    </row>
    <row r="50" ht="14.25" customHeight="1">
      <c r="A50">
        <v>9</v>
      </c>
      <c r="B50" t="str">
        <v>System designed to meet performance criteria outlined</v>
      </c>
      <c r="C50" t="str">
        <v>Y</v>
      </c>
      <c r="I50" s="8">
        <f>H50*F50</f>
        <v>0</v>
      </c>
    </row>
    <row r="51" ht="14.25" customHeight="1">
      <c r="A51">
        <v>10</v>
      </c>
      <c r="B51" t="str">
        <v>Visit site after installation to perform testing &amp; inspection (provide add price)</v>
      </c>
      <c r="C51" t="str">
        <v>Y</v>
      </c>
      <c r="I51" s="8">
        <f>H51*F51</f>
        <v>0</v>
      </c>
    </row>
    <row r="52" ht="14.25" customHeight="1">
      <c r="A52">
        <v>11</v>
      </c>
      <c r="C52" t="str">
        <v>Y</v>
      </c>
      <c r="I52" s="8">
        <f>H52*F52</f>
        <v>0</v>
      </c>
    </row>
    <row r="53" ht="14.25" customHeight="1">
      <c r="A53">
        <v>12</v>
      </c>
      <c r="B53" t="str">
        <v>STANDARD / GENERAL SCOPE</v>
      </c>
      <c r="C53" t="str">
        <v>Y</v>
      </c>
      <c r="I53" s="8">
        <f>H53*F53</f>
        <v>0</v>
      </c>
    </row>
    <row r="54" ht="14.25" customHeight="1">
      <c r="A54">
        <v>13</v>
      </c>
      <c r="B54" t="str">
        <v>Shop dwgs, samples, product data, etc</v>
      </c>
      <c r="C54" t="str">
        <v>Y</v>
      </c>
      <c r="I54" s="8">
        <f>H54*F54</f>
        <v>0</v>
      </c>
    </row>
    <row r="55" ht="14.25" customHeight="1">
      <c r="A55">
        <v>14</v>
      </c>
      <c r="B55" t="str">
        <v>Warranty per spec</v>
      </c>
      <c r="C55" t="str">
        <v>Y</v>
      </c>
      <c r="I55" s="8">
        <f>H55*F55</f>
        <v>0</v>
      </c>
    </row>
    <row r="56" ht="14.25" customHeight="1">
      <c r="I56" s="8">
        <f>H56*F56</f>
        <v>0</v>
      </c>
    </row>
    <row r="57" ht="14.25" customHeight="1">
      <c r="A57" t="str">
        <v>C</v>
      </c>
      <c r="B57" t="str">
        <v>Exclusions</v>
      </c>
    </row>
    <row r="58" ht="14.25" customHeight="1">
      <c r="A58">
        <v>1</v>
      </c>
      <c r="B58" t="str">
        <v>Unloading and installation (provide an add price)</v>
      </c>
      <c r="C58" t="str">
        <v>N</v>
      </c>
      <c r="D58" t="str">
        <v>by concrete/steel</v>
      </c>
    </row>
    <row r="59" ht="14.25" customHeight="1">
      <c r="A59">
        <f>A58+1</f>
        <v>2</v>
      </c>
      <c r="B59" t="str">
        <v>Flashing of anchors</v>
      </c>
      <c r="C59" t="str">
        <v>N</v>
      </c>
      <c r="D59" t="str">
        <v>by roofing</v>
      </c>
    </row>
    <row r="60" ht="14.25" customHeight="1">
      <c r="A60">
        <f>A59+1</f>
        <v>3</v>
      </c>
      <c r="C60" t="str">
        <v>N</v>
      </c>
    </row>
    <row r="61" ht="14.25" customHeight="1">
      <c r="A61">
        <f>A60+1</f>
        <v>4</v>
      </c>
      <c r="C61" t="str">
        <v>N</v>
      </c>
    </row>
    <row r="62" ht="14.25" customHeight="1">
      <c r="A62">
        <f>A61+1</f>
        <v>5</v>
      </c>
      <c r="C62" t="str">
        <v>N</v>
      </c>
    </row>
    <row r="63" ht="14.25" customHeight="1">
      <c r="A63">
        <f>A62+1</f>
        <v>6</v>
      </c>
      <c r="C63" t="str">
        <v>N</v>
      </c>
    </row>
    <row r="64" ht="14.25" customHeight="1">
      <c r="A64">
        <f>A63+1</f>
        <v>7</v>
      </c>
      <c r="C64" t="str">
        <v>N</v>
      </c>
    </row>
    <row r="65" ht="14.25" customHeight="1">
      <c r="A65">
        <f>A64+1</f>
        <v>8</v>
      </c>
      <c r="C65" t="str">
        <v>N</v>
      </c>
    </row>
    <row r="66" ht="14.25" customHeight="1"/>
    <row r="67" ht="14.25" customHeight="1">
      <c r="A67" t="str">
        <v>D</v>
      </c>
      <c r="B67" t="str">
        <v>Schedule</v>
      </c>
    </row>
    <row r="68" ht="14.25" customHeight="1">
      <c r="A68">
        <v>1</v>
      </c>
      <c r="B68" t="str">
        <v>Meet MCN Schedule</v>
      </c>
      <c r="C68" t="str">
        <v>Y</v>
      </c>
    </row>
    <row r="69" ht="14.25" customHeight="1">
      <c r="A69">
        <f>A68+1</f>
        <v>2</v>
      </c>
      <c r="B69" t="str">
        <v>Advise of Durations</v>
      </c>
    </row>
    <row r="70" ht="14.25" customHeight="1">
      <c r="A70">
        <f>A69+1</f>
        <v>3</v>
      </c>
      <c r="B70" t="str">
        <v>Activity 1</v>
      </c>
      <c r="C70" t="str">
        <v>---&gt;</v>
      </c>
    </row>
    <row r="71" ht="14.25" customHeight="1">
      <c r="A71">
        <f>A70+1</f>
        <v>4</v>
      </c>
      <c r="B71" t="str">
        <v>Activity 2</v>
      </c>
      <c r="C71" t="str">
        <v>---&gt;</v>
      </c>
    </row>
    <row r="72" ht="14.25" customHeight="1">
      <c r="A72">
        <f>A71+1</f>
        <v>5</v>
      </c>
      <c r="B72" t="str">
        <v>Activity 3</v>
      </c>
      <c r="C72" t="str">
        <v>---&gt;</v>
      </c>
    </row>
    <row r="73" ht="14.25" customHeight="1">
      <c r="A73">
        <f>A72+1</f>
        <v>6</v>
      </c>
      <c r="B73" t="str">
        <v>Duration for Submittals and Shop Drawings</v>
      </c>
      <c r="C73" t="str">
        <v>---&gt;</v>
      </c>
    </row>
    <row r="74" ht="14.25" customHeight="1">
      <c r="A74">
        <f>A73+1</f>
        <v>7</v>
      </c>
      <c r="B74" t="str">
        <v>Advise of Lead Times:</v>
      </c>
    </row>
    <row r="75" ht="14.25" customHeight="1">
      <c r="A75">
        <f>A74+1</f>
        <v>8</v>
      </c>
      <c r="B75" t="str">
        <v>Material 1</v>
      </c>
      <c r="C75" t="str">
        <v>---&gt;</v>
      </c>
    </row>
    <row r="76" ht="14.25" customHeight="1">
      <c r="A76">
        <f>A75+1</f>
        <v>9</v>
      </c>
      <c r="B76" t="str">
        <v>Material 2</v>
      </c>
      <c r="C76" t="str">
        <v>---&gt;</v>
      </c>
    </row>
    <row r="77" ht="14.25" customHeight="1">
      <c r="A77">
        <f>A76+1</f>
        <v>10</v>
      </c>
      <c r="B77" t="str">
        <v>Material 3</v>
      </c>
      <c r="C77" t="str">
        <v>---&gt;</v>
      </c>
    </row>
    <row r="78" ht="14.25" customHeight="1"/>
    <row r="79" ht="14.25" customHeight="1"/>
    <row r="80" ht="14.25" customHeight="1">
      <c r="B80" t="str">
        <v>Allowances</v>
      </c>
    </row>
    <row r="81" ht="14.25" customHeight="1">
      <c r="A81">
        <v>1</v>
      </c>
    </row>
    <row r="82" ht="14.25" customHeight="1">
      <c r="A82">
        <f>A81+1</f>
        <v>2</v>
      </c>
    </row>
    <row r="83" ht="14.25" customHeight="1">
      <c r="A83">
        <f>A82+1</f>
        <v>3</v>
      </c>
    </row>
    <row r="84" ht="14.25" customHeight="1">
      <c r="A84">
        <f>A83+1</f>
        <v>4</v>
      </c>
    </row>
    <row r="85" ht="14.25" customHeight="1"/>
    <row r="86" ht="14.25" customHeight="1"/>
    <row r="87" ht="14.25" customHeight="1">
      <c r="B87" t="str">
        <v>Alternates</v>
      </c>
    </row>
    <row r="88" ht="14.25" customHeight="1">
      <c r="A88">
        <v>1</v>
      </c>
      <c r="B88" t="str">
        <v>Provide an add price to install anchors</v>
      </c>
      <c r="C88" t="str">
        <v>#</v>
      </c>
    </row>
    <row r="89" ht="14.25" customHeight="1">
      <c r="A89">
        <f>A88+1</f>
        <v>2</v>
      </c>
      <c r="C89" t="str">
        <v>#</v>
      </c>
    </row>
    <row r="90" ht="14.25" customHeight="1">
      <c r="A90">
        <f>A89+1</f>
        <v>3</v>
      </c>
      <c r="C90" t="str">
        <v>#</v>
      </c>
    </row>
    <row r="91" ht="14.25" customHeight="1">
      <c r="A91">
        <f>A90+1</f>
        <v>4</v>
      </c>
      <c r="C91" t="str">
        <v>#</v>
      </c>
    </row>
    <row r="92" ht="14.25" customHeight="1">
      <c r="C92" t="str">
        <v>#</v>
      </c>
    </row>
    <row r="93" ht="14.25" customHeight="1">
      <c r="B93" t="str">
        <v>Unit Prices</v>
      </c>
    </row>
    <row r="94" ht="14.25" customHeight="1">
      <c r="A94">
        <v>1</v>
      </c>
      <c r="C94" t="str">
        <v>#</v>
      </c>
    </row>
    <row r="95" ht="14.25" customHeight="1">
      <c r="A95">
        <f>A94+1</f>
        <v>2</v>
      </c>
      <c r="C95" t="str">
        <v>#</v>
      </c>
    </row>
    <row r="96" ht="14.25" customHeight="1">
      <c r="A96">
        <f>A95+1</f>
        <v>3</v>
      </c>
      <c r="C96" t="str">
        <v>#</v>
      </c>
    </row>
    <row r="97" ht="14.25" customHeight="1">
      <c r="A97">
        <f>A96+1</f>
        <v>4</v>
      </c>
      <c r="C97" t="str">
        <v>#</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47.xml><?xml version="1.0" encoding="utf-8"?>
<worksheet xmlns="http://schemas.openxmlformats.org/spreadsheetml/2006/main" xmlns:r="http://schemas.openxmlformats.org/officeDocument/2006/relationships">
  <dimension ref="A1:C1000"/>
  <sheetViews>
    <sheetView workbookViewId="0" rightToLeft="0"/>
  </sheetViews>
  <cols>
    <col min="1" max="1" customWidth="1" width="9.43"/>
    <col min="2" max="2" customWidth="1" width="8.71"/>
    <col min="3" max="3" customWidth="1" width="139.43"/>
    <col min="4" max="4" customWidth="1" width="8.71"/>
    <col min="5" max="5" customWidth="1" width="8.71"/>
    <col min="6" max="6" customWidth="1" width="8.71"/>
    <col min="7" max="7" customWidth="1" width="8.71"/>
    <col min="8" max="8" customWidth="1" width="8.71"/>
    <col min="9" max="9" customWidth="1" width="8.71"/>
    <col min="10" max="10" customWidth="1" width="8.71"/>
    <col min="11" max="11" customWidth="1" width="8.71"/>
    <col min="12" max="12" customWidth="1" width="8.71"/>
    <col min="13" max="13" customWidth="1" width="8.71"/>
    <col min="14" max="14" customWidth="1" width="8.71"/>
    <col min="15" max="15" customWidth="1" width="8.71"/>
    <col min="16" max="16" customWidth="1" width="8.71"/>
    <col min="17" max="17" customWidth="1" width="8.71"/>
    <col min="18" max="18" customWidth="1" width="8.71"/>
    <col min="19" max="19" customWidth="1" width="8.71"/>
    <col min="20" max="20" customWidth="1" width="8.71"/>
    <col min="21" max="21" customWidth="1" width="8.71"/>
    <col min="22" max="22" customWidth="1" width="8.71"/>
    <col min="23" max="23" customWidth="1" width="8.71"/>
    <col min="24" max="24" customWidth="1" width="8.71"/>
    <col min="25" max="25" customWidth="1" width="8.71"/>
    <col min="26" max="26" customWidth="1" width="8.71"/>
  </cols>
  <sheetData>
    <row r="1" ht="14.25" customHeight="1">
      <c r="A1" t="str">
        <v>Date</v>
      </c>
      <c r="B1" t="str">
        <v>Version</v>
      </c>
      <c r="C1" t="str">
        <v>Change</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ignoredErrors>
    <ignoredError numberStoredAsText="1" sqref="A1:C1000"/>
  </ignoredErrors>
</worksheet>
</file>

<file path=xl/worksheets/sheet48.xml><?xml version="1.0" encoding="utf-8"?>
<worksheet xmlns="http://schemas.openxmlformats.org/spreadsheetml/2006/main" xmlns:r="http://schemas.openxmlformats.org/officeDocument/2006/relationships">
  <dimension ref="A1:DI1000"/>
  <sheetViews>
    <sheetView workbookViewId="0" rightToLeft="0"/>
  </sheetViews>
  <cols>
    <col min="1" max="1" customWidth="1" width="8"/>
    <col min="2" max="2" customWidth="1" width="19.57"/>
    <col min="3" max="3" customWidth="1" width="8.43"/>
    <col min="4" max="4" customWidth="1" width="69.86"/>
    <col min="5" max="5" customWidth="1" width="4.57"/>
    <col min="6" max="6" customWidth="1" width="4.57"/>
    <col min="7" max="7" customWidth="1" width="4.57"/>
    <col min="8" max="8" customWidth="1" width="4.57"/>
    <col min="9" max="9" customWidth="1" width="4.57"/>
    <col min="10" max="10" customWidth="1" width="4.57"/>
    <col min="11" max="11" customWidth="1" width="4.57"/>
    <col min="12" max="12" customWidth="1" width="4.57"/>
    <col min="13" max="13" customWidth="1" width="4.57"/>
    <col min="14" max="14" customWidth="1" width="4.57"/>
    <col min="15" max="15" customWidth="1" width="4.57"/>
    <col min="16" max="16" customWidth="1" width="4.57"/>
    <col min="17" max="17" customWidth="1" width="4.57"/>
    <col min="18" max="18" customWidth="1" width="4.57"/>
    <col min="19" max="19" customWidth="1" width="4.57"/>
    <col min="20" max="20" customWidth="1" width="4.57"/>
    <col min="21" max="21" customWidth="1" width="4.57"/>
    <col min="22" max="22" customWidth="1" width="4.57"/>
    <col min="23" max="23" customWidth="1" width="4.57"/>
    <col min="24" max="24" customWidth="1" width="4.57"/>
    <col min="25" max="25" customWidth="1" width="7.14"/>
    <col min="26" max="26" customWidth="1" width="7.14"/>
    <col min="27" max="27" customWidth="1" width="7.14"/>
    <col min="28" max="28" customWidth="1" width="7.14"/>
    <col min="29" max="29" customWidth="1" width="7.14"/>
    <col min="30" max="30" customWidth="1" width="7.14"/>
    <col min="31" max="31" customWidth="1" width="7.14"/>
    <col min="32" max="32" customWidth="1" width="7.14"/>
    <col min="33" max="33" customWidth="1" width="7.14"/>
    <col min="34" max="34" customWidth="1" width="7.14"/>
    <col min="35" max="35" customWidth="1" width="7.14"/>
    <col min="36" max="36" customWidth="1" width="7.14"/>
    <col min="37" max="37" customWidth="1" width="7.14"/>
    <col min="38" max="38" customWidth="1" width="7.14"/>
    <col min="39" max="39" customWidth="1" width="7.14"/>
    <col min="40" max="40" customWidth="1" width="7.14"/>
    <col min="41" max="41" customWidth="1" width="7.14"/>
    <col min="42" max="42" customWidth="1" width="7.14"/>
    <col min="43" max="43" customWidth="1" width="7.14"/>
    <col min="44" max="44" customWidth="1" width="4.57"/>
    <col min="45" max="45" customWidth="1" width="4.57"/>
    <col min="46" max="46" customWidth="1" width="4.57"/>
    <col min="47" max="47" customWidth="1" width="4.57"/>
    <col min="48" max="48" customWidth="1" width="4.57"/>
    <col min="49" max="49" customWidth="1" width="4.57"/>
    <col min="50" max="50" customWidth="1" width="4.57"/>
    <col min="51" max="51" customWidth="1" width="4.57"/>
    <col min="52" max="52" customWidth="1" width="4.57"/>
    <col min="53" max="53" customWidth="1" width="4.57"/>
    <col min="54" max="54" customWidth="1" width="4.57"/>
    <col min="55" max="55" customWidth="1" width="4.57"/>
    <col min="56" max="56" customWidth="1" width="4.57"/>
    <col min="57" max="57" customWidth="1" width="4.57"/>
    <col min="58" max="58" customWidth="1" width="4.57"/>
    <col min="59" max="59" customWidth="1" width="4.57"/>
    <col min="60" max="60" customWidth="1" width="4.57"/>
    <col min="61" max="61" customWidth="1" width="4.57"/>
    <col min="62" max="62" customWidth="1" width="4.57"/>
    <col min="63" max="63" customWidth="1" width="4.57"/>
    <col min="64" max="64" customWidth="1" width="4.57"/>
    <col min="65" max="65" customWidth="1" width="4.57"/>
    <col min="66" max="66" customWidth="1" width="4.57"/>
    <col min="67" max="67" customWidth="1" width="4.57"/>
    <col min="68" max="68" customWidth="1" width="4.57"/>
    <col min="69" max="69" customWidth="1" width="4.57"/>
    <col min="70" max="70" customWidth="1" width="4.57"/>
    <col min="71" max="71" customWidth="1" width="7.14"/>
    <col min="72" max="72" customWidth="1" width="7.14"/>
    <col min="73" max="73" customWidth="1" width="7.14"/>
    <col min="74" max="74" customWidth="1" width="7.14"/>
    <col min="75" max="75" customWidth="1" width="7.14"/>
    <col min="76" max="76" customWidth="1" width="7.14"/>
    <col min="77" max="77" customWidth="1" width="7.14"/>
    <col min="78" max="78" customWidth="1" width="7.14"/>
    <col min="79" max="79" customWidth="1" width="7.14"/>
    <col min="80" max="80" customWidth="1" width="7.14"/>
    <col min="81" max="81" customWidth="1" width="7.14"/>
    <col min="82" max="82" customWidth="1" width="7.14"/>
    <col min="83" max="83" customWidth="1" width="7.14"/>
    <col min="84" max="84" customWidth="1" width="7.14"/>
    <col min="85" max="85" customWidth="1" width="7.14"/>
    <col min="86" max="86" customWidth="1" width="7.14"/>
    <col min="87" max="87" customWidth="1" width="7.14"/>
    <col min="88" max="88" customWidth="1" width="7.14"/>
    <col min="89" max="89" customWidth="1" width="7.14"/>
    <col min="90" max="90" customWidth="1" width="4.57"/>
    <col min="91" max="91" customWidth="1" width="4.57"/>
    <col min="92" max="92" customWidth="1" width="4.57"/>
    <col min="93" max="93" customWidth="1" width="4.57"/>
    <col min="94" max="94" customWidth="1" width="4.57"/>
    <col min="95" max="95" customWidth="1" width="4.57"/>
    <col min="96" max="96" customWidth="1" width="4.57"/>
    <col min="97" max="97" customWidth="1" width="4.57"/>
    <col min="98" max="98" customWidth="1" width="4.57"/>
    <col min="99" max="99" customWidth="1" width="4.57"/>
    <col min="100" max="100" customWidth="1" width="4.57"/>
    <col min="101" max="101" customWidth="1" width="4.57"/>
    <col min="102" max="102" customWidth="1" width="4.57"/>
    <col min="103" max="103" customWidth="1" width="4.57"/>
    <col min="104" max="104" customWidth="1" width="4.57"/>
    <col min="105" max="105" customWidth="1" width="4.57"/>
    <col min="106" max="106" customWidth="1" width="4.57"/>
    <col min="107" max="107" customWidth="1" width="4.57"/>
    <col min="108" max="108" customWidth="1" width="4.57"/>
    <col min="109" max="109" customWidth="1" width="4.57"/>
    <col min="110" max="110" customWidth="1" width="4.57"/>
    <col min="111" max="111" customWidth="1" width="4.57"/>
    <col min="112" max="112" customWidth="1" width="4.57"/>
    <col min="113" max="113" customWidth="1" width="8"/>
  </cols>
  <sheetData>
    <row r="1"/>
    <row r="2"/>
    <row r="3"/>
    <row r="4"/>
    <row r="5"/>
    <row r="6"/>
    <row r="7" ht="15.75" customHeight="1"/>
    <row r="8" ht="300" customHeight="1">
      <c r="C8" t="str">
        <v>project</v>
      </c>
      <c r="E8" s="17" t="str">
        <v xml:space="preserve">Integrated Exterior Mock-Ups-ENA </v>
      </c>
      <c r="F8" s="17" t="str">
        <v xml:space="preserve">Water Distribution - Brent ES  </v>
      </c>
      <c r="G8" s="17" t="str">
        <v xml:space="preserve">Cast-in-Place Concrete - Margaret Brent  </v>
      </c>
      <c r="H8" s="17" t="str">
        <v xml:space="preserve">Polished Concrete Finishing-ENA </v>
      </c>
      <c r="I8" s="17" t="str">
        <v xml:space="preserve">Cast Underlayment-ENA </v>
      </c>
      <c r="J8" s="17" t="str">
        <v xml:space="preserve">Unit Masonry Mortaring and Grouting-ENA </v>
      </c>
      <c r="K8" s="17" t="str">
        <v xml:space="preserve">Unit Masonry-ENA </v>
      </c>
      <c r="L8" s="17" t="str">
        <v xml:space="preserve">Cast Stone Masonry-ENA </v>
      </c>
      <c r="M8" s="17" t="str">
        <v xml:space="preserve">Fluoropolymer Finish-ENA </v>
      </c>
      <c r="N8" s="17" t="str">
        <v xml:space="preserve">Structural Steel Framing - Margaret Brent  </v>
      </c>
      <c r="O8" s="17" t="str">
        <v xml:space="preserve">Steel Joist Framing - Margaret Brent  </v>
      </c>
      <c r="P8" s="17" t="str">
        <v xml:space="preserve">Steel Decking - Margaret Brent  </v>
      </c>
      <c r="Q8" s="18" t="str">
        <v xml:space="preserve">Metal Fabrications-ENA </v>
      </c>
      <c r="R8" s="18" t="str">
        <v xml:space="preserve">Ornamental Handrails and Railings-ENA </v>
      </c>
      <c r="S8" s="18" t="str">
        <v xml:space="preserve">Rough Carpentry-ENA </v>
      </c>
      <c r="T8" s="17" t="str">
        <v xml:space="preserve">Sheathing-ENA </v>
      </c>
      <c r="U8" s="17" t="str">
        <v xml:space="preserve">Finish Carpentry-ENA </v>
      </c>
      <c r="V8" s="17" t="str">
        <v xml:space="preserve">Architectural Woodwork-ENA </v>
      </c>
      <c r="W8" s="18" t="str">
        <v xml:space="preserve">Waterproofing-ENA </v>
      </c>
      <c r="X8" s="18" t="str">
        <v xml:space="preserve">Thermal Insulation-ENA </v>
      </c>
      <c r="Y8" s="17" t="str">
        <v xml:space="preserve">Air Barriers-ENA </v>
      </c>
      <c r="Z8" s="17" t="str">
        <v xml:space="preserve">PVC Roofing-ENA </v>
      </c>
      <c r="AA8" s="18" t="str">
        <v xml:space="preserve">Sheet Metal Flashing and Trim-ENA </v>
      </c>
      <c r="AB8" s="18" t="str">
        <v xml:space="preserve">Applied Fireproofing-ENA </v>
      </c>
      <c r="AC8" s="17" t="str">
        <v xml:space="preserve">Firestopping-ENA </v>
      </c>
      <c r="AD8" s="17" t="str">
        <v xml:space="preserve">Joint Sealants-ENA </v>
      </c>
      <c r="AE8" s="18" t="str">
        <v xml:space="preserve">Hollow Metal Doors and Frames-ENA </v>
      </c>
      <c r="AF8" s="18" t="str">
        <v xml:space="preserve">Flush Wood Doors-ENA </v>
      </c>
      <c r="AG8" s="17" t="str">
        <v xml:space="preserve">Access Doors and Panels-ENA </v>
      </c>
      <c r="AH8" s="17" t="str">
        <v xml:space="preserve">Coiling Doors and Grilles-ENA </v>
      </c>
      <c r="AI8" s="18" t="str">
        <v xml:space="preserve">Overhead Coiling Fire Curtain-ENA </v>
      </c>
      <c r="AJ8" s="18" t="str">
        <v xml:space="preserve">Folding Fire Doors-ENA </v>
      </c>
      <c r="AK8" s="17" t="str">
        <v xml:space="preserve">FRP Aluminum Framed Entrance Doors-ENA </v>
      </c>
      <c r="AL8" s="17" t="str">
        <v xml:space="preserve">Aluminum Framed Interior Storefront-ENA </v>
      </c>
      <c r="AM8" s="17" t="str">
        <v xml:space="preserve">Metal Framed Skylights-ENA </v>
      </c>
      <c r="AN8" s="17" t="str">
        <v xml:space="preserve">Glazing-ENA </v>
      </c>
      <c r="AO8" s="18" t="str">
        <v xml:space="preserve">Louvers and Vents-ENA </v>
      </c>
      <c r="AP8" s="18" t="str">
        <v xml:space="preserve">Gypsum Board-ENA </v>
      </c>
      <c r="AQ8" s="18" t="str">
        <v xml:space="preserve">Tiling-ENA </v>
      </c>
      <c r="AR8" s="18" t="str">
        <v xml:space="preserve">Acoustical Ceilings-ENA </v>
      </c>
      <c r="AS8" s="18" t="str">
        <v xml:space="preserve">Linear Wood Ceilings-ENA </v>
      </c>
      <c r="AT8" s="18" t="str">
        <v xml:space="preserve">Wood Athletic Flooring-ENA </v>
      </c>
      <c r="AU8" s="18" t="str">
        <v xml:space="preserve">Resilient Flooring-ENA </v>
      </c>
      <c r="AV8" s="18" t="str">
        <v xml:space="preserve">Resilient Athletic Flooring-ENA </v>
      </c>
      <c r="AW8" s="18" t="str">
        <v xml:space="preserve">Resinous Matrix Terrazzo Flooring-ENA </v>
      </c>
      <c r="AX8" s="18" t="str">
        <v xml:space="preserve">Carpeting-ENA </v>
      </c>
      <c r="AY8" s="18" t="str">
        <v xml:space="preserve">Wall Coverings-ENA </v>
      </c>
      <c r="AZ8" s="18" t="str">
        <v xml:space="preserve">FRP Panels-ENA </v>
      </c>
      <c r="BA8" s="18" t="str">
        <v xml:space="preserve">Acoustical Panels-ENA </v>
      </c>
      <c r="BB8" s="18" t="str">
        <v xml:space="preserve">Painting and Coating-ENA </v>
      </c>
      <c r="BC8" s="18" t="str">
        <v xml:space="preserve">Visual Display Surfaces-ENA </v>
      </c>
      <c r="BD8" s="18" t="str">
        <v xml:space="preserve">Signage-ENA </v>
      </c>
      <c r="BE8" s="18" t="str">
        <v xml:space="preserve">Toilet Compartments-ENA </v>
      </c>
      <c r="BF8" s="18" t="str">
        <v xml:space="preserve">Cubicle Curtains and Track-ENA </v>
      </c>
      <c r="BG8" s="18" t="str">
        <v xml:space="preserve">Operable Partitions-ENA </v>
      </c>
      <c r="BH8" s="18" t="str">
        <v xml:space="preserve">Wall and Door Protections-ENA </v>
      </c>
      <c r="BI8" s="18" t="str">
        <v xml:space="preserve">Toilet Accessories-ENA </v>
      </c>
      <c r="BJ8" s="18" t="str">
        <v xml:space="preserve">Fire Protection Specialties-ENA </v>
      </c>
      <c r="BK8" s="18" t="str">
        <v xml:space="preserve">Metal Lockers-ENA </v>
      </c>
      <c r="BL8" s="18" t="str">
        <v xml:space="preserve">Prefabricated Entrance Canopies-ENA </v>
      </c>
      <c r="BM8" s="18" t="str">
        <v xml:space="preserve">Electric Vehicle Charging Station-ENA </v>
      </c>
      <c r="BN8" s="18" t="str">
        <v xml:space="preserve">Fall Arrest Systems-ENA </v>
      </c>
      <c r="BO8" s="18" t="str">
        <v xml:space="preserve">Residential Appliances-ENA </v>
      </c>
      <c r="BP8" s="18" t="str">
        <v xml:space="preserve">Foodservice Equipment - Brent ES  </v>
      </c>
      <c r="BQ8" s="18" t="str">
        <v xml:space="preserve">Kilns-ENA </v>
      </c>
      <c r="BR8" s="18" t="str">
        <v xml:space="preserve">Theater and Stage Equipment-ENA </v>
      </c>
      <c r="BS8" s="18" t="str">
        <v xml:space="preserve">Folding and Portable Stages-ENA </v>
      </c>
      <c r="BT8" s="18" t="str">
        <v xml:space="preserve">Athletic Equipment-ENA </v>
      </c>
      <c r="BU8" s="18" t="str">
        <v xml:space="preserve">Waste Compactors-ENA </v>
      </c>
      <c r="BV8" s="18" t="str">
        <v xml:space="preserve">Window Shades-ENA </v>
      </c>
      <c r="BW8" s="18" t="str">
        <v xml:space="preserve">Music Education Storage Casework-ENA </v>
      </c>
      <c r="BX8" s="18" t="str">
        <v xml:space="preserve">Residential Casework-ENA </v>
      </c>
      <c r="BY8" s="18" t="str">
        <v xml:space="preserve">Laboratory Casework-ENA </v>
      </c>
      <c r="BZ8" s="18" t="str">
        <v xml:space="preserve">Entrance Floor Mats and Frames-ENA </v>
      </c>
      <c r="CA8" s="18" t="str">
        <v xml:space="preserve">Furniture-ENA </v>
      </c>
      <c r="CB8" s="18" t="str">
        <v xml:space="preserve">Telescoping Stands-ENA </v>
      </c>
      <c r="CC8" s="18" t="str">
        <v xml:space="preserve">Electric Traction Elevators-ENA </v>
      </c>
      <c r="CD8" s="18" t="str">
        <v xml:space="preserve">Mechanical Index  </v>
      </c>
      <c r="CE8" s="18" t="str">
        <v xml:space="preserve">General Provisions - Mechanical  </v>
      </c>
      <c r="CF8" s="18" t="str">
        <v xml:space="preserve">Scope of the Mechanical Work  </v>
      </c>
      <c r="CG8" s="18" t="str">
        <v xml:space="preserve">Shop Drawings, Descriptive Literature, Maintenance Manuals, Parts Lists, Special Keys and Tools  </v>
      </c>
      <c r="CH8" s="18" t="str">
        <v xml:space="preserve">Coordination Among Trades, Systems Interfacing and Connection of Equipment Furnished by Others  </v>
      </c>
      <c r="CI8" s="18" t="str">
        <v xml:space="preserve">Commissioning of HVAC  </v>
      </c>
      <c r="CJ8" s="18" t="str">
        <v xml:space="preserve">Fire Protection System  </v>
      </c>
      <c r="CK8" s="18" t="str">
        <v xml:space="preserve">PLUMBING </v>
      </c>
      <c r="CL8" s="18" t="str">
        <v>HVAC</v>
      </c>
      <c r="CM8" s="18" t="str">
        <v>ELECTRICAL</v>
      </c>
      <c r="CN8" s="18" t="str">
        <v xml:space="preserve">Telecom Rooms and Pathways  </v>
      </c>
      <c r="CO8" s="18" t="str">
        <v xml:space="preserve">Conduit, Raceways and Boxes for Audiovisual Systems  </v>
      </c>
      <c r="CP8" s="18" t="str">
        <v xml:space="preserve">Telephone and Data Systems  </v>
      </c>
      <c r="CQ8" s="18" t="str">
        <v xml:space="preserve">Projection Screens  </v>
      </c>
      <c r="CR8" s="18" t="str">
        <v xml:space="preserve">Audiovisual and Sound Systems  </v>
      </c>
      <c r="CS8" s="18" t="str">
        <v xml:space="preserve">Intercom and Clock  </v>
      </c>
      <c r="CT8" s="18" t="str">
        <v xml:space="preserve">Integrated IP Based Safety &amp; Intercommunications Systems &amp; Clocks </v>
      </c>
      <c r="CU8" s="18" t="str">
        <v xml:space="preserve">Bi-Directional Amplifier Testing </v>
      </c>
      <c r="CV8" s="18" t="str">
        <v xml:space="preserve">Electronic Safety and Security  </v>
      </c>
      <c r="CW8" s="18" t="str">
        <v xml:space="preserve">Access Control  </v>
      </c>
      <c r="CX8" s="18" t="str">
        <v xml:space="preserve">Fire Alarm System  </v>
      </c>
      <c r="CY8" s="18" t="str">
        <v xml:space="preserve">Building Intrusion Detection  </v>
      </c>
      <c r="CZ8" s="18" t="str">
        <v xml:space="preserve">Two Way Emergency Communications System  </v>
      </c>
      <c r="DA8" s="18" t="str">
        <v xml:space="preserve">Site Clearing - Brent ES  </v>
      </c>
      <c r="DB8" s="18" t="str">
        <v xml:space="preserve">Earth Moving - Brent ES  </v>
      </c>
      <c r="DC8" s="18" t="str">
        <v xml:space="preserve">Dewatering - Brent ES  </v>
      </c>
      <c r="DD8" s="18" t="str">
        <v xml:space="preserve">Asphalt Paving - Brent ES  </v>
      </c>
      <c r="DE8" s="18" t="str">
        <v xml:space="preserve">Concrete Paving - Brent ES  </v>
      </c>
      <c r="DF8" s="18" t="str">
        <v xml:space="preserve">Concrete Paving Joint Sealants - Brent ES  </v>
      </c>
      <c r="DG8" s="18" t="str">
        <v xml:space="preserve">Common Works Results for Utilities - Brent ES  </v>
      </c>
      <c r="DH8" s="18" t="str">
        <v xml:space="preserve">Storm Utility Drainage Piping - Brent ES </v>
      </c>
    </row>
    <row r="9" ht="118.5" customHeight="1">
      <c r="A9" t="str">
        <v>ESTIMATOR</v>
      </c>
      <c r="B9" t="str">
        <v>CSI Division</v>
      </c>
      <c r="C9" t="str">
        <v>BID PACKAGES</v>
      </c>
      <c r="E9" s="11" t="str">
        <v>014339</v>
      </c>
      <c r="F9" s="11" t="str">
        <v xml:space="preserve">025100 </v>
      </c>
      <c r="G9" s="11" t="str">
        <v xml:space="preserve">033000 </v>
      </c>
      <c r="H9" s="11" t="str">
        <v>033543</v>
      </c>
      <c r="I9" s="11" t="str">
        <v>035400</v>
      </c>
      <c r="J9" s="11" t="str">
        <v>040514</v>
      </c>
      <c r="K9" s="11" t="str">
        <v xml:space="preserve">042000 </v>
      </c>
      <c r="L9" s="11" t="str">
        <v xml:space="preserve">047200 </v>
      </c>
      <c r="M9" s="11" t="str">
        <v xml:space="preserve">050515 </v>
      </c>
      <c r="N9" s="11" t="str">
        <v xml:space="preserve">051200 </v>
      </c>
      <c r="O9" s="11" t="str">
        <v xml:space="preserve">052100 </v>
      </c>
      <c r="P9" s="11" t="str">
        <v xml:space="preserve">053100 </v>
      </c>
      <c r="Q9" s="11" t="str">
        <v xml:space="preserve">055000 </v>
      </c>
      <c r="R9" s="11" t="str">
        <v xml:space="preserve">057305 </v>
      </c>
      <c r="S9" s="11" t="str">
        <v xml:space="preserve">061000 </v>
      </c>
      <c r="T9" s="11" t="str">
        <v xml:space="preserve">061600 </v>
      </c>
      <c r="U9" s="11" t="str">
        <v xml:space="preserve">062000 </v>
      </c>
      <c r="V9" s="11" t="str">
        <v xml:space="preserve">064000 </v>
      </c>
      <c r="W9" s="11" t="str">
        <v>071000</v>
      </c>
      <c r="X9" s="11" t="str">
        <v>072100</v>
      </c>
      <c r="Y9" s="11" t="str">
        <v>072700</v>
      </c>
      <c r="Z9" s="11" t="str">
        <v>075400</v>
      </c>
      <c r="AA9" s="11" t="str">
        <v xml:space="preserve">076200 </v>
      </c>
      <c r="AB9" s="11" t="str">
        <v xml:space="preserve">078100 </v>
      </c>
      <c r="AC9" s="11" t="str">
        <v>078400</v>
      </c>
      <c r="AD9" s="11" t="str">
        <v xml:space="preserve">079200 </v>
      </c>
      <c r="AE9" s="11" t="str">
        <v>081113</v>
      </c>
      <c r="AF9" s="11" t="str">
        <v>081416</v>
      </c>
      <c r="AG9" s="11" t="str">
        <v>083100</v>
      </c>
      <c r="AH9" s="11" t="str">
        <v xml:space="preserve">083300 </v>
      </c>
      <c r="AI9" s="11" t="str">
        <v xml:space="preserve">083320 </v>
      </c>
      <c r="AJ9" s="11" t="str">
        <v xml:space="preserve">083514 </v>
      </c>
      <c r="AK9" s="11" t="str">
        <v xml:space="preserve">084113 </v>
      </c>
      <c r="AL9" s="11" t="str">
        <v xml:space="preserve">084115 </v>
      </c>
      <c r="AM9" s="11" t="str">
        <v>086300</v>
      </c>
      <c r="AN9" s="11" t="str">
        <v xml:space="preserve">088000 </v>
      </c>
      <c r="AO9" s="11" t="str">
        <v>089000</v>
      </c>
      <c r="AP9" s="11" t="str">
        <v>092900</v>
      </c>
      <c r="AQ9" s="11" t="str">
        <v xml:space="preserve">093000 </v>
      </c>
      <c r="AR9" s="11" t="str">
        <v xml:space="preserve">095100 </v>
      </c>
      <c r="AS9" s="11" t="str">
        <v>095426</v>
      </c>
      <c r="AT9" s="11" t="str">
        <v>096466</v>
      </c>
      <c r="AU9" s="11" t="str">
        <v xml:space="preserve">096500 </v>
      </c>
      <c r="AV9" s="11" t="str">
        <v xml:space="preserve">096566 </v>
      </c>
      <c r="AW9" s="11" t="str">
        <v xml:space="preserve">096625 </v>
      </c>
      <c r="AX9" s="11" t="str">
        <v>096800</v>
      </c>
      <c r="AY9" s="11" t="str">
        <v xml:space="preserve">097200 </v>
      </c>
      <c r="AZ9" s="11" t="str">
        <v xml:space="preserve">097700 </v>
      </c>
      <c r="BA9" s="11" t="str">
        <v xml:space="preserve">098415 </v>
      </c>
      <c r="BB9" s="11" t="str">
        <v>099000</v>
      </c>
      <c r="BC9" s="11" t="str">
        <v xml:space="preserve">101100 </v>
      </c>
      <c r="BD9" s="11" t="str">
        <v xml:space="preserve">101400 </v>
      </c>
      <c r="BE9" s="11" t="str">
        <v xml:space="preserve">102113 </v>
      </c>
      <c r="BF9" s="11" t="str">
        <v>102123</v>
      </c>
      <c r="BG9" s="11" t="str">
        <v xml:space="preserve">102226 </v>
      </c>
      <c r="BH9" s="11" t="str">
        <v xml:space="preserve">102600 </v>
      </c>
      <c r="BI9" s="11" t="str">
        <v xml:space="preserve">102813 </v>
      </c>
      <c r="BJ9" s="11" t="str">
        <v xml:space="preserve">104400 </v>
      </c>
      <c r="BK9" s="11" t="str">
        <v xml:space="preserve">105113 </v>
      </c>
      <c r="BL9" s="11" t="str">
        <v xml:space="preserve">107323 </v>
      </c>
      <c r="BM9" s="11" t="str">
        <v xml:space="preserve">111213 </v>
      </c>
      <c r="BN9" s="11" t="str">
        <v xml:space="preserve">112430 </v>
      </c>
      <c r="BO9" s="11" t="str">
        <v xml:space="preserve">113013 </v>
      </c>
      <c r="BP9" s="11" t="str">
        <v xml:space="preserve">114000 </v>
      </c>
      <c r="BQ9" s="11" t="str">
        <v xml:space="preserve">115710 </v>
      </c>
      <c r="BR9" s="11" t="str">
        <v xml:space="preserve">116100 </v>
      </c>
      <c r="BS9" s="11" t="str">
        <v xml:space="preserve">116123 </v>
      </c>
      <c r="BT9" s="11" t="str">
        <v xml:space="preserve">116600 </v>
      </c>
      <c r="BU9" s="11" t="str">
        <v xml:space="preserve">118227 </v>
      </c>
      <c r="BV9" s="11" t="str">
        <v xml:space="preserve">122400 </v>
      </c>
      <c r="BW9" s="11" t="str">
        <v xml:space="preserve">123520 </v>
      </c>
      <c r="BX9" s="11" t="str">
        <v xml:space="preserve">123530 </v>
      </c>
      <c r="BY9" s="11" t="str">
        <v xml:space="preserve">123553 </v>
      </c>
      <c r="BZ9" s="11" t="str">
        <v xml:space="preserve">124813 </v>
      </c>
      <c r="CA9" s="11" t="str">
        <v xml:space="preserve">125000 </v>
      </c>
      <c r="CB9" s="11" t="str">
        <v xml:space="preserve">126600 </v>
      </c>
      <c r="CC9" s="11" t="str">
        <v xml:space="preserve">142100 </v>
      </c>
      <c r="CD9" s="11" t="str">
        <v>200000</v>
      </c>
      <c r="CE9" s="11" t="str">
        <v>200100</v>
      </c>
      <c r="CF9" s="11" t="str">
        <v xml:space="preserve">200200 </v>
      </c>
      <c r="CG9" s="11" t="str">
        <v xml:space="preserve">200300 </v>
      </c>
      <c r="CH9" s="11" t="str">
        <v xml:space="preserve">200500 </v>
      </c>
      <c r="CI9" s="11" t="str">
        <v xml:space="preserve">200800 </v>
      </c>
      <c r="CJ9" s="11" t="str">
        <v xml:space="preserve">210100 </v>
      </c>
      <c r="CK9" s="11" t="str">
        <v>DIVISION 22</v>
      </c>
      <c r="CL9" s="11" t="str">
        <v xml:space="preserve">DIVISION 23 </v>
      </c>
      <c r="CM9" s="11" t="str">
        <v xml:space="preserve">DIVISION 26 </v>
      </c>
      <c r="CN9" s="11" t="str">
        <v xml:space="preserve">270500 </v>
      </c>
      <c r="CO9" s="11" t="str">
        <v xml:space="preserve">270533 </v>
      </c>
      <c r="CP9" s="11" t="str">
        <v xml:space="preserve">271000 </v>
      </c>
      <c r="CQ9" s="11" t="str">
        <v xml:space="preserve">274113 </v>
      </c>
      <c r="CR9" s="11" t="str">
        <v xml:space="preserve">275000 </v>
      </c>
      <c r="CS9" s="11" t="str">
        <v xml:space="preserve">275100 </v>
      </c>
      <c r="CT9" s="11" t="str">
        <v xml:space="preserve">275123 </v>
      </c>
      <c r="CU9" s="11" t="str">
        <v>275319</v>
      </c>
      <c r="CV9" s="11" t="str">
        <v xml:space="preserve">280000 </v>
      </c>
      <c r="CW9" s="11" t="str">
        <v xml:space="preserve">281000 </v>
      </c>
      <c r="CX9" s="11" t="str">
        <v xml:space="preserve">283100 </v>
      </c>
      <c r="CY9" s="11" t="str">
        <v>283111</v>
      </c>
      <c r="CZ9" s="11" t="str">
        <v xml:space="preserve">284800 </v>
      </c>
      <c r="DA9" s="11" t="str">
        <v>311000</v>
      </c>
      <c r="DB9" s="11" t="str">
        <v xml:space="preserve">312000 </v>
      </c>
      <c r="DC9" s="11" t="str">
        <v xml:space="preserve">312319 </v>
      </c>
      <c r="DD9" s="11" t="str">
        <v>321216</v>
      </c>
      <c r="DE9" s="11" t="str">
        <v xml:space="preserve">321313 </v>
      </c>
      <c r="DF9" s="11" t="str">
        <v xml:space="preserve">321373 </v>
      </c>
      <c r="DG9" s="11" t="str">
        <v xml:space="preserve">330500 </v>
      </c>
      <c r="DH9" s="11" t="str">
        <v xml:space="preserve">334100 </v>
      </c>
    </row>
    <row r="10">
      <c r="DI10">
        <f>COUNTIF(E10:DH10,"X")</f>
        <v>0</v>
      </c>
    </row>
    <row r="11">
      <c r="DI11">
        <f>COUNTIF(E11:DH11,"X")</f>
        <v>0</v>
      </c>
    </row>
    <row r="12">
      <c r="DI12">
        <f>COUNTIF(E12:DH12,"X")</f>
        <v>0</v>
      </c>
    </row>
    <row r="13">
      <c r="DI13">
        <f>COUNTIF(E13:DH13,"X")</f>
        <v>0</v>
      </c>
    </row>
    <row r="14">
      <c r="DI14">
        <f>COUNTIF(E14:DH14,"X")</f>
        <v>0</v>
      </c>
    </row>
    <row r="15">
      <c r="DI15">
        <f>COUNTIF(E15:DH15,"X")</f>
        <v>0</v>
      </c>
    </row>
    <row r="16">
      <c r="DI16">
        <f>COUNTIF(E16:DH16,"X")</f>
        <v>0</v>
      </c>
    </row>
    <row r="17">
      <c r="DI17">
        <f>COUNTIF(E17:DH17,"X")</f>
        <v>0</v>
      </c>
    </row>
    <row r="18">
      <c r="DI18">
        <f>COUNTIF(E18:DH18,"X")</f>
        <v>0</v>
      </c>
    </row>
    <row r="19">
      <c r="DI19">
        <f>COUNTIF(E19:DH19,"X")</f>
        <v>0</v>
      </c>
    </row>
    <row r="20">
      <c r="DI20">
        <f>COUNTIF(E20:DH20,"X")</f>
        <v>0</v>
      </c>
    </row>
    <row r="21">
      <c r="DI21">
        <f>COUNTIF(E21:DH21,"X")</f>
        <v>0</v>
      </c>
    </row>
    <row r="22">
      <c r="DI22">
        <f>COUNTIF(E22:DH22,"X")</f>
        <v>0</v>
      </c>
    </row>
    <row r="23">
      <c r="DI23">
        <f>COUNTIF(E23:DH23,"X")</f>
        <v>0</v>
      </c>
    </row>
    <row r="24">
      <c r="DI24">
        <f>COUNTIF(E24:DH24,"X")</f>
        <v>0</v>
      </c>
    </row>
    <row r="25">
      <c r="DI25">
        <f>COUNTIF(E25:DH25,"X")</f>
        <v>0</v>
      </c>
    </row>
    <row r="26">
      <c r="DI26">
        <f>COUNTIF(E26:DH26,"X")</f>
        <v>0</v>
      </c>
    </row>
    <row r="27">
      <c r="DI27">
        <f>COUNTIF(E27:DH27,"X")</f>
        <v>0</v>
      </c>
    </row>
    <row r="28">
      <c r="DI28">
        <f>COUNTIF(E28:DH28,"X")</f>
        <v>0</v>
      </c>
    </row>
    <row r="29">
      <c r="DI29">
        <f>COUNTIF(E29:DH29,"X")</f>
        <v>0</v>
      </c>
    </row>
    <row r="30">
      <c r="DI30">
        <f>COUNTIF(E30:DH30,"X")</f>
        <v>0</v>
      </c>
    </row>
    <row r="31">
      <c r="DI31">
        <f>COUNTIF(E31:DH31,"X")</f>
        <v>0</v>
      </c>
    </row>
    <row r="32">
      <c r="DI32">
        <f>COUNTIF(E32:DH32,"X")</f>
        <v>0</v>
      </c>
    </row>
    <row r="33">
      <c r="DI33">
        <f>COUNTIF(E33:DH33,"X")</f>
        <v>0</v>
      </c>
    </row>
    <row r="34">
      <c r="DI34">
        <f>COUNTIF(E34:DH34,"X")</f>
        <v>0</v>
      </c>
    </row>
    <row r="35">
      <c r="DI35">
        <f>COUNTIF(E35:DH35,"X")</f>
        <v>0</v>
      </c>
    </row>
    <row r="36">
      <c r="DI36">
        <f>COUNTIF(E36:DH36,"X")</f>
        <v>0</v>
      </c>
    </row>
    <row r="37">
      <c r="DI37">
        <f>COUNTIF(E37:DH37,"X")</f>
        <v>0</v>
      </c>
    </row>
    <row r="38">
      <c r="DI38">
        <f>COUNTIF(E38:DH38,"X")</f>
        <v>0</v>
      </c>
    </row>
    <row r="39">
      <c r="DI39">
        <f>COUNTIF(E39:DH39,"X")</f>
        <v>0</v>
      </c>
    </row>
    <row r="40">
      <c r="DI40">
        <f>COUNTIF(E40:DH40,"X")</f>
        <v>0</v>
      </c>
    </row>
    <row r="41">
      <c r="DI41">
        <f>COUNTIF(E41:DH41,"X")</f>
        <v>0</v>
      </c>
    </row>
    <row r="42">
      <c r="DI42">
        <f>COUNTIF(E42:DH42,"X")</f>
        <v>0</v>
      </c>
    </row>
    <row r="43">
      <c r="DI43">
        <f>COUNTIF(E43:DH43,"X")</f>
        <v>0</v>
      </c>
    </row>
    <row r="44">
      <c r="DI44">
        <f>COUNTIF(E44:DH44,"X")</f>
        <v>0</v>
      </c>
    </row>
    <row r="45">
      <c r="DI45">
        <f>COUNTIF(E45:DH45,"X")</f>
        <v>0</v>
      </c>
    </row>
    <row r="46">
      <c r="DI46">
        <f>COUNTIF(E46:DH46,"X")</f>
        <v>0</v>
      </c>
    </row>
    <row r="47">
      <c r="DI47">
        <f>COUNTIF(E47:DH47,"X")</f>
        <v>0</v>
      </c>
    </row>
    <row r="48">
      <c r="DI48">
        <f>COUNTIF(E48:DH48,"X")</f>
        <v>0</v>
      </c>
    </row>
    <row r="49">
      <c r="DI49">
        <f>COUNTIF(E49:DH49,"X")</f>
        <v>0</v>
      </c>
    </row>
    <row r="50">
      <c r="DI50">
        <f>COUNTIF(E50:DH50,"X")</f>
        <v>0</v>
      </c>
    </row>
    <row r="51">
      <c r="DI51">
        <f>COUNTIF(E51:DH51,"X")</f>
        <v>0</v>
      </c>
    </row>
    <row r="52">
      <c r="DI52">
        <f>COUNTIF(E52:DH52,"X")</f>
        <v>0</v>
      </c>
    </row>
    <row r="53">
      <c r="DI53">
        <f>COUNTIF(E53:DH53,"X")</f>
        <v>0</v>
      </c>
    </row>
    <row r="54">
      <c r="DI54">
        <f>COUNTIF(E54:DH54,"X")</f>
        <v>0</v>
      </c>
    </row>
    <row r="55">
      <c r="DI55">
        <f>COUNTIF(E55:DH55,"X")</f>
        <v>0</v>
      </c>
    </row>
    <row r="56">
      <c r="DI56">
        <f>COUNTIF(E56:DH56,"X")</f>
        <v>0</v>
      </c>
    </row>
    <row r="57">
      <c r="DI57">
        <f>COUNTIF(E57:DH57,"X")</f>
        <v>0</v>
      </c>
    </row>
    <row r="58">
      <c r="DI58">
        <f>COUNTIF(E58:DH58,"X")</f>
        <v>0</v>
      </c>
    </row>
    <row r="59">
      <c r="DI59">
        <f>COUNTIF(E59:DH59,"X")</f>
        <v>0</v>
      </c>
    </row>
    <row r="60">
      <c r="DI60">
        <f>COUNTIF(E60:DH60,"X")</f>
        <v>0</v>
      </c>
    </row>
    <row r="61">
      <c r="DI61">
        <f>COUNTIF(E61:DH61,"X")</f>
        <v>0</v>
      </c>
    </row>
    <row r="62" ht="15.75" customHeight="1">
      <c r="DI62">
        <f>COUNTIF(E62:DH62,"X")</f>
        <v>0</v>
      </c>
    </row>
    <row r="63" ht="15.75" customHeight="1">
      <c r="DI63">
        <f>COUNTIF(E63:DH63,"X")</f>
        <v>0</v>
      </c>
    </row>
    <row r="64">
      <c r="DI64">
        <f>COUNTIF(E64:DH64,"X")</f>
        <v>0</v>
      </c>
    </row>
    <row r="65">
      <c r="DI65">
        <f>COUNTIF(E65:DH65,"X")</f>
        <v>0</v>
      </c>
    </row>
    <row r="66">
      <c r="DI66">
        <f>COUNTIF(E66:DH66,"X")</f>
        <v>0</v>
      </c>
    </row>
    <row r="67">
      <c r="DI67">
        <f>COUNTIF(E67:DH67,"X")</f>
        <v>0</v>
      </c>
    </row>
    <row r="68">
      <c r="DI68">
        <f>COUNTIF(E68:DH68,"X")</f>
        <v>0</v>
      </c>
    </row>
    <row r="69" ht="15" customHeight="1">
      <c r="E69">
        <f>COUNTIF(E10:E68, "X")</f>
        <v>0</v>
      </c>
      <c r="F69">
        <f>COUNTIF(F10:F68, "X")</f>
        <v>0</v>
      </c>
      <c r="G69">
        <f>COUNTIF(G10:G68, "X")</f>
        <v>0</v>
      </c>
      <c r="H69">
        <f>COUNTIF(H10:H68, "X")</f>
        <v>0</v>
      </c>
      <c r="I69">
        <f>COUNTIF(I10:I68, "X")</f>
        <v>0</v>
      </c>
      <c r="J69">
        <f>COUNTIF(J10:J68, "X")</f>
        <v>0</v>
      </c>
      <c r="K69">
        <f>COUNTIF(K10:K68, "X")</f>
        <v>0</v>
      </c>
      <c r="L69">
        <f>COUNTIF(L10:L68, "X")</f>
        <v>0</v>
      </c>
      <c r="M69">
        <f>COUNTIF(M10:M68, "X")</f>
        <v>0</v>
      </c>
      <c r="N69">
        <f>COUNTIF(N10:N68, "X")</f>
        <v>0</v>
      </c>
      <c r="O69">
        <f>COUNTIF(O10:O68, "X")</f>
        <v>0</v>
      </c>
      <c r="P69">
        <f>COUNTIF(P10:P68, "X")</f>
        <v>0</v>
      </c>
      <c r="Q69">
        <f>COUNTIF(Q10:Q68, "X")</f>
        <v>0</v>
      </c>
      <c r="R69">
        <f>COUNTIF(R10:R68, "X")</f>
        <v>0</v>
      </c>
      <c r="S69">
        <f>COUNTIF(S10:S68, "X")</f>
        <v>0</v>
      </c>
      <c r="T69">
        <f>COUNTIF(T10:T68, "X")</f>
        <v>0</v>
      </c>
      <c r="U69">
        <f>COUNTIF(U10:U68, "X")</f>
        <v>0</v>
      </c>
      <c r="V69">
        <f>COUNTIF(V10:V68, "X")</f>
        <v>0</v>
      </c>
      <c r="W69">
        <f>COUNTIF(W10:W68, "X")</f>
        <v>0</v>
      </c>
      <c r="X69">
        <f>COUNTIF(X10:X68, "X")</f>
        <v>0</v>
      </c>
      <c r="Y69">
        <f>COUNTIF(Y10:Y68, "X")</f>
        <v>0</v>
      </c>
      <c r="Z69">
        <f>COUNTIF(Z10:Z68, "X")</f>
        <v>0</v>
      </c>
      <c r="AA69">
        <f>COUNTIF(AA10:AA68, "X")</f>
        <v>0</v>
      </c>
      <c r="AB69">
        <f>COUNTIF(AB10:AB68, "X")</f>
        <v>0</v>
      </c>
      <c r="AC69">
        <f>COUNTIF(AC10:AC68, "X")</f>
        <v>0</v>
      </c>
      <c r="AD69">
        <f>COUNTIF(AD10:AD68, "X")</f>
        <v>0</v>
      </c>
      <c r="AE69">
        <f>COUNTIF(AE10:AE68, "X")</f>
        <v>0</v>
      </c>
      <c r="AF69">
        <f>COUNTIF(AF10:AF68, "X")</f>
        <v>0</v>
      </c>
      <c r="AG69">
        <f>COUNTIF(AG10:AG68, "X")</f>
        <v>0</v>
      </c>
      <c r="AH69">
        <f>COUNTIF(AH10:AH68, "X")</f>
        <v>0</v>
      </c>
      <c r="AI69">
        <f>COUNTIF(AI10:AI68, "X")</f>
        <v>0</v>
      </c>
      <c r="AJ69">
        <f>COUNTIF(AJ10:AJ68, "X")</f>
        <v>0</v>
      </c>
      <c r="AK69">
        <f>COUNTIF(AK10:AK68, "X")</f>
        <v>0</v>
      </c>
      <c r="AL69">
        <f>COUNTIF(AL10:AL68, "X")</f>
        <v>0</v>
      </c>
      <c r="AM69">
        <f>COUNTIF(AM10:AM68, "X")</f>
        <v>0</v>
      </c>
      <c r="AN69">
        <f>COUNTIF(AN10:AN68, "X")</f>
        <v>0</v>
      </c>
      <c r="AO69">
        <f>COUNTIF(AO10:AO68, "X")</f>
        <v>0</v>
      </c>
      <c r="AP69">
        <f>COUNTIF(AP10:AP68, "X")</f>
        <v>0</v>
      </c>
      <c r="AQ69">
        <f>COUNTIF(AQ10:AQ68, "X")</f>
        <v>0</v>
      </c>
      <c r="AR69">
        <f>COUNTIF(AR10:AR68, "X")</f>
        <v>0</v>
      </c>
      <c r="AS69">
        <f>COUNTIF(AS10:AS68, "X")</f>
        <v>0</v>
      </c>
      <c r="AT69">
        <f>COUNTIF(AT10:AT68, "X")</f>
        <v>0</v>
      </c>
      <c r="AU69">
        <f>COUNTIF(AU10:AU68, "X")</f>
        <v>0</v>
      </c>
      <c r="AV69">
        <f>COUNTIF(AV10:AV68, "X")</f>
        <v>0</v>
      </c>
      <c r="AW69">
        <f>COUNTIF(AW10:AW68, "X")</f>
        <v>0</v>
      </c>
      <c r="AX69">
        <f>COUNTIF(AX10:AX68, "X")</f>
        <v>0</v>
      </c>
      <c r="AY69">
        <f>COUNTIF(AY10:AY68, "X")</f>
        <v>0</v>
      </c>
      <c r="AZ69">
        <f>COUNTIF(AZ10:AZ68, "X")</f>
        <v>0</v>
      </c>
      <c r="BA69">
        <f>COUNTIF(BA10:BA68, "X")</f>
        <v>0</v>
      </c>
      <c r="BB69">
        <f>COUNTIF(BB10:BB68, "X")</f>
        <v>0</v>
      </c>
      <c r="BC69">
        <f>COUNTIF(BC10:BC68, "X")</f>
        <v>0</v>
      </c>
      <c r="BD69">
        <f>COUNTIF(BD10:BD68, "X")</f>
        <v>0</v>
      </c>
      <c r="BE69">
        <f>COUNTIF(BE10:BE68, "X")</f>
        <v>0</v>
      </c>
      <c r="BF69">
        <f>COUNTIF(BF10:BF68, "X")</f>
        <v>0</v>
      </c>
      <c r="BG69">
        <f>COUNTIF(BG10:BG68, "X")</f>
        <v>0</v>
      </c>
      <c r="BH69">
        <f>COUNTIF(BH10:BH68, "X")</f>
        <v>0</v>
      </c>
      <c r="BI69">
        <f>COUNTIF(BI10:BI68, "X")</f>
        <v>0</v>
      </c>
      <c r="BJ69">
        <f>COUNTIF(BJ10:BJ68, "X")</f>
        <v>0</v>
      </c>
      <c r="BK69">
        <f>COUNTIF(BK10:BK68, "X")</f>
        <v>0</v>
      </c>
      <c r="BL69">
        <f>COUNTIF(BL10:BL68, "X")</f>
        <v>0</v>
      </c>
      <c r="BM69">
        <f>COUNTIF(BM10:BM68, "X")</f>
        <v>0</v>
      </c>
      <c r="BN69">
        <f>COUNTIF(BN10:BN68, "X")</f>
        <v>0</v>
      </c>
      <c r="BO69">
        <f>COUNTIF(BO10:BO68, "X")</f>
        <v>0</v>
      </c>
      <c r="BP69">
        <f>COUNTIF(BP10:BP68, "X")</f>
        <v>0</v>
      </c>
      <c r="BQ69">
        <f>COUNTIF(BQ10:BQ68, "X")</f>
        <v>0</v>
      </c>
      <c r="BR69">
        <f>COUNTIF(BR10:BR68, "X")</f>
        <v>0</v>
      </c>
      <c r="BS69">
        <f>COUNTIF(BS10:BS68, "X")</f>
        <v>0</v>
      </c>
      <c r="BT69">
        <f>COUNTIF(BT10:BT68, "X")</f>
        <v>0</v>
      </c>
      <c r="BU69">
        <f>COUNTIF(BU10:BU68, "X")</f>
        <v>0</v>
      </c>
      <c r="BV69">
        <f>COUNTIF(BV10:BV68, "X")</f>
        <v>0</v>
      </c>
      <c r="BW69">
        <f>COUNTIF(BW10:BW68, "X")</f>
        <v>0</v>
      </c>
      <c r="BX69">
        <f>COUNTIF(BX10:BX68, "X")</f>
        <v>0</v>
      </c>
      <c r="BY69">
        <f>COUNTIF(BY10:BY68, "X")</f>
        <v>0</v>
      </c>
      <c r="BZ69">
        <f>COUNTIF(BZ10:BZ68, "X")</f>
        <v>0</v>
      </c>
      <c r="CA69">
        <f>COUNTIF(CA10:CA68, "X")</f>
        <v>0</v>
      </c>
      <c r="CB69">
        <f>COUNTIF(CB10:CB68, "X")</f>
        <v>0</v>
      </c>
      <c r="CC69">
        <f>COUNTIF(CC10:CC68, "X")</f>
        <v>0</v>
      </c>
      <c r="CD69">
        <f>COUNTIF(CD10:CD68, "X")</f>
        <v>0</v>
      </c>
      <c r="CE69">
        <f>COUNTIF(CE10:CE68, "X")</f>
        <v>0</v>
      </c>
      <c r="CF69">
        <f>COUNTIF(CF10:CF68, "X")</f>
        <v>0</v>
      </c>
      <c r="CG69">
        <f>COUNTIF(CG10:CG68, "X")</f>
        <v>0</v>
      </c>
      <c r="CH69">
        <f>COUNTIF(CH10:CH68, "X")</f>
        <v>0</v>
      </c>
      <c r="CI69">
        <f>COUNTIF(CI10:CI68, "X")</f>
        <v>0</v>
      </c>
      <c r="CJ69">
        <f>COUNTIF(CJ10:CJ68, "X")</f>
        <v>0</v>
      </c>
      <c r="CK69">
        <f>COUNTIF(CK10:CK68, "X")</f>
        <v>0</v>
      </c>
      <c r="CL69">
        <f>COUNTIF(CL10:CL68, "X")</f>
        <v>0</v>
      </c>
      <c r="CM69">
        <f>COUNTIF(CM10:CM68, "X")</f>
        <v>0</v>
      </c>
      <c r="CN69">
        <f>COUNTIF(CN10:CN68, "X")</f>
        <v>0</v>
      </c>
      <c r="CO69">
        <f>COUNTIF(CO10:CO68, "X")</f>
        <v>0</v>
      </c>
      <c r="CP69">
        <f>COUNTIF(CP10:CP68, "X")</f>
        <v>0</v>
      </c>
      <c r="CQ69">
        <f>COUNTIF(CQ10:CQ68, "X")</f>
        <v>0</v>
      </c>
      <c r="CR69">
        <f>COUNTIF(CR10:CR68, "X")</f>
        <v>0</v>
      </c>
      <c r="CS69">
        <f>COUNTIF(CS10:CS68, "X")</f>
        <v>0</v>
      </c>
      <c r="CT69">
        <f>COUNTIF(CT10:CT68, "X")</f>
        <v>0</v>
      </c>
      <c r="CU69">
        <f>COUNTIF(CU10:CU68, "X")</f>
        <v>0</v>
      </c>
      <c r="CV69">
        <f>COUNTIF(CV10:CV68, "X")</f>
        <v>0</v>
      </c>
      <c r="CW69">
        <f>COUNTIF(CW10:CW68, "X")</f>
        <v>0</v>
      </c>
      <c r="CX69">
        <f>COUNTIF(CX10:CX68, "X")</f>
        <v>0</v>
      </c>
      <c r="CY69">
        <f>COUNTIF(CY10:CY68, "X")</f>
        <v>0</v>
      </c>
      <c r="CZ69">
        <f>COUNTIF(CZ10:CZ68, "X")</f>
        <v>0</v>
      </c>
      <c r="DA69">
        <f>COUNTIF(DA10:DA68, "X")</f>
        <v>0</v>
      </c>
      <c r="DB69">
        <f>COUNTIF(DB10:DB68, "X")</f>
        <v>0</v>
      </c>
      <c r="DC69">
        <f>COUNTIF(DC10:DC68, "X")</f>
        <v>0</v>
      </c>
      <c r="DD69">
        <f>COUNTIF(DD10:DD68, "X")</f>
        <v>0</v>
      </c>
      <c r="DE69">
        <f>COUNTIF(DE10:DE68, "X")</f>
        <v>0</v>
      </c>
      <c r="DF69">
        <f>COUNTIF(DF10:DF68, "X")</f>
        <v>0</v>
      </c>
      <c r="DG69">
        <f>COUNTIF(DG10:DG68, "X")</f>
        <v>0</v>
      </c>
      <c r="DH69">
        <f>COUNTIF(DH10:DH68, "X")</f>
        <v>0</v>
      </c>
      <c r="DI69">
        <f>COUNTIF(E69:DH69,"X")</f>
        <v>0</v>
      </c>
    </row>
    <row r="70">
      <c r="B70" t="str">
        <v>INT</v>
      </c>
      <c r="C70" s="19" t="str">
        <v># of Trades</v>
      </c>
      <c r="D70" t="str">
        <v>Estimator</v>
      </c>
    </row>
    <row r="71">
      <c r="B71" t="str">
        <v>KP</v>
      </c>
      <c r="C71" s="19">
        <f>COUNTIF($A$10:$A$69,B71)</f>
        <v>0</v>
      </c>
      <c r="D71" t="str">
        <v>Korey Price (Lead)</v>
      </c>
    </row>
    <row r="72">
      <c r="B72" t="str">
        <v>MM</v>
      </c>
      <c r="C72" s="19">
        <f>COUNTIF($A$10:$A$69,B72)</f>
        <v>0</v>
      </c>
      <c r="D72" t="str">
        <v>Mada Makke</v>
      </c>
    </row>
    <row r="73">
      <c r="B73" t="str">
        <v>GL</v>
      </c>
      <c r="C73" s="19">
        <f>COUNTIF($A$10:$A$69,B73)</f>
        <v>0</v>
      </c>
      <c r="D73" t="str">
        <v>Geordie Liard</v>
      </c>
    </row>
    <row r="74">
      <c r="B74" t="str">
        <v>MK</v>
      </c>
      <c r="C74" s="19">
        <f>COUNTIF($A$10:$A$69,B74)</f>
        <v>0</v>
      </c>
      <c r="D74" t="str">
        <v>Scott Holsclaw</v>
      </c>
    </row>
    <row r="75">
      <c r="B75" t="str">
        <v>SK</v>
      </c>
      <c r="C75" s="19">
        <f>COUNTIF($A$10:$A$69,B75)</f>
        <v>0</v>
      </c>
      <c r="D75" t="str">
        <v>Safi Khan</v>
      </c>
    </row>
    <row r="76">
      <c r="B76" t="str">
        <v>na</v>
      </c>
      <c r="C76" s="19">
        <f>COUNTIF($A$10:$A$69,B76)</f>
        <v>0</v>
      </c>
      <c r="D76" t="str">
        <v>tbd</v>
      </c>
    </row>
    <row r="77">
      <c r="B77" t="str">
        <v>na</v>
      </c>
      <c r="C77" s="19">
        <f>COUNTIF($A$10:$A$69,B77)</f>
        <v>0</v>
      </c>
      <c r="D77" t="str">
        <v>tbd</v>
      </c>
    </row>
    <row r="78">
      <c r="B78" t="str">
        <v>na</v>
      </c>
      <c r="C78" s="19">
        <f>COUNTIF($A$10:$A$69,B78)</f>
        <v>0</v>
      </c>
      <c r="D78" t="str">
        <v>tbd</v>
      </c>
    </row>
    <row r="79">
      <c r="B79" t="str">
        <v>NT</v>
      </c>
      <c r="C79" s="19">
        <f>COUNTIF($A$10:$A$69,B79)</f>
        <v>0</v>
      </c>
      <c r="D79" t="str">
        <v>Nija Thomas</v>
      </c>
    </row>
    <row r="80">
      <c r="B80" t="str">
        <v>JC</v>
      </c>
      <c r="C80" s="19">
        <f>COUNTIF($A$10:$A$69,B80)</f>
        <v>0</v>
      </c>
      <c r="D80" t="str">
        <v>James Crowle</v>
      </c>
    </row>
    <row r="81">
      <c r="B81" t="str">
        <v>OPS</v>
      </c>
      <c r="C81" s="19">
        <f>COUNTIF($A$10:$A$69,B81)</f>
        <v>0</v>
      </c>
      <c r="D81" t="str">
        <v>Operations</v>
      </c>
    </row>
    <row r="82"/>
    <row r="83">
      <c r="B83" t="str">
        <v>Drawing Flip</v>
      </c>
    </row>
    <row r="84">
      <c r="B84" t="str">
        <v>0900-1000</v>
      </c>
      <c r="C84" s="19" t="str">
        <v>JC</v>
      </c>
      <c r="D84" t="str">
        <v>Div 07, 08</v>
      </c>
    </row>
    <row r="85">
      <c r="B85" t="str">
        <v>1000-1100</v>
      </c>
      <c r="C85" s="19" t="str">
        <v>SH</v>
      </c>
      <c r="D85" t="str">
        <v>Div 21, 22, 23, 26, 27, 28, 33: Dry Utility</v>
      </c>
    </row>
    <row r="86">
      <c r="B86" t="str">
        <v>1100-1200</v>
      </c>
      <c r="C86" s="19" t="str">
        <v>GL</v>
      </c>
      <c r="D86" t="str">
        <v>Div 05, 10, 11, 12, 14</v>
      </c>
    </row>
    <row r="87">
      <c r="B87" t="str">
        <v>1300-1330</v>
      </c>
      <c r="C87" s="19" t="str">
        <v>SK</v>
      </c>
      <c r="D87" t="str">
        <v>Div 09</v>
      </c>
    </row>
    <row r="88">
      <c r="B88" t="str">
        <v>1330-1500</v>
      </c>
      <c r="C88" s="19" t="str">
        <v>MM</v>
      </c>
      <c r="D88" t="str">
        <v>Div 03, 31, 32, 33</v>
      </c>
    </row>
    <row r="89">
      <c r="B89" t="str">
        <v>1500-1600</v>
      </c>
      <c r="C89" s="19" t="str">
        <v>NT</v>
      </c>
      <c r="D89" t="str">
        <v xml:space="preserve"> Div 04, 06, DFHW</v>
      </c>
    </row>
    <row r="90">
      <c r="B90" t="str">
        <v>1600-1700</v>
      </c>
      <c r="C90" s="19" t="str">
        <v>OPS</v>
      </c>
      <c r="D90" t="str">
        <v>GCs &amp; GRs, Schedule</v>
      </c>
    </row>
    <row r="91"/>
    <row r="92"/>
    <row r="93"/>
    <row r="94"/>
    <row r="95"/>
    <row r="96"/>
    <row r="97">
      <c r="D97" t="str">
        <v xml:space="preserve">Surveying </v>
      </c>
    </row>
    <row r="98">
      <c r="D98" t="str">
        <v xml:space="preserve">Final Cleaning </v>
      </c>
    </row>
    <row r="99">
      <c r="D99" t="str">
        <v>Mock-Ups</v>
      </c>
    </row>
    <row r="100">
      <c r="D100" t="str">
        <v>Cast-in-Place Concrete</v>
      </c>
    </row>
    <row r="101">
      <c r="D101" t="str">
        <v>Polished Concrete</v>
      </c>
    </row>
    <row r="102">
      <c r="D102" t="str">
        <v>Cast Underlayment</v>
      </c>
    </row>
    <row r="103">
      <c r="D103" t="str">
        <v xml:space="preserve">Masonry and Cast Stone </v>
      </c>
    </row>
    <row r="104">
      <c r="D104" t="str">
        <v xml:space="preserve">Structural Steel </v>
      </c>
    </row>
    <row r="105">
      <c r="D105" t="str">
        <v>Misc Metals</v>
      </c>
    </row>
    <row r="106">
      <c r="D106" t="str">
        <v xml:space="preserve">Exterior Railings </v>
      </c>
    </row>
    <row r="107">
      <c r="D107" t="str">
        <v>Millwork &amp; Finish Carpentry, incl running trim</v>
      </c>
    </row>
    <row r="108">
      <c r="D108" t="str">
        <v>Waterproofing</v>
      </c>
    </row>
    <row r="109">
      <c r="D109" t="str">
        <v>Roofing</v>
      </c>
    </row>
    <row r="110">
      <c r="D110" t="str">
        <v xml:space="preserve">Caulking </v>
      </c>
    </row>
    <row r="111">
      <c r="D111" t="str">
        <v>Air Barriers</v>
      </c>
    </row>
    <row r="112">
      <c r="D112" t="str">
        <v>Fireproofing</v>
      </c>
    </row>
    <row r="113">
      <c r="D113" t="str">
        <v xml:space="preserve">Doors, Frames &amp; Hardware </v>
      </c>
    </row>
    <row r="114">
      <c r="D114" t="str">
        <v>Special Doors</v>
      </c>
    </row>
    <row r="115">
      <c r="D115" t="str">
        <v>Glass &amp; Glazing</v>
      </c>
    </row>
    <row r="116">
      <c r="D116" t="str">
        <v>Fixed Aluminum Louvers</v>
      </c>
    </row>
    <row r="117">
      <c r="D117" t="str">
        <v>Drywall and Ceilings</v>
      </c>
    </row>
    <row r="118">
      <c r="D118" t="str">
        <v>Carpet / Resilient / LVT Flooring</v>
      </c>
    </row>
    <row r="119">
      <c r="D119" t="str">
        <v>Tile</v>
      </c>
    </row>
    <row r="120">
      <c r="D120" t="str">
        <v xml:space="preserve">Paint &amp; Wall Covering </v>
      </c>
    </row>
    <row r="121">
      <c r="D121" t="str">
        <v>Wood Gymnasium Flooring</v>
      </c>
    </row>
    <row r="122">
      <c r="D122" t="str">
        <v>Terrazzo</v>
      </c>
    </row>
    <row r="123">
      <c r="D123" t="str">
        <v>Toilet Accessories &amp; Compartments</v>
      </c>
    </row>
    <row r="124">
      <c r="D124" t="str">
        <v>Fire Extinguishers &amp; Cabinets</v>
      </c>
    </row>
    <row r="125">
      <c r="D125" t="str">
        <v>Visual Display Surfaces</v>
      </c>
    </row>
    <row r="126">
      <c r="D126" t="str">
        <v>Cubicle Curtains</v>
      </c>
    </row>
    <row r="127">
      <c r="D127" t="str">
        <v>Operable Partitions</v>
      </c>
    </row>
    <row r="128">
      <c r="D128" t="str">
        <v>Signage</v>
      </c>
    </row>
    <row r="129">
      <c r="D129" t="str">
        <v>Wall and Door Protection</v>
      </c>
    </row>
    <row r="130">
      <c r="D130" t="str">
        <v>Lockers</v>
      </c>
    </row>
    <row r="131">
      <c r="D131" t="str">
        <v>Canopies</v>
      </c>
    </row>
    <row r="132">
      <c r="D132" t="str">
        <v>Equipment - Residential Appliances</v>
      </c>
    </row>
    <row r="133">
      <c r="D133" t="str">
        <v>Equipment - Window Washing</v>
      </c>
    </row>
    <row r="134">
      <c r="D134" t="str">
        <v>Equipment - Foodservice</v>
      </c>
    </row>
    <row r="135">
      <c r="D135" t="str">
        <v>Equipment - Lab (Kilns)</v>
      </c>
    </row>
    <row r="136">
      <c r="D136" t="str">
        <v>Equipment - Lighting &amp; Stage</v>
      </c>
    </row>
    <row r="137">
      <c r="D137" t="str">
        <v>Equipment - Athletic</v>
      </c>
    </row>
    <row r="138">
      <c r="D138" t="str">
        <v>Equipment - Trash Compactor</v>
      </c>
    </row>
    <row r="139">
      <c r="D139" t="str">
        <v>Furnishings - Manufactured Casework</v>
      </c>
    </row>
    <row r="140">
      <c r="D140" t="str">
        <v>Furnishings - Window Treatment</v>
      </c>
    </row>
    <row r="141">
      <c r="D141" t="str">
        <v>Furnishings - Entrance Mats</v>
      </c>
    </row>
    <row r="142">
      <c r="D142" t="str">
        <v>Furnishings - FF&amp;E</v>
      </c>
    </row>
    <row r="143">
      <c r="D143" t="str">
        <v>Conveying Equipment</v>
      </c>
    </row>
    <row r="144">
      <c r="D144" t="str">
        <v>Fire Protection</v>
      </c>
    </row>
    <row r="145">
      <c r="D145" t="str">
        <v>Plumbing</v>
      </c>
    </row>
    <row r="146">
      <c r="D146" t="str">
        <v xml:space="preserve">HVAC </v>
      </c>
    </row>
    <row r="147">
      <c r="D147" t="str">
        <v>Electrical and Fire Alarm</v>
      </c>
    </row>
    <row r="148">
      <c r="D148" t="str">
        <v xml:space="preserve">Low Voltage </v>
      </c>
    </row>
    <row r="149">
      <c r="D149" t="str">
        <v>Earthwork &amp; Site Prep</v>
      </c>
    </row>
    <row r="150">
      <c r="D150" t="str">
        <v>Geopiers</v>
      </c>
    </row>
    <row r="151">
      <c r="D151" t="str">
        <v xml:space="preserve">Asphalt &amp; Pavement Markings </v>
      </c>
    </row>
    <row r="152">
      <c r="D152" t="str">
        <v>Concrete Sitework &amp; Unit Pavers</v>
      </c>
    </row>
    <row r="153">
      <c r="D153" t="str">
        <v>Landscaping &amp; Site Furnishings</v>
      </c>
    </row>
    <row r="154">
      <c r="D154" t="str">
        <v>Utilities - Wet</v>
      </c>
    </row>
    <row r="155">
      <c r="D155" t="str">
        <v>Utilities - Dry</v>
      </c>
    </row>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C8:D8"/>
    <mergeCell ref="C9:D9"/>
  </mergeCells>
  <pageMargins left="0.7" right="0.7" top="0.75" bottom="0.75" header="0" footer="0"/>
  <ignoredErrors>
    <ignoredError numberStoredAsText="1" sqref="A1:DI1000"/>
  </ignoredErrors>
</worksheet>
</file>

<file path=xl/worksheets/sheet49.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8.71"/>
    <col min="2" max="2" customWidth="1" width="35"/>
    <col min="3" max="3" customWidth="1" width="10"/>
    <col min="4" max="4" customWidth="1" width="17.14"/>
    <col min="5" max="5" customWidth="1" width="17.14"/>
    <col min="6" max="6" customWidth="1" width="17.14"/>
    <col min="7" max="7" customWidth="1" width="17.14"/>
    <col min="8" max="8" customWidth="1" width="17.14"/>
    <col min="9" max="9" customWidth="1" width="17.14"/>
    <col min="10" max="10" customWidth="1" width="17.14"/>
    <col min="11" max="11" customWidth="1" width="17.14"/>
    <col min="12" max="12" customWidth="1" width="17.14"/>
    <col min="13" max="13" customWidth="1" width="17.14"/>
    <col min="14" max="14" customWidth="1" width="17.14"/>
    <col min="15" max="15" customWidth="1" width="17.14"/>
    <col min="16" max="16" customWidth="1" width="17.14"/>
    <col min="17" max="17" customWidth="1" width="17.14"/>
    <col min="18" max="18" customWidth="1" width="17.14"/>
    <col min="19" max="19" customWidth="1" width="17.14"/>
    <col min="20" max="20" customWidth="1" width="17.14"/>
    <col min="21" max="21" customWidth="1" width="17.14"/>
    <col min="22" max="22" customWidth="1" width="17.14"/>
    <col min="23" max="23" customWidth="1" width="17.14"/>
    <col min="24" max="24" customWidth="1" width="8.71"/>
    <col min="25" max="25" customWidth="1" width="8.71"/>
    <col min="26" max="26" customWidth="1" width="8.71"/>
  </cols>
  <sheetData>
    <row r="1" ht="14.25" customHeight="1">
      <c r="A1" t="str">
        <v>Client</v>
      </c>
      <c r="B1" t="str">
        <f>'Bid Sheet'!C1</f>
        <v>DPR &amp; DGS</v>
      </c>
      <c r="D1" t="str">
        <v>Total GSF:</v>
      </c>
      <c r="E1" s="1">
        <f>'Bid Sheet'!I1</f>
        <v>20000</v>
      </c>
      <c r="G1" t="str">
        <v>Bid Date:</v>
      </c>
      <c r="H1" s="6">
        <v>45658</v>
      </c>
    </row>
    <row r="2" ht="14.25" customHeight="1">
      <c r="A2" t="str">
        <v>Project</v>
      </c>
      <c r="B2" t="str">
        <f>'Bid Sheet'!C2</f>
        <v>Jelleff Recreation Center</v>
      </c>
    </row>
    <row r="3" ht="14.25" customHeight="1">
      <c r="A3" t="str">
        <v>Location</v>
      </c>
      <c r="B3" t="str">
        <f>'Bid Sheet'!C3</f>
        <v>3265 S St NW, Washington, DC 20007</v>
      </c>
      <c r="G3" t="str">
        <v>Revision:</v>
      </c>
      <c r="H3" t="str">
        <v>V0</v>
      </c>
    </row>
    <row r="4" ht="14.25" customHeight="1">
      <c r="A4" t="str">
        <v>Architect</v>
      </c>
      <c r="B4" t="str">
        <f>'Bid Sheet'!C4</f>
        <v>DLR Group</v>
      </c>
      <c r="D4" t="str">
        <v>Weeks:</v>
      </c>
      <c r="E4" s="1">
        <f>'Bid Sheet'!I4</f>
        <v>78</v>
      </c>
    </row>
    <row r="5" ht="14.25" customHeight="1">
      <c r="A5" t="str">
        <v>Engineer</v>
      </c>
      <c r="B5" t="str">
        <f>'Bid Sheet'!C5</f>
        <v>Various</v>
      </c>
      <c r="D5" t="str">
        <v>Months:</v>
      </c>
      <c r="E5" s="1">
        <f>'Bid Sheet'!I5</f>
        <v>18</v>
      </c>
    </row>
    <row r="6" ht="14.25" customHeight="1">
      <c r="B6" t="str">
        <v>Back to Bid Sheet</v>
      </c>
    </row>
    <row r="7" ht="14.25" customHeight="1">
      <c r="D7" t="str">
        <v>ALT 1:</v>
      </c>
      <c r="E7" t="str">
        <v>ALT 2:</v>
      </c>
      <c r="F7" t="str">
        <v>ALT 3:</v>
      </c>
      <c r="G7" t="str">
        <v>ALT 4:</v>
      </c>
      <c r="H7" t="str">
        <v>ALT 5:</v>
      </c>
      <c r="I7" t="str">
        <v>ALT 6:</v>
      </c>
      <c r="J7" t="str">
        <v>ALT 7:</v>
      </c>
      <c r="K7" t="str">
        <v>ALT 8:</v>
      </c>
      <c r="L7" t="str">
        <v>ALT 9:</v>
      </c>
      <c r="M7" t="str">
        <v>ALT 10:</v>
      </c>
      <c r="N7" t="str">
        <v>ALT 11:</v>
      </c>
      <c r="O7" t="str">
        <v>ALT 12:</v>
      </c>
      <c r="P7" t="str">
        <v>ALT 13:</v>
      </c>
      <c r="Q7" t="str">
        <v>ALT 14:</v>
      </c>
      <c r="R7" t="str">
        <v>ALT 15:</v>
      </c>
      <c r="S7" t="str">
        <v>ALT 16:</v>
      </c>
      <c r="T7" t="str">
        <v>ALT 17:</v>
      </c>
      <c r="U7" t="str">
        <v>ALT 18:</v>
      </c>
      <c r="V7" t="str">
        <v>ALT 19:</v>
      </c>
      <c r="W7" t="str">
        <v>ALT 20:</v>
      </c>
    </row>
    <row r="8" ht="39.75" customHeight="1">
      <c r="B8" t="str">
        <v>Trade</v>
      </c>
      <c r="D8" t="str">
        <v>Descript</v>
      </c>
      <c r="E8" t="str">
        <v>Descript</v>
      </c>
      <c r="F8" t="str">
        <v>Descript</v>
      </c>
      <c r="G8" t="str">
        <v>Descript</v>
      </c>
      <c r="H8" t="str">
        <v>Descript</v>
      </c>
      <c r="I8" t="str">
        <v>Descript</v>
      </c>
      <c r="J8" t="str">
        <v>Descript</v>
      </c>
      <c r="K8" t="str">
        <v>Descript</v>
      </c>
      <c r="L8" t="str">
        <v>Descript</v>
      </c>
      <c r="M8" t="str">
        <v>Descript</v>
      </c>
      <c r="N8" t="str">
        <v>Descript</v>
      </c>
      <c r="O8" t="str">
        <v>Descript</v>
      </c>
      <c r="P8" t="str">
        <v>Descript</v>
      </c>
      <c r="Q8" t="str">
        <v>Descript</v>
      </c>
      <c r="R8" t="str">
        <v>Descript</v>
      </c>
      <c r="S8" t="str">
        <v>Descript</v>
      </c>
      <c r="T8" t="str">
        <v>Descript</v>
      </c>
      <c r="U8" t="str">
        <v>Descript</v>
      </c>
      <c r="V8" t="str">
        <v>Descript</v>
      </c>
      <c r="W8" t="str">
        <v>Descript</v>
      </c>
    </row>
    <row r="9" ht="14.25" customHeight="1"/>
    <row r="10" ht="14.25" customHeight="1">
      <c r="B10" t="str">
        <v>GENERAL REQUIREMENTS</v>
      </c>
    </row>
    <row r="11" ht="14.25" customHeight="1"/>
    <row r="12" ht="14.25" customHeight="1">
      <c r="B12" t="str">
        <v>01 - FINAL CLEANING</v>
      </c>
    </row>
    <row r="13" ht="14.25" customHeight="1"/>
    <row r="14" ht="14.25" customHeight="1">
      <c r="B14" t="str">
        <v>01 - SURVEY</v>
      </c>
    </row>
    <row r="15" ht="14.25" customHeight="1"/>
    <row r="16" ht="14.25" customHeight="1">
      <c r="B16" t="str">
        <v>02 - DEMOLITION</v>
      </c>
    </row>
    <row r="17" ht="14.25" customHeight="1"/>
    <row r="18" ht="14.25" customHeight="1">
      <c r="B18" t="str">
        <v>02 - ABATEMENT</v>
      </c>
    </row>
    <row r="19" ht="14.25" customHeight="1"/>
    <row r="20" ht="14.25" customHeight="1">
      <c r="B20" t="str">
        <v>03 - CONCRETE</v>
      </c>
    </row>
    <row r="21" ht="14.25" customHeight="1"/>
    <row r="22" ht="14.25" customHeight="1">
      <c r="B22" t="str">
        <v>03 - GYP UNDERLAYMENT</v>
      </c>
    </row>
    <row r="23" ht="14.25" customHeight="1"/>
    <row r="24" ht="14.25" customHeight="1">
      <c r="B24" t="str">
        <v>03 - PRECAST</v>
      </c>
    </row>
    <row r="25" ht="14.25" customHeight="1"/>
    <row r="26" ht="14.25" customHeight="1">
      <c r="B26" t="str">
        <v>04 - MASONRY</v>
      </c>
    </row>
    <row r="27" ht="14.25" customHeight="1"/>
    <row r="28" ht="14.25" customHeight="1">
      <c r="B28" t="str">
        <v>04 - STONE</v>
      </c>
    </row>
    <row r="29" ht="14.25" customHeight="1"/>
    <row r="30" ht="14.25" customHeight="1">
      <c r="B30" t="str">
        <v>05 - SS &amp; MM</v>
      </c>
    </row>
    <row r="31" ht="14.25" customHeight="1"/>
    <row r="32" ht="14.25" customHeight="1">
      <c r="B32" t="str">
        <v>05 - MISC METALS</v>
      </c>
    </row>
    <row r="33" ht="14.25" customHeight="1"/>
    <row r="34" ht="14.25" customHeight="1">
      <c r="B34" t="str">
        <v>05 - EXTERIOR RAILINGS</v>
      </c>
    </row>
    <row r="35" ht="14.25" customHeight="1"/>
    <row r="36" ht="14.25" customHeight="1">
      <c r="B36" t="str">
        <v>06 - WOOD FRAMING</v>
      </c>
    </row>
    <row r="37" ht="14.25" customHeight="1"/>
    <row r="38" ht="14.25" customHeight="1">
      <c r="B38" t="str">
        <v>06 - FINISH CARPENTRY</v>
      </c>
    </row>
    <row r="39" ht="14.25" customHeight="1"/>
    <row r="40" ht="14.25" customHeight="1">
      <c r="B40" t="str">
        <v>06 - MILLWORK</v>
      </c>
    </row>
    <row r="41" ht="14.25" customHeight="1"/>
    <row r="42" ht="14.25" customHeight="1">
      <c r="B42" t="str">
        <v>07 - WP &amp; AB</v>
      </c>
    </row>
    <row r="43" ht="14.25" customHeight="1"/>
    <row r="44" ht="14.25" customHeight="1">
      <c r="B44" t="str">
        <v>07 - EIFS/STUCCO</v>
      </c>
    </row>
    <row r="45" ht="14.25" customHeight="1"/>
    <row r="46" ht="14.25" customHeight="1">
      <c r="B46" t="str">
        <v>07 - AIR BARRIER</v>
      </c>
    </row>
    <row r="47" ht="14.25" customHeight="1"/>
    <row r="48" ht="14.25" customHeight="1">
      <c r="B48" t="str">
        <v>07 - FIREPROOFING</v>
      </c>
    </row>
    <row r="49" ht="14.25" customHeight="1"/>
    <row r="50" ht="14.25" customHeight="1">
      <c r="B50" t="str">
        <v>07 - EXTERIOR PANELS</v>
      </c>
    </row>
    <row r="51" ht="14.25" customHeight="1"/>
    <row r="52" ht="14.25" customHeight="1">
      <c r="B52" t="str">
        <v>07 - METAL PANELS</v>
      </c>
    </row>
    <row r="53" ht="14.25" customHeight="1"/>
    <row r="54" ht="14.25" customHeight="1">
      <c r="B54" t="str">
        <v>07 - ROOFING</v>
      </c>
    </row>
    <row r="55" ht="14.25" customHeight="1"/>
    <row r="56" ht="14.25" customHeight="1">
      <c r="B56" t="str">
        <v>07 - JOINT SEALANTS</v>
      </c>
    </row>
    <row r="57" ht="14.25" customHeight="1"/>
    <row r="58" ht="14.25" customHeight="1">
      <c r="B58" t="str">
        <v>08 - DOORS, FRAMES, HARDWARE</v>
      </c>
    </row>
    <row r="59" ht="14.25" customHeight="1"/>
    <row r="60" ht="14.25" customHeight="1">
      <c r="B60" t="str">
        <v>08 - SPECIAL DOORS</v>
      </c>
    </row>
    <row r="61" ht="14.25" customHeight="1"/>
    <row r="62" ht="14.25" customHeight="1">
      <c r="B62" t="str">
        <v>08 - GLASS &amp; GLAZING</v>
      </c>
    </row>
    <row r="63" ht="14.25" customHeight="1"/>
    <row r="64" ht="14.25" customHeight="1">
      <c r="B64" t="str">
        <v>08 - ALUM &amp; GLASS</v>
      </c>
    </row>
    <row r="65" ht="14.25" customHeight="1"/>
    <row r="66" ht="14.25" customHeight="1">
      <c r="B66" t="str">
        <v>08 - INT GLASS</v>
      </c>
    </row>
    <row r="67" ht="14.25" customHeight="1"/>
    <row r="68" ht="14.25" customHeight="1">
      <c r="B68" t="str">
        <v>09 - DRYWALL &amp; CEILINGS</v>
      </c>
    </row>
    <row r="69" ht="14.25" customHeight="1"/>
    <row r="70" ht="14.25" customHeight="1">
      <c r="B70" t="str">
        <v>09 - TILE</v>
      </c>
    </row>
    <row r="71" ht="14.25" customHeight="1"/>
    <row r="72" ht="14.25" customHeight="1">
      <c r="B72" t="str">
        <v>09 - TERRAZZO</v>
      </c>
    </row>
    <row r="73" ht="14.25" customHeight="1"/>
    <row r="74" ht="14.25" customHeight="1">
      <c r="B74" t="str">
        <v xml:space="preserve">09 - CARPET, RESILIENT, RUBBER FLOORING </v>
      </c>
    </row>
    <row r="75" ht="14.25" customHeight="1"/>
    <row r="76" ht="14.25" customHeight="1">
      <c r="B76" t="str">
        <v>09 - PAINT &amp; WALL COVERING</v>
      </c>
    </row>
    <row r="77" ht="14.25" customHeight="1"/>
    <row r="78" ht="14.25" customHeight="1">
      <c r="B78" t="str">
        <v>10 - TOILET ACCESSORIES</v>
      </c>
    </row>
    <row r="79" ht="14.25" customHeight="1"/>
    <row r="80" ht="14.25" customHeight="1">
      <c r="B80" t="str">
        <v>10 - TOILET PARTITIONS</v>
      </c>
    </row>
    <row r="81" ht="14.25" customHeight="1"/>
    <row r="82" ht="14.25" customHeight="1">
      <c r="B82" t="str">
        <v>10 - SIGNAGE</v>
      </c>
    </row>
    <row r="83" ht="14.25" customHeight="1"/>
    <row r="84" ht="14.25" customHeight="1">
      <c r="B84" t="str">
        <v xml:space="preserve">10 - SPECIALTIES (Visual Display Units, TA's FEC's, Lockers, op partitions,matts) </v>
      </c>
    </row>
    <row r="85" ht="14.25" customHeight="1"/>
    <row r="86" ht="14.25" customHeight="1">
      <c r="B86" t="str">
        <v>10 - LOCKERS</v>
      </c>
    </row>
    <row r="87" ht="14.25" customHeight="1"/>
    <row r="88" ht="14.25" customHeight="1">
      <c r="B88" t="str">
        <v>12 - FF&amp;E</v>
      </c>
    </row>
    <row r="89" ht="14.25" customHeight="1"/>
    <row r="90" ht="14.25" customHeight="1">
      <c r="B90" t="str">
        <v>11 - Kitchen Equipment</v>
      </c>
    </row>
    <row r="91" ht="14.25" customHeight="1"/>
    <row r="92" ht="14.25" customHeight="1">
      <c r="B92" t="str">
        <v>11 - ATHELTIC EQUIPMENT</v>
      </c>
    </row>
    <row r="93" ht="14.25" customHeight="1"/>
    <row r="94" ht="14.25" customHeight="1">
      <c r="B94" t="str">
        <v>12 - RESIDENTIAL CABINETS</v>
      </c>
    </row>
    <row r="95" ht="14.25" customHeight="1"/>
    <row r="96" ht="14.25" customHeight="1">
      <c r="B96" t="str">
        <v>12 - COUNTERTOPS</v>
      </c>
    </row>
    <row r="97" ht="14.25" customHeight="1"/>
    <row r="98" ht="14.25" customHeight="1">
      <c r="B98" t="str">
        <v>12 - WINDOW TREATMENTS</v>
      </c>
    </row>
    <row r="99" ht="14.25" customHeight="1"/>
    <row r="100" ht="14.25" customHeight="1">
      <c r="B100" t="str">
        <v>14 - ELEVATORS</v>
      </c>
    </row>
    <row r="101" ht="14.25" customHeight="1"/>
    <row r="102" ht="14.25" customHeight="1">
      <c r="B102" t="str">
        <v>21 - FIRE PROTECTION</v>
      </c>
    </row>
    <row r="103" ht="14.25" customHeight="1"/>
    <row r="104" ht="14.25" customHeight="1">
      <c r="B104" t="str">
        <v>22 - PLUMBING</v>
      </c>
    </row>
    <row r="105" ht="14.25" customHeight="1"/>
    <row r="106" ht="14.25" customHeight="1">
      <c r="B106" t="str">
        <v>23 - HVAC</v>
      </c>
    </row>
    <row r="107" ht="14.25" customHeight="1"/>
    <row r="108" ht="14.25" customHeight="1">
      <c r="B108" t="str">
        <v>26 - ELECTRICAL</v>
      </c>
    </row>
    <row r="109" ht="14.25" customHeight="1"/>
    <row r="110" ht="14.25" customHeight="1">
      <c r="B110" t="str">
        <v>27 - LOW VOLTAGE</v>
      </c>
    </row>
    <row r="111" ht="14.25" customHeight="1"/>
    <row r="112" ht="14.25" customHeight="1">
      <c r="B112" t="str">
        <v>31 - SUPPORT OF EXCAVATION</v>
      </c>
    </row>
    <row r="113" ht="14.25" customHeight="1"/>
    <row r="114" ht="14.25" customHeight="1">
      <c r="B114" t="str">
        <v>31 - EARTHWORK &amp; SITE DEMO&amp;E,S</v>
      </c>
    </row>
    <row r="115" ht="14.25" customHeight="1"/>
    <row r="116" ht="14.25" customHeight="1">
      <c r="B116" t="str">
        <v>31 - DEEP FOUNDATIONS</v>
      </c>
    </row>
    <row r="117" ht="14.25" customHeight="1"/>
    <row r="118" ht="14.25" customHeight="1">
      <c r="B118" t="str">
        <v>31 - DEWATERING</v>
      </c>
    </row>
    <row r="119" ht="14.25" customHeight="1"/>
    <row r="120" ht="14.25" customHeight="1">
      <c r="B120" t="str">
        <v>32 - ASPHALT</v>
      </c>
    </row>
    <row r="121" ht="14.25" customHeight="1"/>
    <row r="122" ht="14.25" customHeight="1">
      <c r="B122" t="str">
        <v>32 - SEGMENTAL WALLS</v>
      </c>
    </row>
    <row r="123" ht="14.25" customHeight="1"/>
    <row r="124" ht="14.25" customHeight="1">
      <c r="B124" t="str">
        <v>32 - SITE CONCRETE</v>
      </c>
    </row>
    <row r="125" ht="14.25" customHeight="1"/>
    <row r="126" ht="14.25" customHeight="1">
      <c r="B126" t="str">
        <v>32 - PAVERS</v>
      </c>
    </row>
    <row r="127" ht="14.25" customHeight="1"/>
    <row r="128" ht="14.25" customHeight="1">
      <c r="B128" t="str">
        <v>32 - SITE FENCING</v>
      </c>
    </row>
    <row r="129" ht="14.25" customHeight="1"/>
    <row r="130" ht="14.25" customHeight="1">
      <c r="B130" t="str">
        <v>32 - SITE FURNISHINGS</v>
      </c>
    </row>
    <row r="131" ht="14.25" customHeight="1"/>
    <row r="132" ht="14.25" customHeight="1">
      <c r="B132" t="str">
        <v>32 - LANDSCAPING &amp; SITE FURN</v>
      </c>
    </row>
    <row r="133" ht="14.25" customHeight="1"/>
    <row r="134" ht="14.25" customHeight="1">
      <c r="B134" t="str">
        <v>33 - WET UTILITIES</v>
      </c>
    </row>
    <row r="135" ht="14.25" customHeight="1"/>
    <row r="136" ht="14.25" customHeight="1">
      <c r="B136" t="str">
        <v>33 - DRY UTILITIES</v>
      </c>
    </row>
    <row r="137" ht="14.25" customHeight="1"/>
    <row r="138" ht="14.25" customHeight="1">
      <c r="B138" t="str">
        <v>33 - GEOTHERMAL</v>
      </c>
    </row>
    <row r="139" ht="14.25" customHeight="1"/>
    <row r="140" ht="14.25" customHeight="1">
      <c r="B140" t="str">
        <f>SOWTemplate!$B$4</f>
        <v>TEMPLATE</v>
      </c>
    </row>
    <row r="141" ht="14.25" customHeight="1"/>
    <row r="142" ht="14.25" customHeight="1"/>
    <row r="143" ht="14.25" customHeight="1">
      <c r="B143" t="str">
        <v>Subtotal</v>
      </c>
      <c r="D143" s="3">
        <f>SUM(D9:D142)</f>
        <v>0</v>
      </c>
      <c r="E143" s="3">
        <f>SUM(E9:E142)</f>
        <v>0</v>
      </c>
      <c r="F143" s="3">
        <f>SUM(F9:F142)</f>
        <v>0</v>
      </c>
      <c r="G143" s="3">
        <f>SUM(G9:G142)</f>
        <v>0</v>
      </c>
      <c r="H143" s="3">
        <f>SUM(H9:H142)</f>
        <v>0</v>
      </c>
      <c r="I143" s="3">
        <f>SUM(I9:I142)</f>
        <v>0</v>
      </c>
      <c r="J143" s="3">
        <f>SUM(J9:J142)</f>
        <v>0</v>
      </c>
      <c r="K143" s="3">
        <f>SUM(K9:K142)</f>
        <v>0</v>
      </c>
      <c r="L143" s="3">
        <f>SUM(L9:L142)</f>
        <v>0</v>
      </c>
      <c r="M143" s="3">
        <f>SUM(M9:M142)</f>
        <v>0</v>
      </c>
      <c r="N143" s="3">
        <f>SUM(N9:N142)</f>
        <v>0</v>
      </c>
      <c r="O143" s="3">
        <f>SUM(O9:O142)</f>
        <v>0</v>
      </c>
      <c r="P143" s="3">
        <f>SUM(P9:P142)</f>
        <v>0</v>
      </c>
      <c r="Q143" s="3">
        <f>SUM(Q9:Q142)</f>
        <v>0</v>
      </c>
      <c r="R143" s="3">
        <f>SUM(R9:R142)</f>
        <v>0</v>
      </c>
      <c r="S143" s="3">
        <f>SUM(S9:S142)</f>
        <v>0</v>
      </c>
      <c r="T143" s="3">
        <f>SUM(T9:T142)</f>
        <v>0</v>
      </c>
      <c r="U143" s="3">
        <f>SUM(U9:U142)</f>
        <v>0</v>
      </c>
      <c r="V143" s="3">
        <f>SUM(V9:V142)</f>
        <v>0</v>
      </c>
      <c r="W143" s="3">
        <f>SUM(W9:W142)</f>
        <v>0</v>
      </c>
    </row>
    <row r="144" ht="14.25" customHeight="1"/>
    <row r="145" ht="14.25" customHeight="1">
      <c r="A145" t="str">
        <v>linked -&gt;</v>
      </c>
      <c r="B145" t="str">
        <f>'Bid Sheet'!C153</f>
        <v>PERSONNEL GENERAL CONDITIONS</v>
      </c>
      <c r="C145" s="10" t="str">
        <f>'Bid Sheet'!B153</f>
        <v/>
      </c>
      <c r="D145" s="3">
        <f>IF(ISNUMBER($C145),$C145,0)*D143</f>
        <v>0</v>
      </c>
      <c r="E145" s="3">
        <f>IF(ISNUMBER($C145),$C145,0)*E143</f>
        <v>0</v>
      </c>
      <c r="F145" s="3">
        <f>IF(ISNUMBER($C145),$C145,0)*F143</f>
        <v>0</v>
      </c>
      <c r="G145" s="3">
        <f>IF(ISNUMBER($C145),$C145,0)*G143</f>
        <v>0</v>
      </c>
      <c r="H145" s="3">
        <f>IF(ISNUMBER($C145),$C145,0)*H143</f>
        <v>0</v>
      </c>
      <c r="I145" s="3">
        <f>IF(ISNUMBER($C145),$C145,0)*I143</f>
        <v>0</v>
      </c>
      <c r="J145" s="3">
        <f>IF(ISNUMBER($C145),$C145,0)*J143</f>
        <v>0</v>
      </c>
      <c r="K145" s="3">
        <f>IF(ISNUMBER($C145),$C145,0)*K143</f>
        <v>0</v>
      </c>
      <c r="L145" s="3">
        <f>IF(ISNUMBER($C145),$C145,0)*L143</f>
        <v>0</v>
      </c>
      <c r="M145" s="3">
        <f>IF(ISNUMBER($C145),$C145,0)*M143</f>
        <v>0</v>
      </c>
      <c r="N145" s="3">
        <f>IF(ISNUMBER($C145),$C145,0)*N143</f>
        <v>0</v>
      </c>
      <c r="O145" s="3">
        <f>IF(ISNUMBER($C145),$C145,0)*O143</f>
        <v>0</v>
      </c>
      <c r="P145" s="3">
        <f>IF(ISNUMBER($C145),$C145,0)*P143</f>
        <v>0</v>
      </c>
      <c r="Q145" s="3">
        <f>IF(ISNUMBER($C145),$C145,0)*Q143</f>
        <v>0</v>
      </c>
      <c r="R145" s="3">
        <f>IF(ISNUMBER($C145),$C145,0)*R143</f>
        <v>0</v>
      </c>
      <c r="S145" s="3">
        <f>IF(ISNUMBER($C145),$C145,0)*S143</f>
        <v>0</v>
      </c>
      <c r="T145" s="3">
        <f>IF(ISNUMBER($C145),$C145,0)*T143</f>
        <v>0</v>
      </c>
      <c r="U145" s="3">
        <f>IF(ISNUMBER($C145),$C145,0)*U143</f>
        <v>0</v>
      </c>
      <c r="V145" s="3">
        <f>IF(ISNUMBER($C145),$C145,0)*V143</f>
        <v>0</v>
      </c>
      <c r="W145" s="3">
        <f>IF(ISNUMBER($C145),$C145,0)*W143</f>
        <v>0</v>
      </c>
    </row>
    <row r="146" ht="14.25" customHeight="1">
      <c r="A146" t="str">
        <v>linked -&gt;</v>
      </c>
      <c r="B146" t="str">
        <f>'Bid Sheet'!C154</f>
        <v>GENERAL CONDITIONS-NON PERSONNEL</v>
      </c>
    </row>
    <row r="147" ht="14.25" customHeight="1">
      <c r="A147" t="str">
        <v>linked -&gt;</v>
      </c>
      <c r="B147" t="str">
        <f>'Bid Sheet'!C160</f>
        <v>PUBLIC SPACE IMPROVEMENTS (BY OWNER)</v>
      </c>
    </row>
    <row r="148" ht="14.25" customHeight="1">
      <c r="A148" t="str">
        <v>linked -&gt;</v>
      </c>
      <c r="B148" t="str">
        <f>'Bid Sheet'!C168</f>
        <v>ESCALATION</v>
      </c>
    </row>
    <row r="149" ht="14.25" customHeight="1">
      <c r="A149" t="str">
        <v>linked -&gt;</v>
      </c>
      <c r="B149" t="str">
        <f>'Bid Sheet'!C169</f>
        <v xml:space="preserve">PERFORMANCE &amp; PAYMENT BOND </v>
      </c>
    </row>
    <row r="150" ht="14.25" customHeight="1">
      <c r="A150" t="str">
        <v>linked -&gt;</v>
      </c>
      <c r="B150" t="str">
        <f>'Bid Sheet'!#REF!</f>
        <v>#ERROR!</v>
      </c>
    </row>
    <row r="151" ht="14.25" customHeight="1">
      <c r="A151" t="str">
        <v>linked -&gt;</v>
      </c>
      <c r="B151" t="str">
        <f>'Bid Sheet'!#REF!</f>
        <v>#ERROR!</v>
      </c>
    </row>
    <row r="152" ht="14.25" customHeight="1">
      <c r="A152" t="str">
        <v>linked -&gt;</v>
      </c>
      <c r="B152" t="str">
        <f>'Bid Sheet'!#REF!</f>
        <v>#ERROR!</v>
      </c>
    </row>
    <row r="153" ht="14.25" customHeight="1">
      <c r="A153" t="str">
        <v>linked -&gt;</v>
      </c>
      <c r="B153" t="str">
        <f>'Bid Sheet'!#REF!</f>
        <v>#ERROR!</v>
      </c>
    </row>
    <row r="154" ht="14.25" customHeight="1"/>
    <row r="155" ht="14.25" customHeight="1">
      <c r="B155" t="str">
        <f>'Bid Sheet'!#REF!</f>
        <v>#ERROR!</v>
      </c>
      <c r="D155" s="3">
        <f>SUM(D143:D154)</f>
        <v>0</v>
      </c>
      <c r="E155" s="3">
        <f>SUM(E143:E154)</f>
        <v>0</v>
      </c>
      <c r="F155" s="3">
        <f>SUM(F143:F154)</f>
        <v>0</v>
      </c>
      <c r="G155" s="3">
        <f>SUM(G143:G154)</f>
        <v>0</v>
      </c>
      <c r="H155" s="3">
        <f>SUM(H143:H154)</f>
        <v>0</v>
      </c>
      <c r="I155" s="3">
        <f>SUM(I143:I154)</f>
        <v>0</v>
      </c>
      <c r="J155" s="3">
        <f>SUM(J143:J154)</f>
        <v>0</v>
      </c>
      <c r="K155" s="3">
        <f>SUM(K143:K154)</f>
        <v>0</v>
      </c>
      <c r="L155" s="3">
        <f>SUM(L143:L154)</f>
        <v>0</v>
      </c>
      <c r="M155" s="3">
        <f>SUM(M143:M154)</f>
        <v>0</v>
      </c>
      <c r="N155" s="3">
        <f>SUM(N143:N154)</f>
        <v>0</v>
      </c>
      <c r="O155" s="3">
        <f>SUM(O143:O154)</f>
        <v>0</v>
      </c>
      <c r="P155" s="3">
        <f>SUM(P143:P154)</f>
        <v>0</v>
      </c>
      <c r="Q155" s="3">
        <f>SUM(Q143:Q154)</f>
        <v>0</v>
      </c>
      <c r="R155" s="3">
        <f>SUM(R143:R154)</f>
        <v>0</v>
      </c>
      <c r="S155" s="3">
        <f>SUM(S143:S154)</f>
        <v>0</v>
      </c>
      <c r="T155" s="3">
        <f>SUM(T143:T154)</f>
        <v>0</v>
      </c>
      <c r="U155" s="3">
        <f>SUM(U143:U154)</f>
        <v>0</v>
      </c>
      <c r="V155" s="3">
        <f>SUM(V143:V154)</f>
        <v>0</v>
      </c>
      <c r="W155" s="3">
        <f>SUM(W143:W154)</f>
        <v>0</v>
      </c>
    </row>
    <row r="156" ht="14.25" customHeight="1"/>
    <row r="157" ht="14.25" customHeight="1">
      <c r="A157" t="str">
        <v>linked -&gt;</v>
      </c>
      <c r="B157" t="str">
        <f>'Bid Sheet'!#REF!</f>
        <v>#ERROR!</v>
      </c>
      <c r="C157" s="10" t="str">
        <f>'Bid Sheet'!#REF!</f>
        <v>#ERROR!</v>
      </c>
      <c r="D157" s="3">
        <f>IF(ISNUMBER($C157),$C157,0)*D155</f>
        <v>0</v>
      </c>
      <c r="E157" s="3">
        <f>IF(ISNUMBER($C157),$C157,0)*E155</f>
        <v>0</v>
      </c>
      <c r="F157" s="3">
        <f>IF(ISNUMBER($C157),$C157,0)*F155</f>
        <v>0</v>
      </c>
      <c r="G157" s="3">
        <f>IF(ISNUMBER($C157),$C157,0)*G155</f>
        <v>0</v>
      </c>
      <c r="H157" s="3">
        <f>IF(ISNUMBER($C157),$C157,0)*H155</f>
        <v>0</v>
      </c>
      <c r="I157" s="3">
        <f>IF(ISNUMBER($C157),$C157,0)*I155</f>
        <v>0</v>
      </c>
      <c r="J157" s="3">
        <f>IF(ISNUMBER($C157),$C157,0)*J155</f>
        <v>0</v>
      </c>
      <c r="K157" s="3">
        <f>IF(ISNUMBER($C157),$C157,0)*K155</f>
        <v>0</v>
      </c>
      <c r="L157" s="3">
        <f>IF(ISNUMBER($C157),$C157,0)*L155</f>
        <v>0</v>
      </c>
      <c r="M157" s="3">
        <f>IF(ISNUMBER($C157),$C157,0)*M155</f>
        <v>0</v>
      </c>
      <c r="N157" s="3">
        <f>IF(ISNUMBER($C157),$C157,0)*N155</f>
        <v>0</v>
      </c>
      <c r="O157" s="3">
        <f>IF(ISNUMBER($C157),$C157,0)*O155</f>
        <v>0</v>
      </c>
      <c r="P157" s="3">
        <f>IF(ISNUMBER($C157),$C157,0)*P155</f>
        <v>0</v>
      </c>
      <c r="Q157" s="3">
        <f>IF(ISNUMBER($C157),$C157,0)*Q155</f>
        <v>0</v>
      </c>
      <c r="R157" s="3">
        <f>IF(ISNUMBER($C157),$C157,0)*R155</f>
        <v>0</v>
      </c>
      <c r="S157" s="3">
        <f>IF(ISNUMBER($C157),$C157,0)*S155</f>
        <v>0</v>
      </c>
      <c r="T157" s="3">
        <f>IF(ISNUMBER($C157),$C157,0)*T155</f>
        <v>0</v>
      </c>
      <c r="U157" s="3">
        <f>IF(ISNUMBER($C157),$C157,0)*U155</f>
        <v>0</v>
      </c>
      <c r="V157" s="3">
        <f>IF(ISNUMBER($C157),$C157,0)*V155</f>
        <v>0</v>
      </c>
      <c r="W157" s="3">
        <f>IF(ISNUMBER($C157),$C157,0)*W155</f>
        <v>0</v>
      </c>
    </row>
    <row r="158" ht="14.25" customHeight="1">
      <c r="A158" t="str">
        <v>linked -&gt;</v>
      </c>
      <c r="B158" t="str">
        <f>'Bid Sheet'!#REF!</f>
        <v>#ERROR!</v>
      </c>
      <c r="C158" s="10" t="str">
        <f>'Bid Sheet'!#REF!</f>
        <v>#ERROR!</v>
      </c>
      <c r="D158" s="3">
        <f>IF(ISNUMBER($C158),$C158,0)*D155</f>
        <v>0</v>
      </c>
      <c r="E158" s="3">
        <f>IF(ISNUMBER($C158),$C158,0)*E155</f>
        <v>0</v>
      </c>
      <c r="F158" s="3">
        <f>IF(ISNUMBER($C158),$C158,0)*F155</f>
        <v>0</v>
      </c>
      <c r="G158" s="3">
        <f>IF(ISNUMBER($C158),$C158,0)*G155</f>
        <v>0</v>
      </c>
      <c r="H158" s="3">
        <f>IF(ISNUMBER($C158),$C158,0)*H155</f>
        <v>0</v>
      </c>
      <c r="I158" s="3">
        <f>IF(ISNUMBER($C158),$C158,0)*I155</f>
        <v>0</v>
      </c>
      <c r="J158" s="3">
        <f>IF(ISNUMBER($C158),$C158,0)*J155</f>
        <v>0</v>
      </c>
      <c r="K158" s="3">
        <f>IF(ISNUMBER($C158),$C158,0)*K155</f>
        <v>0</v>
      </c>
      <c r="L158" s="3">
        <f>IF(ISNUMBER($C158),$C158,0)*L155</f>
        <v>0</v>
      </c>
      <c r="M158" s="3">
        <f>IF(ISNUMBER($C158),$C158,0)*M155</f>
        <v>0</v>
      </c>
      <c r="N158" s="3">
        <f>IF(ISNUMBER($C158),$C158,0)*N155</f>
        <v>0</v>
      </c>
      <c r="O158" s="3">
        <f>IF(ISNUMBER($C158),$C158,0)*O155</f>
        <v>0</v>
      </c>
      <c r="P158" s="3">
        <f>IF(ISNUMBER($C158),$C158,0)*P155</f>
        <v>0</v>
      </c>
      <c r="Q158" s="3">
        <f>IF(ISNUMBER($C158),$C158,0)*Q155</f>
        <v>0</v>
      </c>
      <c r="R158" s="3">
        <f>IF(ISNUMBER($C158),$C158,0)*R155</f>
        <v>0</v>
      </c>
      <c r="S158" s="3">
        <f>IF(ISNUMBER($C158),$C158,0)*S155</f>
        <v>0</v>
      </c>
      <c r="T158" s="3">
        <f>IF(ISNUMBER($C158),$C158,0)*T155</f>
        <v>0</v>
      </c>
      <c r="U158" s="3">
        <f>IF(ISNUMBER($C158),$C158,0)*U155</f>
        <v>0</v>
      </c>
      <c r="V158" s="3">
        <f>IF(ISNUMBER($C158),$C158,0)*V155</f>
        <v>0</v>
      </c>
      <c r="W158" s="3">
        <f>IF(ISNUMBER($C158),$C158,0)*W155</f>
        <v>0</v>
      </c>
    </row>
    <row r="159" ht="14.25" customHeight="1">
      <c r="A159" t="str">
        <v>linked -&gt;</v>
      </c>
      <c r="B159" t="str">
        <f>'Bid Sheet'!#REF!</f>
        <v>#ERROR!</v>
      </c>
      <c r="C159" s="10" t="str">
        <f>'Bid Sheet'!#REF!</f>
        <v>#ERROR!</v>
      </c>
      <c r="D159" s="3">
        <f>IF(ISNUMBER($C159),$C159,0)*D155</f>
        <v>0</v>
      </c>
      <c r="E159" s="3">
        <f>IF(ISNUMBER($C159),$C159,0)*E155</f>
        <v>0</v>
      </c>
      <c r="F159" s="3">
        <f>IF(ISNUMBER($C159),$C159,0)*F155</f>
        <v>0</v>
      </c>
      <c r="G159" s="3">
        <f>IF(ISNUMBER($C159),$C159,0)*G155</f>
        <v>0</v>
      </c>
      <c r="H159" s="3">
        <f>IF(ISNUMBER($C159),$C159,0)*H155</f>
        <v>0</v>
      </c>
      <c r="I159" s="3">
        <f>IF(ISNUMBER($C159),$C159,0)*I155</f>
        <v>0</v>
      </c>
      <c r="J159" s="3">
        <f>IF(ISNUMBER($C159),$C159,0)*J155</f>
        <v>0</v>
      </c>
      <c r="K159" s="3">
        <f>IF(ISNUMBER($C159),$C159,0)*K155</f>
        <v>0</v>
      </c>
      <c r="L159" s="3">
        <f>IF(ISNUMBER($C159),$C159,0)*L155</f>
        <v>0</v>
      </c>
      <c r="M159" s="3">
        <f>IF(ISNUMBER($C159),$C159,0)*M155</f>
        <v>0</v>
      </c>
      <c r="N159" s="3">
        <f>IF(ISNUMBER($C159),$C159,0)*N155</f>
        <v>0</v>
      </c>
      <c r="O159" s="3">
        <f>IF(ISNUMBER($C159),$C159,0)*O155</f>
        <v>0</v>
      </c>
      <c r="P159" s="3">
        <f>IF(ISNUMBER($C159),$C159,0)*P155</f>
        <v>0</v>
      </c>
      <c r="Q159" s="3">
        <f>IF(ISNUMBER($C159),$C159,0)*Q155</f>
        <v>0</v>
      </c>
      <c r="R159" s="3">
        <f>IF(ISNUMBER($C159),$C159,0)*R155</f>
        <v>0</v>
      </c>
      <c r="S159" s="3">
        <f>IF(ISNUMBER($C159),$C159,0)*S155</f>
        <v>0</v>
      </c>
      <c r="T159" s="3">
        <f>IF(ISNUMBER($C159),$C159,0)*T155</f>
        <v>0</v>
      </c>
      <c r="U159" s="3">
        <f>IF(ISNUMBER($C159),$C159,0)*U155</f>
        <v>0</v>
      </c>
      <c r="V159" s="3">
        <f>IF(ISNUMBER($C159),$C159,0)*V155</f>
        <v>0</v>
      </c>
      <c r="W159" s="3">
        <f>IF(ISNUMBER($C159),$C159,0)*W155</f>
        <v>0</v>
      </c>
    </row>
    <row r="160" ht="14.25" customHeight="1">
      <c r="A160" t="str">
        <v>linked -&gt;</v>
      </c>
      <c r="B160" t="str">
        <f>'Bid Sheet'!#REF!</f>
        <v>#ERROR!</v>
      </c>
      <c r="C160" s="10" t="str">
        <f>'Bid Sheet'!#REF!</f>
        <v>#ERROR!</v>
      </c>
      <c r="D160" s="3">
        <f>IF(ISNUMBER($C160),$C160,0)*D155</f>
        <v>0</v>
      </c>
      <c r="E160" s="3">
        <f>IF(ISNUMBER($C160),$C160,0)*E155</f>
        <v>0</v>
      </c>
      <c r="F160" s="3">
        <f>IF(ISNUMBER($C160),$C160,0)*F155</f>
        <v>0</v>
      </c>
      <c r="G160" s="3">
        <f>IF(ISNUMBER($C160),$C160,0)*G155</f>
        <v>0</v>
      </c>
      <c r="H160" s="3">
        <f>IF(ISNUMBER($C160),$C160,0)*H155</f>
        <v>0</v>
      </c>
      <c r="I160" s="3">
        <f>IF(ISNUMBER($C160),$C160,0)*I155</f>
        <v>0</v>
      </c>
      <c r="J160" s="3">
        <f>IF(ISNUMBER($C160),$C160,0)*J155</f>
        <v>0</v>
      </c>
      <c r="K160" s="3">
        <f>IF(ISNUMBER($C160),$C160,0)*K155</f>
        <v>0</v>
      </c>
      <c r="L160" s="3">
        <f>IF(ISNUMBER($C160),$C160,0)*L155</f>
        <v>0</v>
      </c>
      <c r="M160" s="3">
        <f>IF(ISNUMBER($C160),$C160,0)*M155</f>
        <v>0</v>
      </c>
      <c r="N160" s="3">
        <f>IF(ISNUMBER($C160),$C160,0)*N155</f>
        <v>0</v>
      </c>
      <c r="O160" s="3">
        <f>IF(ISNUMBER($C160),$C160,0)*O155</f>
        <v>0</v>
      </c>
      <c r="P160" s="3">
        <f>IF(ISNUMBER($C160),$C160,0)*P155</f>
        <v>0</v>
      </c>
      <c r="Q160" s="3">
        <f>IF(ISNUMBER($C160),$C160,0)*Q155</f>
        <v>0</v>
      </c>
      <c r="R160" s="3">
        <f>IF(ISNUMBER($C160),$C160,0)*R155</f>
        <v>0</v>
      </c>
      <c r="S160" s="3">
        <f>IF(ISNUMBER($C160),$C160,0)*S155</f>
        <v>0</v>
      </c>
      <c r="T160" s="3">
        <f>IF(ISNUMBER($C160),$C160,0)*T155</f>
        <v>0</v>
      </c>
      <c r="U160" s="3">
        <f>IF(ISNUMBER($C160),$C160,0)*U155</f>
        <v>0</v>
      </c>
      <c r="V160" s="3">
        <f>IF(ISNUMBER($C160),$C160,0)*V155</f>
        <v>0</v>
      </c>
      <c r="W160" s="3">
        <f>IF(ISNUMBER($C160),$C160,0)*W155</f>
        <v>0</v>
      </c>
    </row>
    <row r="161" ht="14.25" customHeight="1"/>
    <row r="162" ht="14.25" customHeight="1">
      <c r="B162" t="str">
        <f>'Bid Sheet'!#REF!</f>
        <v>#ERROR!</v>
      </c>
      <c r="D162" s="3">
        <f>SUM(D155:D161)</f>
        <v>0</v>
      </c>
      <c r="E162" s="3">
        <f>SUM(E155:E161)</f>
        <v>0</v>
      </c>
      <c r="F162" s="3">
        <f>SUM(F155:F161)</f>
        <v>0</v>
      </c>
      <c r="G162" s="3">
        <f>SUM(G155:G161)</f>
        <v>0</v>
      </c>
      <c r="H162" s="3">
        <f>SUM(H155:H161)</f>
        <v>0</v>
      </c>
      <c r="I162" s="3">
        <f>SUM(I155:I161)</f>
        <v>0</v>
      </c>
      <c r="J162" s="3">
        <f>SUM(J155:J161)</f>
        <v>0</v>
      </c>
      <c r="K162" s="3">
        <f>SUM(K155:K161)</f>
        <v>0</v>
      </c>
      <c r="L162" s="3">
        <f>SUM(L155:L161)</f>
        <v>0</v>
      </c>
      <c r="M162" s="3">
        <f>SUM(M155:M161)</f>
        <v>0</v>
      </c>
      <c r="N162" s="3">
        <f>SUM(N155:N161)</f>
        <v>0</v>
      </c>
      <c r="O162" s="3">
        <f>SUM(O155:O161)</f>
        <v>0</v>
      </c>
      <c r="P162" s="3">
        <f>SUM(P155:P161)</f>
        <v>0</v>
      </c>
      <c r="Q162" s="3">
        <f>SUM(Q155:Q161)</f>
        <v>0</v>
      </c>
      <c r="R162" s="3">
        <f>SUM(R155:R161)</f>
        <v>0</v>
      </c>
      <c r="S162" s="3">
        <f>SUM(S155:S161)</f>
        <v>0</v>
      </c>
      <c r="T162" s="3">
        <f>SUM(T155:T161)</f>
        <v>0</v>
      </c>
      <c r="U162" s="3">
        <f>SUM(U155:U161)</f>
        <v>0</v>
      </c>
      <c r="V162" s="3">
        <f>SUM(V155:V161)</f>
        <v>0</v>
      </c>
      <c r="W162" s="3">
        <f>SUM(W155:W161)</f>
        <v>0</v>
      </c>
    </row>
    <row r="163" ht="14.25" customHeight="1"/>
    <row r="164" ht="14.25" customHeight="1">
      <c r="A164" t="str">
        <v>linked -&gt;</v>
      </c>
      <c r="B164" t="str">
        <f>'Bid Sheet'!#REF!</f>
        <v>#ERROR!</v>
      </c>
      <c r="C164" s="10" t="str">
        <f>'Bid Sheet'!#REF!</f>
        <v>#ERROR!</v>
      </c>
      <c r="D164" s="3">
        <f>IF(ISNUMBER($C164),$C164,0)*D162</f>
        <v>0</v>
      </c>
      <c r="E164" s="3">
        <f>IF(ISNUMBER($C164),$C164,0)*E162</f>
        <v>0</v>
      </c>
      <c r="F164" s="3">
        <f>IF(ISNUMBER($C164),$C164,0)*F162</f>
        <v>0</v>
      </c>
      <c r="G164" s="3">
        <f>IF(ISNUMBER($C164),$C164,0)*G162</f>
        <v>0</v>
      </c>
      <c r="H164" s="3">
        <f>IF(ISNUMBER($C164),$C164,0)*H162</f>
        <v>0</v>
      </c>
      <c r="I164" s="3">
        <f>IF(ISNUMBER($C164),$C164,0)*I162</f>
        <v>0</v>
      </c>
      <c r="J164" s="3">
        <f>IF(ISNUMBER($C164),$C164,0)*J162</f>
        <v>0</v>
      </c>
      <c r="K164" s="3">
        <f>IF(ISNUMBER($C164),$C164,0)*K162</f>
        <v>0</v>
      </c>
      <c r="L164" s="3">
        <f>IF(ISNUMBER($C164),$C164,0)*L162</f>
        <v>0</v>
      </c>
      <c r="M164" s="3">
        <f>IF(ISNUMBER($C164),$C164,0)*M162</f>
        <v>0</v>
      </c>
      <c r="N164" s="3">
        <f>IF(ISNUMBER($C164),$C164,0)*N162</f>
        <v>0</v>
      </c>
      <c r="O164" s="3">
        <f>IF(ISNUMBER($C164),$C164,0)*O162</f>
        <v>0</v>
      </c>
      <c r="P164" s="3">
        <f>IF(ISNUMBER($C164),$C164,0)*P162</f>
        <v>0</v>
      </c>
      <c r="Q164" s="3">
        <f>IF(ISNUMBER($C164),$C164,0)*Q162</f>
        <v>0</v>
      </c>
      <c r="R164" s="3">
        <f>IF(ISNUMBER($C164),$C164,0)*R162</f>
        <v>0</v>
      </c>
      <c r="S164" s="3">
        <f>IF(ISNUMBER($C164),$C164,0)*S162</f>
        <v>0</v>
      </c>
      <c r="T164" s="3">
        <f>IF(ISNUMBER($C164),$C164,0)*T162</f>
        <v>0</v>
      </c>
      <c r="U164" s="3">
        <f>IF(ISNUMBER($C164),$C164,0)*U162</f>
        <v>0</v>
      </c>
      <c r="V164" s="3">
        <f>IF(ISNUMBER($C164),$C164,0)*V162</f>
        <v>0</v>
      </c>
      <c r="W164" s="3">
        <f>IF(ISNUMBER($C164),$C164,0)*W162</f>
        <v>0</v>
      </c>
    </row>
    <row r="165" ht="14.25" customHeight="1"/>
    <row r="166" ht="14.25" customHeight="1">
      <c r="B166" t="str">
        <f>'Bid Sheet'!#REF!</f>
        <v>#ERROR!</v>
      </c>
      <c r="D166" s="3">
        <f>SUM(D162:D165)</f>
        <v>0</v>
      </c>
      <c r="E166" s="3">
        <f>SUM(E162:E165)</f>
        <v>0</v>
      </c>
      <c r="F166" s="3">
        <f>SUM(F162:F165)</f>
        <v>0</v>
      </c>
      <c r="G166" s="3">
        <f>SUM(G162:G165)</f>
        <v>0</v>
      </c>
      <c r="H166" s="3">
        <f>SUM(H162:H165)</f>
        <v>0</v>
      </c>
      <c r="I166" s="3">
        <f>SUM(I162:I165)</f>
        <v>0</v>
      </c>
      <c r="J166" s="3">
        <f>SUM(J162:J165)</f>
        <v>0</v>
      </c>
      <c r="K166" s="3">
        <f>SUM(K162:K165)</f>
        <v>0</v>
      </c>
      <c r="L166" s="3">
        <f>SUM(L162:L165)</f>
        <v>0</v>
      </c>
      <c r="M166" s="3">
        <f>SUM(M162:M165)</f>
        <v>0</v>
      </c>
      <c r="N166" s="3">
        <f>SUM(N162:N165)</f>
        <v>0</v>
      </c>
      <c r="O166" s="3">
        <f>SUM(O162:O165)</f>
        <v>0</v>
      </c>
      <c r="P166" s="3">
        <f>SUM(P162:P165)</f>
        <v>0</v>
      </c>
      <c r="Q166" s="3">
        <f>SUM(Q162:Q165)</f>
        <v>0</v>
      </c>
      <c r="R166" s="3">
        <f>SUM(R162:R165)</f>
        <v>0</v>
      </c>
      <c r="S166" s="3">
        <f>SUM(S162:S165)</f>
        <v>0</v>
      </c>
      <c r="T166" s="3">
        <f>SUM(T162:T165)</f>
        <v>0</v>
      </c>
      <c r="U166" s="3">
        <f>SUM(U162:U165)</f>
        <v>0</v>
      </c>
      <c r="V166" s="3">
        <f>SUM(V162:V165)</f>
        <v>0</v>
      </c>
      <c r="W166" s="3">
        <f>SUM(W162:W165)</f>
        <v>0</v>
      </c>
    </row>
    <row r="167" ht="14.25" customHeight="1"/>
    <row r="168" ht="14.25" customHeight="1">
      <c r="A168" t="str">
        <v>linked -&gt;</v>
      </c>
      <c r="B168" t="str">
        <f>'Bid Sheet'!#REF!</f>
        <v>#ERROR!</v>
      </c>
      <c r="C168" s="10" t="str">
        <f>'Bid Sheet'!#REF!</f>
        <v>#ERROR!</v>
      </c>
      <c r="D168" s="3">
        <f>IF(ISNUMBER($C168),$C168,0)*D166</f>
        <v>0</v>
      </c>
      <c r="E168" s="3">
        <f>IF(ISNUMBER($C168),$C168,0)*E165</f>
        <v>0</v>
      </c>
      <c r="F168" s="3">
        <f>IF(ISNUMBER($C168),$C168,0)*F165</f>
        <v>0</v>
      </c>
      <c r="G168" s="3">
        <f>IF(ISNUMBER($C168),$C168,0)*G165</f>
        <v>0</v>
      </c>
      <c r="H168" s="3">
        <f>IF(ISNUMBER($C168),$C168,0)*H165</f>
        <v>0</v>
      </c>
      <c r="I168" s="3">
        <f>IF(ISNUMBER($C168),$C168,0)*I165</f>
        <v>0</v>
      </c>
      <c r="J168" s="3">
        <f>IF(ISNUMBER($C168),$C168,0)*J165</f>
        <v>0</v>
      </c>
      <c r="K168" s="3">
        <f>IF(ISNUMBER($C168),$C168,0)*K165</f>
        <v>0</v>
      </c>
      <c r="L168" s="3">
        <f>IF(ISNUMBER($C168),$C168,0)*L165</f>
        <v>0</v>
      </c>
      <c r="M168" s="3">
        <f>IF(ISNUMBER($C168),$C168,0)*M165</f>
        <v>0</v>
      </c>
      <c r="N168" s="3">
        <f>IF(ISNUMBER($C168),$C168,0)*N165</f>
        <v>0</v>
      </c>
      <c r="O168" s="3">
        <f>IF(ISNUMBER($C168),$C168,0)*O165</f>
        <v>0</v>
      </c>
      <c r="P168" s="3">
        <f>IF(ISNUMBER($C168),$C168,0)*P165</f>
        <v>0</v>
      </c>
      <c r="Q168" s="3">
        <f>IF(ISNUMBER($C168),$C168,0)*Q165</f>
        <v>0</v>
      </c>
      <c r="R168" s="3">
        <f>IF(ISNUMBER($C168),$C168,0)*R165</f>
        <v>0</v>
      </c>
      <c r="S168" s="3">
        <f>IF(ISNUMBER($C168),$C168,0)*S165</f>
        <v>0</v>
      </c>
      <c r="T168" s="3">
        <f>IF(ISNUMBER($C168),$C168,0)*T165</f>
        <v>0</v>
      </c>
      <c r="U168" s="3">
        <f>IF(ISNUMBER($C168),$C168,0)*U165</f>
        <v>0</v>
      </c>
      <c r="V168" s="3">
        <f>IF(ISNUMBER($C168),$C168,0)*V165</f>
        <v>0</v>
      </c>
      <c r="W168" s="3">
        <f>IF(ISNUMBER($C168),$C168,0)*W165</f>
        <v>0</v>
      </c>
    </row>
    <row r="169" ht="14.25" customHeight="1">
      <c r="A169" t="str">
        <v>linked -&gt;</v>
      </c>
      <c r="B169" t="str">
        <f>'Bid Sheet'!#REF!</f>
        <v>#ERROR!</v>
      </c>
      <c r="C169" s="10" t="str">
        <f>'Bid Sheet'!#REF!</f>
        <v>#ERROR!</v>
      </c>
      <c r="D169" s="3">
        <f>IF(ISNUMBER($C169),$C169,0)*D166</f>
        <v>0</v>
      </c>
      <c r="E169" s="3">
        <f>IF(ISNUMBER($C169),$C169,0)*E166</f>
        <v>0</v>
      </c>
      <c r="F169" s="3">
        <f>IF(ISNUMBER($C169),$C169,0)*F166</f>
        <v>0</v>
      </c>
      <c r="G169" s="3">
        <f>IF(ISNUMBER($C169),$C169,0)*G166</f>
        <v>0</v>
      </c>
      <c r="H169" s="3">
        <f>IF(ISNUMBER($C169),$C169,0)*H166</f>
        <v>0</v>
      </c>
      <c r="I169" s="3">
        <f>IF(ISNUMBER($C169),$C169,0)*I166</f>
        <v>0</v>
      </c>
      <c r="J169" s="3">
        <f>IF(ISNUMBER($C169),$C169,0)*J166</f>
        <v>0</v>
      </c>
      <c r="K169" s="3">
        <f>IF(ISNUMBER($C169),$C169,0)*K166</f>
        <v>0</v>
      </c>
      <c r="L169" s="3">
        <f>IF(ISNUMBER($C169),$C169,0)*L166</f>
        <v>0</v>
      </c>
      <c r="M169" s="3">
        <f>IF(ISNUMBER($C169),$C169,0)*M166</f>
        <v>0</v>
      </c>
      <c r="N169" s="3">
        <f>IF(ISNUMBER($C169),$C169,0)*N166</f>
        <v>0</v>
      </c>
      <c r="O169" s="3">
        <f>IF(ISNUMBER($C169),$C169,0)*O166</f>
        <v>0</v>
      </c>
      <c r="P169" s="3">
        <f>IF(ISNUMBER($C169),$C169,0)*P166</f>
        <v>0</v>
      </c>
      <c r="Q169" s="3">
        <f>IF(ISNUMBER($C169),$C169,0)*Q166</f>
        <v>0</v>
      </c>
      <c r="R169" s="3">
        <f>IF(ISNUMBER($C169),$C169,0)*R166</f>
        <v>0</v>
      </c>
      <c r="S169" s="3">
        <f>IF(ISNUMBER($C169),$C169,0)*S166</f>
        <v>0</v>
      </c>
      <c r="T169" s="3">
        <f>IF(ISNUMBER($C169),$C169,0)*T166</f>
        <v>0</v>
      </c>
      <c r="U169" s="3">
        <f>IF(ISNUMBER($C169),$C169,0)*U166</f>
        <v>0</v>
      </c>
      <c r="V169" s="3">
        <f>IF(ISNUMBER($C169),$C169,0)*V166</f>
        <v>0</v>
      </c>
      <c r="W169" s="3">
        <f>IF(ISNUMBER($C169),$C169,0)*W166</f>
        <v>0</v>
      </c>
    </row>
    <row r="170" ht="14.25" customHeight="1"/>
    <row r="171" ht="14.25" customHeight="1">
      <c r="B171" t="str">
        <f>'Bid Sheet'!B170</f>
        <v>CONSTURCTION COST</v>
      </c>
      <c r="D171" s="3">
        <f>SUM(D166:D170)</f>
        <v>0</v>
      </c>
      <c r="E171" s="3">
        <f>SUM(E166:E170)</f>
        <v>0</v>
      </c>
      <c r="F171" s="3">
        <f>SUM(F166:F170)</f>
        <v>0</v>
      </c>
      <c r="G171" s="3">
        <f>SUM(G166:G170)</f>
        <v>0</v>
      </c>
      <c r="H171" s="3">
        <f>SUM(H166:H170)</f>
        <v>0</v>
      </c>
      <c r="I171" s="3">
        <f>SUM(I166:I170)</f>
        <v>0</v>
      </c>
      <c r="J171" s="3">
        <f>SUM(J166:J170)</f>
        <v>0</v>
      </c>
      <c r="K171" s="3">
        <f>SUM(K166:K170)</f>
        <v>0</v>
      </c>
      <c r="L171" s="3">
        <f>SUM(L166:L170)</f>
        <v>0</v>
      </c>
      <c r="M171" s="3">
        <f>SUM(M166:M170)</f>
        <v>0</v>
      </c>
      <c r="N171" s="3">
        <f>SUM(N166:N170)</f>
        <v>0</v>
      </c>
      <c r="O171" s="3">
        <f>SUM(O166:O170)</f>
        <v>0</v>
      </c>
      <c r="P171" s="3">
        <f>SUM(P166:P170)</f>
        <v>0</v>
      </c>
      <c r="Q171" s="3">
        <f>SUM(Q166:Q170)</f>
        <v>0</v>
      </c>
      <c r="R171" s="3">
        <f>SUM(R166:R170)</f>
        <v>0</v>
      </c>
      <c r="S171" s="3">
        <f>SUM(S166:S170)</f>
        <v>0</v>
      </c>
      <c r="T171" s="3">
        <f>SUM(T166:T170)</f>
        <v>0</v>
      </c>
      <c r="U171" s="3">
        <f>SUM(U166:U170)</f>
        <v>0</v>
      </c>
      <c r="V171" s="3">
        <f>SUM(V166:V170)</f>
        <v>0</v>
      </c>
      <c r="W171" s="3">
        <f>SUM(W166:W170)</f>
        <v>0</v>
      </c>
    </row>
    <row r="172" ht="14.25" customHeight="1"/>
    <row r="173" ht="14.25" customHeight="1">
      <c r="A173" t="str">
        <v>linked -&gt;</v>
      </c>
      <c r="B173" t="str">
        <f>'Bid Sheet'!C172</f>
        <v>GC/CM Fee</v>
      </c>
      <c r="C173" s="10">
        <f>'Bid Sheet'!G172</f>
        <v>41.25</v>
      </c>
      <c r="D173" s="3">
        <f>$C173*D171</f>
        <v>0</v>
      </c>
      <c r="E173" s="3">
        <f>$C173*E171</f>
        <v>0</v>
      </c>
      <c r="F173" s="3">
        <f>$C173*F171</f>
        <v>0</v>
      </c>
      <c r="G173" s="3">
        <f>$C173*G171</f>
        <v>0</v>
      </c>
      <c r="H173" s="3">
        <f>$C173*H171</f>
        <v>0</v>
      </c>
      <c r="I173" s="3">
        <f>$C173*I171</f>
        <v>0</v>
      </c>
      <c r="J173" s="3">
        <f>$C173*J171</f>
        <v>0</v>
      </c>
      <c r="K173" s="3">
        <f>$C173*K171</f>
        <v>0</v>
      </c>
      <c r="L173" s="3">
        <f>$C173*L171</f>
        <v>0</v>
      </c>
      <c r="M173" s="3">
        <f>$C173*M171</f>
        <v>0</v>
      </c>
      <c r="N173" s="3">
        <f>$C173*N171</f>
        <v>0</v>
      </c>
      <c r="O173" s="3">
        <f>$C173*O171</f>
        <v>0</v>
      </c>
      <c r="P173" s="3">
        <f>$C173*P171</f>
        <v>0</v>
      </c>
      <c r="Q173" s="3">
        <f>$C173*Q171</f>
        <v>0</v>
      </c>
      <c r="R173" s="3">
        <f>$C173*R171</f>
        <v>0</v>
      </c>
      <c r="S173" s="3">
        <f>$C173*S171</f>
        <v>0</v>
      </c>
      <c r="T173" s="3">
        <f>$C173*T171</f>
        <v>0</v>
      </c>
      <c r="U173" s="3">
        <f>$C173*U171</f>
        <v>0</v>
      </c>
      <c r="V173" s="3">
        <f>$C173*V171</f>
        <v>0</v>
      </c>
      <c r="W173" s="3">
        <f>$C173*W171</f>
        <v>0</v>
      </c>
    </row>
    <row r="174" ht="14.25" customHeight="1"/>
    <row r="175" ht="14.25" customHeight="1">
      <c r="D175" t="str">
        <v>ALT 1:</v>
      </c>
      <c r="E175" t="str">
        <v>ALT 2:</v>
      </c>
      <c r="F175" t="str">
        <v>ALT 3:</v>
      </c>
      <c r="G175" t="str">
        <v>ALT 4:</v>
      </c>
      <c r="H175" t="str">
        <v>ALT 5:</v>
      </c>
      <c r="I175" t="str">
        <v>ALT 6:</v>
      </c>
      <c r="J175" t="str">
        <v>ALT 7:</v>
      </c>
      <c r="K175" t="str">
        <v>ALT 8:</v>
      </c>
      <c r="L175" t="str">
        <v>ALT 9:</v>
      </c>
      <c r="M175" t="str">
        <v>ALT 10:</v>
      </c>
      <c r="N175" t="str">
        <v>ALT 11:</v>
      </c>
      <c r="O175" t="str">
        <v>ALT 12:</v>
      </c>
      <c r="P175" t="str">
        <v>ALT 13:</v>
      </c>
      <c r="Q175" t="str">
        <v>ALT 14:</v>
      </c>
      <c r="R175" t="str">
        <v>ALT 15:</v>
      </c>
      <c r="S175" t="str">
        <v>ALT 16:</v>
      </c>
      <c r="T175" t="str">
        <v>ALT 17:</v>
      </c>
      <c r="U175" t="str">
        <v>ALT 18:</v>
      </c>
      <c r="V175" t="str">
        <v>ALT 19:</v>
      </c>
      <c r="W175" t="str">
        <v>ALT 20:</v>
      </c>
    </row>
    <row r="176" ht="14.25" customHeight="1">
      <c r="B176" t="str">
        <v>Total</v>
      </c>
      <c r="D176" s="3">
        <f>SUM(D171:D175)</f>
        <v>0</v>
      </c>
      <c r="E176" s="3">
        <f>SUM(E171:E175)</f>
        <v>0</v>
      </c>
      <c r="F176" s="3">
        <f>SUM(F171:F175)</f>
        <v>0</v>
      </c>
      <c r="G176" s="3">
        <f>SUM(G171:G175)</f>
        <v>0</v>
      </c>
      <c r="H176" s="3">
        <f>SUM(H171:H175)</f>
        <v>0</v>
      </c>
      <c r="I176" s="3">
        <f>SUM(I171:I175)</f>
        <v>0</v>
      </c>
      <c r="J176" s="3">
        <f>SUM(J171:J175)</f>
        <v>0</v>
      </c>
      <c r="K176" s="3">
        <f>SUM(K171:K175)</f>
        <v>0</v>
      </c>
      <c r="L176" s="3">
        <f>SUM(L171:L175)</f>
        <v>0</v>
      </c>
      <c r="M176" s="3">
        <f>SUM(M171:M175)</f>
        <v>0</v>
      </c>
      <c r="N176" s="3">
        <f>SUM(N171:N175)</f>
        <v>0</v>
      </c>
      <c r="O176" s="3">
        <f>SUM(O171:O175)</f>
        <v>0</v>
      </c>
      <c r="P176" s="3">
        <f>SUM(P171:P175)</f>
        <v>0</v>
      </c>
      <c r="Q176" s="3">
        <f>SUM(Q171:Q175)</f>
        <v>0</v>
      </c>
      <c r="R176" s="3">
        <f>SUM(R171:R175)</f>
        <v>0</v>
      </c>
      <c r="S176" s="3">
        <f>SUM(S171:S175)</f>
        <v>0</v>
      </c>
      <c r="T176" s="3">
        <f>SUM(T171:T175)</f>
        <v>0</v>
      </c>
      <c r="U176" s="3">
        <f>SUM(U171:U175)</f>
        <v>0</v>
      </c>
      <c r="V176" s="3">
        <f>SUM(V171:V175)</f>
        <v>0</v>
      </c>
      <c r="W176" s="3">
        <f>SUM(W171:W175)</f>
        <v>0</v>
      </c>
    </row>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6" location="'Bid Sheet'!A1"/>
    <hyperlink ref="B10" location="'GCs n GRs'!A1"/>
    <hyperlink ref="B12" location="FinalClean!A1"/>
    <hyperlink ref="B14" location="Survey!A1"/>
    <hyperlink ref="B16" location="Demo!A1"/>
    <hyperlink ref="B18" location="Abatement!A1"/>
    <hyperlink ref="B20" location="Conc!A1"/>
    <hyperlink ref="B22" location="Gyp!A1"/>
    <hyperlink ref="B24" location="Precast!A1"/>
    <hyperlink ref="B26" location="Masonry!A1"/>
    <hyperlink ref="B28" location="Stone!A1"/>
    <hyperlink ref="B30" location="null!A1"/>
    <hyperlink ref="B32" location="MiscMetal!A1"/>
    <hyperlink ref="B34" location="Rails!A1"/>
    <hyperlink ref="B36" location="WoodFram!A1"/>
    <hyperlink ref="B38" location="Trim!A1"/>
    <hyperlink ref="B40" location="Millwork!A1"/>
    <hyperlink ref="B42" location="Waterproof!A1"/>
    <hyperlink ref="B44" location="EIFS!A1"/>
    <hyperlink ref="B46" location="AVB!A1"/>
    <hyperlink ref="B48" location="FireP!A1"/>
    <hyperlink ref="B50" location="ExtPanel!A1"/>
    <hyperlink ref="B52" location="MetPanel!A1"/>
    <hyperlink ref="B54" location="Roof!A1"/>
    <hyperlink ref="B56" location="Sealants!A1"/>
    <hyperlink ref="B58" location="DFH!A1"/>
    <hyperlink ref="B60" location="SpecDoor!A1"/>
    <hyperlink ref="B62" location="Glz!A1"/>
    <hyperlink ref="B64" location="Alum!A1"/>
    <hyperlink ref="B66" location="IntGlass!A1"/>
    <hyperlink ref="B68" location="GWB!A1"/>
    <hyperlink ref="B70" location="Tile!A1"/>
    <hyperlink ref="B72" location="Terrazzo!A1"/>
    <hyperlink ref="B74" location="Floor!A1"/>
    <hyperlink ref="B76" location="Paint!A1"/>
    <hyperlink ref="B78" location="TA!A1"/>
    <hyperlink ref="B80" location="TPart!A1"/>
    <hyperlink ref="B82" location="Sign!A1"/>
    <hyperlink ref="B84" location="null!A1"/>
    <hyperlink ref="B86" location="Lockers!A1"/>
    <hyperlink ref="B88" location="null!A1"/>
    <hyperlink ref="B90" location="null!A1"/>
    <hyperlink ref="B92" location="null!A1"/>
    <hyperlink ref="B94" location="ResCab!A1"/>
    <hyperlink ref="B96" location="Counter!A1"/>
    <hyperlink ref="B98" location="WT!A1"/>
    <hyperlink ref="B100" location="null!A1"/>
    <hyperlink ref="B102" location="FireP!A1"/>
    <hyperlink ref="B104" location="Plumb!A1"/>
    <hyperlink ref="B106" location="HVAC!A1"/>
    <hyperlink ref="B108" location="Elect!A1"/>
    <hyperlink ref="B110" location="LV!A1"/>
    <hyperlink ref="B112" location="SOE!A1"/>
    <hyperlink ref="B114" location="null!A1"/>
    <hyperlink ref="B116" location="DeepFnd!A1"/>
    <hyperlink ref="B118" location="DeWater!A1"/>
    <hyperlink ref="B120" location="Ashalt!A1"/>
    <hyperlink ref="B122" location="SegWall!A1"/>
    <hyperlink ref="B124" location="SiteConc!A1"/>
    <hyperlink ref="B126" location="Pavers!A1"/>
    <hyperlink ref="B128" location="Fence!A1"/>
    <hyperlink ref="B130" location="SiteFurn!A1"/>
    <hyperlink ref="B132" location="Lscape!A1"/>
    <hyperlink ref="B134" location="WetUtil!A1"/>
    <hyperlink ref="B136" location="DryUtil!A1"/>
    <hyperlink ref="B138" location="Geotherm!A1"/>
  </hyperlinks>
  <pageMargins left="0.7" right="0.7" top="0.75" bottom="0.75" header="0" footer="0"/>
  <ignoredErrors>
    <ignoredError numberStoredAsText="1" sqref="A1:Z1000"/>
  </ignoredErrors>
</worksheet>
</file>

<file path=xl/worksheets/sheet5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01 - SURVEY</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SUM(I20:I127,I13:I18)</f>
        <v>0</v>
      </c>
      <c r="K7" t="str">
        <v>Adjustments:</v>
      </c>
      <c r="L7" s="4">
        <f>SUM(L13:L18,L20:L127)</f>
        <v>0</v>
      </c>
      <c r="N7" t="str">
        <v>Adjustments:</v>
      </c>
      <c r="O7" s="4">
        <f>SUM(O13:O18,O20:O127)</f>
        <v>0</v>
      </c>
      <c r="Q7" t="str">
        <v>Adjustments:</v>
      </c>
      <c r="R7" s="4">
        <f>SUM(R13:R18,R20:R127)</f>
        <v>0</v>
      </c>
      <c r="T7" t="str">
        <v>Adjustments:</v>
      </c>
      <c r="U7" s="4">
        <f>SUM(U13:U18,U20:U127)</f>
        <v>0</v>
      </c>
      <c r="W7" t="str">
        <v>Adjustments:</v>
      </c>
      <c r="X7" s="4">
        <f>SUM(X13:X18,X20:X127)</f>
        <v>0</v>
      </c>
      <c r="Z7" t="str">
        <v>Adjustments:</v>
      </c>
      <c r="AA7" s="4">
        <f>SUM(AA13:AA18,AA20:AA127)</f>
        <v>0</v>
      </c>
      <c r="AC7" t="str">
        <v>Adjustments:</v>
      </c>
      <c r="AD7" s="4">
        <f>SUM(AD13:AD18,AD20:AD127)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Surveying &amp; Layout</v>
      </c>
      <c r="C43" t="str">
        <v>Y</v>
      </c>
      <c r="I43" s="8">
        <f>H43*F43</f>
        <v>0</v>
      </c>
    </row>
    <row r="44" ht="14.25" customHeight="1">
      <c r="A44">
        <f>A43+1</f>
        <v>3</v>
      </c>
      <c r="B44" t="str">
        <v>Vertical &amp; Horizontal Controls</v>
      </c>
      <c r="C44" t="str">
        <v>Y</v>
      </c>
      <c r="I44" s="8">
        <f>H44*F44</f>
        <v>0</v>
      </c>
    </row>
    <row r="45" ht="14.25" customHeight="1">
      <c r="A45">
        <f>A44+1</f>
        <v>4</v>
      </c>
      <c r="B45" t="str">
        <v>Initial Set Up - Control Lines - Benchmarks - Property Corners</v>
      </c>
      <c r="C45" t="str">
        <v>Y</v>
      </c>
      <c r="I45" s="8">
        <f>H45*F45</f>
        <v>0</v>
      </c>
    </row>
    <row r="46" ht="14.25" customHeight="1">
      <c r="A46">
        <f>A45+1</f>
        <v>5</v>
      </c>
      <c r="B46" t="str">
        <v xml:space="preserve">     Limits of Disturbance </v>
      </c>
      <c r="C46" t="str">
        <v>Y</v>
      </c>
      <c r="I46" s="8">
        <f>H46*F46</f>
        <v>0</v>
      </c>
    </row>
    <row r="47" ht="14.25" customHeight="1">
      <c r="A47">
        <f>A46+1</f>
        <v>6</v>
      </c>
      <c r="B47" t="str">
        <v xml:space="preserve">     Erosion Control lines </v>
      </c>
      <c r="C47" t="str">
        <v>Y</v>
      </c>
      <c r="I47" s="8">
        <f>H47*F47</f>
        <v>0</v>
      </c>
    </row>
    <row r="48" ht="14.25" customHeight="1">
      <c r="A48">
        <f>A47+1</f>
        <v>7</v>
      </c>
      <c r="B48" t="str">
        <v>Utility Relocation:</v>
      </c>
      <c r="C48" t="str">
        <v>Y</v>
      </c>
      <c r="I48" s="8">
        <f>H48*F48</f>
        <v>0</v>
      </c>
    </row>
    <row r="49" ht="14.25" customHeight="1">
      <c r="A49">
        <f>A48+1</f>
        <v>8</v>
      </c>
      <c r="B49" t="str">
        <v xml:space="preserve">     Storm Drain Relocation</v>
      </c>
      <c r="C49" t="str">
        <v>Y</v>
      </c>
      <c r="I49" s="8">
        <f>H49*F49</f>
        <v>0</v>
      </c>
    </row>
    <row r="50" ht="14.25" customHeight="1">
      <c r="A50">
        <f>A49+1</f>
        <v>9</v>
      </c>
      <c r="B50" t="str">
        <v xml:space="preserve">     Sanitary Sewer Relocation</v>
      </c>
      <c r="C50" t="str">
        <v>Y</v>
      </c>
      <c r="I50" s="8">
        <f>H50*F50</f>
        <v>0</v>
      </c>
    </row>
    <row r="51" ht="14.25" customHeight="1">
      <c r="A51">
        <f>A50+1</f>
        <v>10</v>
      </c>
      <c r="B51" t="str">
        <v xml:space="preserve">     Water Distribution Service Relocation</v>
      </c>
      <c r="C51" t="str">
        <v>Y</v>
      </c>
      <c r="I51" s="8">
        <f>H51*F51</f>
        <v>0</v>
      </c>
    </row>
    <row r="52" ht="14.25" customHeight="1">
      <c r="A52">
        <f>A51+1</f>
        <v>11</v>
      </c>
      <c r="B52" t="str">
        <v>Temp Roadway Work</v>
      </c>
      <c r="C52" t="str">
        <v>Y</v>
      </c>
      <c r="I52" s="8">
        <f>H52*F52</f>
        <v>0</v>
      </c>
    </row>
    <row r="53" ht="14.25" customHeight="1">
      <c r="A53">
        <f>A52+1</f>
        <v>12</v>
      </c>
      <c r="B53" t="str">
        <v xml:space="preserve">     Temp Road</v>
      </c>
      <c r="C53" t="str">
        <v>Y</v>
      </c>
      <c r="I53" s="8">
        <f>H53*F53</f>
        <v>0</v>
      </c>
    </row>
    <row r="54" ht="14.25" customHeight="1">
      <c r="A54">
        <f>A53+1</f>
        <v>13</v>
      </c>
      <c r="B54" t="str">
        <v xml:space="preserve">     Temp Parking Lot</v>
      </c>
      <c r="C54" t="str">
        <v>Y</v>
      </c>
      <c r="I54" s="8">
        <f>H54*F54</f>
        <v>0</v>
      </c>
    </row>
    <row r="55" ht="14.25" customHeight="1">
      <c r="A55">
        <f>A54+1</f>
        <v>14</v>
      </c>
      <c r="B55" t="str">
        <v>Sheeting &amp; Shoring layout - for Soldier Piles and etc..</v>
      </c>
      <c r="C55" t="str">
        <v>Y</v>
      </c>
      <c r="I55" s="8">
        <f>H55*F55</f>
        <v>0</v>
      </c>
    </row>
    <row r="56" ht="14.25" customHeight="1">
      <c r="A56">
        <f>A55+1</f>
        <v>15</v>
      </c>
      <c r="B56" t="str">
        <v>Mass Grading Excavation - Survey/Layout as follow in 50' x 50' Grid Cut</v>
      </c>
      <c r="C56" t="str">
        <v>Y</v>
      </c>
      <c r="I56" s="8">
        <f>H56*F56</f>
        <v>0</v>
      </c>
    </row>
    <row r="57" ht="14.25" customHeight="1">
      <c r="A57">
        <f>A56+1</f>
        <v>16</v>
      </c>
      <c r="B57" t="str">
        <v xml:space="preserve">     Phase 1  Grading Excavation ……..., Bldg Excv……...,</v>
      </c>
      <c r="C57" t="str">
        <v>Y</v>
      </c>
      <c r="I57" s="8">
        <f>H57*F57</f>
        <v>0</v>
      </c>
    </row>
    <row r="58" ht="14.25" customHeight="1">
      <c r="A58">
        <f>A57+1</f>
        <v>17</v>
      </c>
      <c r="B58" t="str">
        <v xml:space="preserve">     Phase 2  Grading Excavation ……..., Exterior Site Excav.- Hardscapes similar to sidwalks, Ret-Walls, plazas etc …….</v>
      </c>
      <c r="C58" t="str">
        <v>Y</v>
      </c>
      <c r="I58" s="8">
        <f>H58*F58</f>
        <v>0</v>
      </c>
    </row>
    <row r="59" ht="14.25" customHeight="1">
      <c r="A59">
        <f>A58+1</f>
        <v>18</v>
      </c>
      <c r="B59" t="str">
        <v>New Utility Work:</v>
      </c>
      <c r="C59" t="str">
        <v>Y</v>
      </c>
      <c r="I59" s="8">
        <f>H59*F59</f>
        <v>0</v>
      </c>
    </row>
    <row r="60" ht="14.25" customHeight="1">
      <c r="A60">
        <f>A59+1</f>
        <v>19</v>
      </c>
      <c r="B60" t="str">
        <v xml:space="preserve">    Storm Drain w/Structures</v>
      </c>
      <c r="C60" t="str">
        <v>Y</v>
      </c>
      <c r="I60" s="8">
        <f>H60*F60</f>
        <v>0</v>
      </c>
    </row>
    <row r="61" ht="14.25" customHeight="1">
      <c r="A61">
        <f>A60+1</f>
        <v>20</v>
      </c>
      <c r="B61" t="str">
        <v xml:space="preserve">    Sanitary Sewer &amp; Structures</v>
      </c>
      <c r="C61" t="str">
        <v>Y</v>
      </c>
      <c r="I61" s="8">
        <f>H61*F61</f>
        <v>0</v>
      </c>
    </row>
    <row r="62" ht="14.25" customHeight="1">
      <c r="A62">
        <f>A61+1</f>
        <v>21</v>
      </c>
      <c r="B62" t="str">
        <v xml:space="preserve">    Water Main and Connection to ex. Water Line, Fire Hydrants, Meter Vault etc.….</v>
      </c>
      <c r="C62" t="str">
        <v>Y</v>
      </c>
      <c r="I62" s="8">
        <f>H62*F62</f>
        <v>0</v>
      </c>
    </row>
    <row r="63" ht="14.25" customHeight="1">
      <c r="A63">
        <f>A62+1</f>
        <v>22</v>
      </c>
      <c r="B63" t="str">
        <v>Site Concrete Flat Work</v>
      </c>
      <c r="C63" t="str">
        <v>Y</v>
      </c>
      <c r="I63" s="8">
        <f>H63*F63</f>
        <v>0</v>
      </c>
    </row>
    <row r="64" ht="14.25" customHeight="1">
      <c r="A64">
        <f>A63+1</f>
        <v>23</v>
      </c>
      <c r="B64" t="str">
        <v xml:space="preserve">     Conc Curb &amp; Gutter, Head Curb, Landscaping Curb, Perimeter Flush Conc Curb at different Filelds..</v>
      </c>
      <c r="C64" t="str">
        <v>Y</v>
      </c>
      <c r="I64" s="8">
        <f>H64*F64</f>
        <v>0</v>
      </c>
    </row>
    <row r="65" ht="14.25" customHeight="1">
      <c r="A65">
        <f>A64+1</f>
        <v>24</v>
      </c>
      <c r="B65" t="str">
        <v xml:space="preserve">     Conc Trench Darins </v>
      </c>
      <c r="C65" t="str">
        <v>Y</v>
      </c>
      <c r="I65" s="8">
        <f>H65*F65</f>
        <v>0</v>
      </c>
    </row>
    <row r="66" ht="14.25" customHeight="1">
      <c r="A66">
        <f>A65+1</f>
        <v>25</v>
      </c>
      <c r="B66" t="str">
        <v xml:space="preserve">     Onsite &amp; Offsite Conc Sidewalks and new Pavers - Walkway work</v>
      </c>
      <c r="C66" t="str">
        <v>Y</v>
      </c>
      <c r="I66" s="8">
        <f>H66*F66</f>
        <v>0</v>
      </c>
    </row>
    <row r="67" ht="14.25" customHeight="1">
      <c r="A67">
        <f>A66+1</f>
        <v>26</v>
      </c>
      <c r="B67" t="str">
        <v xml:space="preserve">     ADA Handicap Ramps </v>
      </c>
      <c r="C67" t="str">
        <v>Y</v>
      </c>
      <c r="I67" s="8">
        <f>H67*F67</f>
        <v>0</v>
      </c>
    </row>
    <row r="68" ht="14.25" customHeight="1">
      <c r="A68">
        <f>A67+1</f>
        <v>27</v>
      </c>
      <c r="B68" t="str">
        <v xml:space="preserve">     Granite Curbs  w/Brick Gutter &amp; Conc Base &amp; Aggregates at Streets </v>
      </c>
      <c r="C68" t="str">
        <v>Y</v>
      </c>
      <c r="I68" s="8">
        <f>H68*F68</f>
        <v>0</v>
      </c>
    </row>
    <row r="69" ht="14.25" customHeight="1">
      <c r="A69">
        <f>A68+1</f>
        <v>28</v>
      </c>
      <c r="C69" t="str">
        <v>Y</v>
      </c>
      <c r="I69" s="8">
        <f>H69*F69</f>
        <v>0</v>
      </c>
    </row>
    <row r="70" ht="14.25" customHeight="1">
      <c r="A70">
        <f>A69+1</f>
        <v>29</v>
      </c>
      <c r="B70" t="str">
        <v>Survey &amp; Layout for structures:</v>
      </c>
      <c r="C70" t="str">
        <v>Y</v>
      </c>
      <c r="I70" s="8">
        <f>H70*F70</f>
        <v>0</v>
      </c>
    </row>
    <row r="71" ht="14.25" customHeight="1">
      <c r="A71">
        <f>A70+1</f>
        <v>30</v>
      </c>
      <c r="B71" t="str">
        <v xml:space="preserve">      Retaining walls</v>
      </c>
      <c r="C71" t="str">
        <v>Y</v>
      </c>
      <c r="I71" s="8">
        <f>H71*F71</f>
        <v>0</v>
      </c>
    </row>
    <row r="72" ht="14.25" customHeight="1">
      <c r="A72">
        <f>A71+1</f>
        <v>31</v>
      </c>
      <c r="B72" t="str">
        <v xml:space="preserve">      Stairs (at several locations…..) </v>
      </c>
      <c r="C72" t="str">
        <v>Y</v>
      </c>
      <c r="I72" s="8">
        <f>H72*F72</f>
        <v>0</v>
      </c>
    </row>
    <row r="73" ht="14.25" customHeight="1">
      <c r="A73">
        <f>A72+1</f>
        <v>32</v>
      </c>
      <c r="B73" t="str">
        <v xml:space="preserve">      Ramps</v>
      </c>
      <c r="C73" t="str">
        <v>Y</v>
      </c>
      <c r="I73" s="8">
        <f>H73*F73</f>
        <v>0</v>
      </c>
    </row>
    <row r="74" ht="14.25" customHeight="1">
      <c r="A74">
        <f>A73+1</f>
        <v>33</v>
      </c>
      <c r="B74" t="str">
        <v>Property Corners of:</v>
      </c>
      <c r="C74" t="str">
        <v>Y</v>
      </c>
      <c r="I74" s="8">
        <f>H74*F74</f>
        <v>0</v>
      </c>
    </row>
    <row r="75" ht="14.25" customHeight="1">
      <c r="A75">
        <f>A74+1</f>
        <v>34</v>
      </c>
      <c r="B75" t="str">
        <v xml:space="preserve">      Bldgs</v>
      </c>
      <c r="C75" t="str">
        <v>Y</v>
      </c>
      <c r="I75" s="8">
        <f>H75*F75</f>
        <v>0</v>
      </c>
    </row>
    <row r="76" ht="14.25" customHeight="1">
      <c r="A76">
        <f>A75+1</f>
        <v>35</v>
      </c>
      <c r="B76" t="str">
        <v xml:space="preserve">Dry Utility survey - Electrical conduit &amp; Light Poles </v>
      </c>
      <c r="C76" t="str">
        <v>Y</v>
      </c>
      <c r="I76" s="8">
        <f>H76*F76</f>
        <v>0</v>
      </c>
    </row>
    <row r="77" ht="14.25" customHeight="1">
      <c r="A77">
        <f>A76+1</f>
        <v>36</v>
      </c>
      <c r="B77" t="str">
        <v>Wall Check Foundations</v>
      </c>
      <c r="C77" t="str">
        <v>Y</v>
      </c>
      <c r="I77" s="8">
        <f>H77*F77</f>
        <v>0</v>
      </c>
    </row>
    <row r="78" ht="14.25" customHeight="1">
      <c r="A78">
        <f>A77+1</f>
        <v>37</v>
      </c>
      <c r="B78" t="str">
        <v>Control Lines on Slabs</v>
      </c>
      <c r="C78" t="str">
        <v>Y</v>
      </c>
      <c r="I78" s="8">
        <f>H78*F78</f>
        <v>0</v>
      </c>
    </row>
    <row r="79" ht="14.25" customHeight="1">
      <c r="A79">
        <f>A78+1</f>
        <v>38</v>
      </c>
      <c r="B79" t="str">
        <v xml:space="preserve">AS Built: </v>
      </c>
      <c r="C79" t="str">
        <v>Y</v>
      </c>
      <c r="I79" s="8">
        <f>H79*F79</f>
        <v>0</v>
      </c>
    </row>
    <row r="80" ht="14.25" customHeight="1">
      <c r="A80">
        <f>A79+1</f>
        <v>39</v>
      </c>
      <c r="B80" t="str">
        <v xml:space="preserve">      Total job including …..Bldg, Utility Lines,  Asphalt &amp; Concrete Paved areas….etc.</v>
      </c>
      <c r="C80" t="str">
        <v>Y</v>
      </c>
      <c r="I80" s="8">
        <f>H80*F80</f>
        <v>0</v>
      </c>
    </row>
    <row r="81" ht="14.25" customHeight="1">
      <c r="A81">
        <f>A80+1</f>
        <v>40</v>
      </c>
      <c r="C81" t="str">
        <v>Y</v>
      </c>
      <c r="I81" s="8">
        <f>H81*F81</f>
        <v>0</v>
      </c>
    </row>
    <row r="82" ht="14.25" customHeight="1">
      <c r="A82">
        <f>A81+1</f>
        <v>41</v>
      </c>
      <c r="B82" t="str">
        <v>Movement Monitoring Set Up</v>
      </c>
      <c r="C82" t="str">
        <v>Y</v>
      </c>
      <c r="I82" s="8">
        <f>H82*F82</f>
        <v>0</v>
      </c>
    </row>
    <row r="83" ht="14.25" customHeight="1">
      <c r="A83">
        <f>A82+1</f>
        <v>42</v>
      </c>
      <c r="B83" t="str">
        <v>Sheeting &amp; Shoring layout &amp; Stakeout for SOE Piles</v>
      </c>
      <c r="C83" t="str">
        <v>Y</v>
      </c>
      <c r="I83" s="8">
        <f>H83*F83</f>
        <v>0</v>
      </c>
    </row>
    <row r="84" ht="14.25" customHeight="1">
      <c r="A84">
        <f>A83+1</f>
        <v>43</v>
      </c>
      <c r="B84" t="str">
        <v>Sheeting Monitoring $_________/Week @ _____Weeks =======&gt;</v>
      </c>
      <c r="C84" t="str">
        <v>Y</v>
      </c>
      <c r="I84" s="8">
        <f>H84*F84</f>
        <v>0</v>
      </c>
    </row>
    <row r="85" ht="14.25" customHeight="1">
      <c r="A85">
        <f>A84+1</f>
        <v>44</v>
      </c>
      <c r="B85" t="str">
        <v>Bldg Wall Check surveys</v>
      </c>
      <c r="C85" t="str">
        <v>Y</v>
      </c>
      <c r="I85" s="8">
        <f>H85*F85</f>
        <v>0</v>
      </c>
    </row>
    <row r="86" ht="14.25" customHeight="1">
      <c r="A86">
        <f>A85+1</f>
        <v>45</v>
      </c>
      <c r="B86" t="str">
        <v xml:space="preserve">  Below Grade</v>
      </c>
      <c r="C86" t="str">
        <v>Y</v>
      </c>
      <c r="I86" s="8">
        <f>H86*F86</f>
        <v>0</v>
      </c>
    </row>
    <row r="87" ht="14.25" customHeight="1">
      <c r="A87">
        <f>A86+1</f>
        <v>46</v>
      </c>
      <c r="B87" t="str">
        <v xml:space="preserve">  At Grade</v>
      </c>
      <c r="C87" t="str">
        <v>Y</v>
      </c>
      <c r="I87" s="8">
        <f>H87*F87</f>
        <v>0</v>
      </c>
    </row>
    <row r="88" ht="14.25" customHeight="1">
      <c r="A88">
        <f>A87+1</f>
        <v>47</v>
      </c>
      <c r="B88" t="str">
        <v xml:space="preserve">  Façade</v>
      </c>
      <c r="C88" t="str">
        <v>Y</v>
      </c>
      <c r="I88" s="8">
        <f>H88*F88</f>
        <v>0</v>
      </c>
    </row>
    <row r="89" ht="14.25" customHeight="1">
      <c r="A89">
        <f>A88+1</f>
        <v>48</v>
      </c>
      <c r="B89" t="str">
        <v>AS Built - Total job including …..</v>
      </c>
      <c r="C89" t="str">
        <v>Y</v>
      </c>
      <c r="I89" s="8">
        <f>H89*F89</f>
        <v>0</v>
      </c>
    </row>
    <row r="90" ht="14.25" customHeight="1">
      <c r="A90">
        <f>A89+1</f>
        <v>49</v>
      </c>
      <c r="B90" t="str">
        <v xml:space="preserve">  As Built - Bldg Height</v>
      </c>
      <c r="C90" t="str">
        <v>Y</v>
      </c>
      <c r="I90" s="8">
        <f>H90*F90</f>
        <v>0</v>
      </c>
    </row>
    <row r="91" ht="14.25" customHeight="1">
      <c r="A91">
        <f>A90+1</f>
        <v>50</v>
      </c>
      <c r="B91" t="str">
        <v xml:space="preserve">  Overall as built drawings including utilities, paved areas w/Asphalt &amp; Concrete - Pavers</v>
      </c>
      <c r="C91" t="str">
        <v>Y</v>
      </c>
      <c r="I91" s="8">
        <f>H91*F91</f>
        <v>0</v>
      </c>
    </row>
    <row r="92" ht="14.25" customHeight="1">
      <c r="A92">
        <f>A91+1</f>
        <v>51</v>
      </c>
      <c r="B92" t="str">
        <v xml:space="preserve">  Documentation </v>
      </c>
      <c r="C92" t="str">
        <v>Y</v>
      </c>
      <c r="I92" s="8">
        <f>H92*F92</f>
        <v>0</v>
      </c>
    </row>
    <row r="93" ht="14.25" customHeight="1">
      <c r="A93">
        <f>A92+1</f>
        <v>52</v>
      </c>
      <c r="B93" t="str">
        <v>Misc. Cost &amp; Meeting</v>
      </c>
      <c r="C93" t="str">
        <v>Y</v>
      </c>
      <c r="I93" s="8">
        <f>H93*F93</f>
        <v>0</v>
      </c>
    </row>
    <row r="94" ht="14.25" customHeight="1">
      <c r="A94">
        <f>A93+1</f>
        <v>53</v>
      </c>
      <c r="C94" t="str">
        <v>Y</v>
      </c>
      <c r="I94" s="8">
        <f>H94*F94</f>
        <v>0</v>
      </c>
    </row>
    <row r="95" ht="14.25" customHeight="1">
      <c r="A95">
        <f>A94+1</f>
        <v>54</v>
      </c>
      <c r="B95" t="str">
        <v>STANDARD / GENERAL SCOPE</v>
      </c>
      <c r="C95" t="str">
        <v>Y</v>
      </c>
      <c r="I95" s="8">
        <f>H95*F95</f>
        <v>0</v>
      </c>
    </row>
    <row r="96" ht="14.25" customHeight="1">
      <c r="A96">
        <f>A95+1</f>
        <v>55</v>
      </c>
      <c r="C96" t="str">
        <v>Y</v>
      </c>
      <c r="I96" s="8">
        <f>H96*F96</f>
        <v>0</v>
      </c>
    </row>
    <row r="97" ht="14.25" customHeight="1">
      <c r="A97">
        <f>A96+1</f>
        <v>56</v>
      </c>
      <c r="C97" t="str">
        <v>Y</v>
      </c>
      <c r="I97" s="8">
        <f>H97*F97</f>
        <v>0</v>
      </c>
    </row>
    <row r="98" ht="14.25" customHeight="1">
      <c r="I98" s="8">
        <f>H98*F98</f>
        <v>0</v>
      </c>
    </row>
    <row r="99" ht="14.25" customHeight="1">
      <c r="A99" t="str">
        <v>C</v>
      </c>
      <c r="B99" t="str">
        <v>Exclusions</v>
      </c>
    </row>
    <row r="100" ht="14.25" customHeight="1">
      <c r="A100">
        <v>1</v>
      </c>
      <c r="C100" t="str">
        <v>N</v>
      </c>
    </row>
    <row r="101" ht="14.25" customHeight="1">
      <c r="A101">
        <f>A100+1</f>
        <v>2</v>
      </c>
      <c r="C101" t="str">
        <v>N</v>
      </c>
    </row>
    <row r="102" ht="14.25" customHeight="1">
      <c r="A102">
        <f>A101+1</f>
        <v>3</v>
      </c>
      <c r="C102" t="str">
        <v>N</v>
      </c>
    </row>
    <row r="103" ht="14.25" customHeight="1">
      <c r="A103">
        <f>A102+1</f>
        <v>4</v>
      </c>
      <c r="C103" t="str">
        <v>N</v>
      </c>
    </row>
    <row r="104" ht="14.25" customHeight="1">
      <c r="A104">
        <f>A103+1</f>
        <v>5</v>
      </c>
      <c r="C104" t="str">
        <v>N</v>
      </c>
    </row>
    <row r="105" ht="14.25" customHeight="1">
      <c r="A105">
        <f>A104+1</f>
        <v>6</v>
      </c>
      <c r="C105" t="str">
        <v>N</v>
      </c>
    </row>
    <row r="106" ht="14.25" customHeight="1">
      <c r="A106">
        <f>A105+1</f>
        <v>7</v>
      </c>
      <c r="C106" t="str">
        <v>N</v>
      </c>
    </row>
    <row r="107" ht="14.25" customHeight="1">
      <c r="A107">
        <f>A106+1</f>
        <v>8</v>
      </c>
      <c r="C107" t="str">
        <v>N</v>
      </c>
    </row>
    <row r="108" ht="14.25" customHeight="1"/>
    <row r="109" ht="14.25" customHeight="1">
      <c r="A109" t="str">
        <v>D</v>
      </c>
      <c r="B109" t="str">
        <v>Schedule</v>
      </c>
    </row>
    <row r="110" ht="14.25" customHeight="1">
      <c r="A110">
        <v>1</v>
      </c>
      <c r="B110" t="str">
        <v>Meet MCN Schedule</v>
      </c>
      <c r="C110" t="str">
        <v>Y</v>
      </c>
    </row>
    <row r="111" ht="14.25" customHeight="1">
      <c r="A111">
        <f>A110+1</f>
        <v>2</v>
      </c>
      <c r="B111" t="str">
        <v>Advise of Durations</v>
      </c>
    </row>
    <row r="112" ht="14.25" customHeight="1">
      <c r="A112">
        <f>A111+1</f>
        <v>3</v>
      </c>
      <c r="B112" t="str">
        <v>Activity 1</v>
      </c>
      <c r="C112" t="str">
        <v>---&gt;</v>
      </c>
    </row>
    <row r="113" ht="14.25" customHeight="1">
      <c r="A113">
        <f>A112+1</f>
        <v>4</v>
      </c>
      <c r="B113" t="str">
        <v>Activity 2</v>
      </c>
      <c r="C113" t="str">
        <v>---&gt;</v>
      </c>
    </row>
    <row r="114" ht="14.25" customHeight="1">
      <c r="A114">
        <f>A113+1</f>
        <v>5</v>
      </c>
      <c r="B114" t="str">
        <v>Activity 3</v>
      </c>
      <c r="C114" t="str">
        <v>---&gt;</v>
      </c>
    </row>
    <row r="115" ht="14.25" customHeight="1">
      <c r="A115">
        <f>A114+1</f>
        <v>6</v>
      </c>
      <c r="B115" t="str">
        <v>Duration for Submittals and Shop Drawings</v>
      </c>
      <c r="C115" t="str">
        <v>---&gt;</v>
      </c>
    </row>
    <row r="116" ht="14.25" customHeight="1">
      <c r="A116">
        <f>A115+1</f>
        <v>7</v>
      </c>
      <c r="B116" t="str">
        <v>Advise of Lead Times:</v>
      </c>
    </row>
    <row r="117" ht="14.25" customHeight="1">
      <c r="A117">
        <f>A116+1</f>
        <v>8</v>
      </c>
      <c r="B117" t="str">
        <v>Material 1</v>
      </c>
      <c r="C117" t="str">
        <v>---&gt;</v>
      </c>
    </row>
    <row r="118" ht="14.25" customHeight="1">
      <c r="A118">
        <f>A117+1</f>
        <v>9</v>
      </c>
      <c r="B118" t="str">
        <v>Material 2</v>
      </c>
      <c r="C118" t="str">
        <v>---&gt;</v>
      </c>
    </row>
    <row r="119" ht="14.25" customHeight="1">
      <c r="A119">
        <f>A118+1</f>
        <v>10</v>
      </c>
      <c r="B119" t="str">
        <v>Material 3</v>
      </c>
      <c r="C119" t="str">
        <v>---&gt;</v>
      </c>
    </row>
    <row r="120" ht="14.25" customHeight="1"/>
    <row r="121" ht="14.25" customHeight="1"/>
    <row r="122" ht="14.25" customHeight="1">
      <c r="B122" t="str">
        <v>Allowances</v>
      </c>
    </row>
    <row r="123" ht="14.25" customHeight="1">
      <c r="A123">
        <v>1</v>
      </c>
    </row>
    <row r="124" ht="14.25" customHeight="1">
      <c r="A124">
        <f>A123+1</f>
        <v>2</v>
      </c>
    </row>
    <row r="125" ht="14.25" customHeight="1">
      <c r="A125">
        <f>A124+1</f>
        <v>3</v>
      </c>
    </row>
    <row r="126" ht="14.25" customHeight="1">
      <c r="A126">
        <f>A125+1</f>
        <v>4</v>
      </c>
    </row>
    <row r="127" ht="14.25" customHeight="1"/>
    <row r="128" ht="14.25" customHeight="1"/>
    <row r="129" ht="14.25" customHeight="1">
      <c r="B129" t="str">
        <v>Alternates</v>
      </c>
    </row>
    <row r="130" ht="14.25" customHeight="1">
      <c r="A130">
        <v>1</v>
      </c>
      <c r="C130" t="str">
        <v>#</v>
      </c>
    </row>
    <row r="131" ht="14.25" customHeight="1">
      <c r="A131">
        <f>A130+1</f>
        <v>2</v>
      </c>
      <c r="C131" t="str">
        <v>#</v>
      </c>
    </row>
    <row r="132" ht="14.25" customHeight="1">
      <c r="A132">
        <f>A131+1</f>
        <v>3</v>
      </c>
      <c r="C132" t="str">
        <v>#</v>
      </c>
    </row>
    <row r="133" ht="14.25" customHeight="1">
      <c r="A133">
        <f>A132+1</f>
        <v>4</v>
      </c>
      <c r="C133" t="str">
        <v>#</v>
      </c>
    </row>
    <row r="134" ht="14.25" customHeight="1">
      <c r="C134" t="str">
        <v>#</v>
      </c>
    </row>
    <row r="135" ht="14.25" customHeight="1">
      <c r="B135" t="str">
        <v>Unit Prices</v>
      </c>
    </row>
    <row r="136" ht="14.25" customHeight="1">
      <c r="A136">
        <v>1</v>
      </c>
      <c r="C136" t="str">
        <v>#</v>
      </c>
    </row>
    <row r="137" ht="14.25" customHeight="1">
      <c r="A137">
        <f>A136+1</f>
        <v>2</v>
      </c>
      <c r="C137" t="str">
        <v>#</v>
      </c>
    </row>
    <row r="138" ht="14.25" customHeight="1">
      <c r="A138">
        <f>A137+1</f>
        <v>3</v>
      </c>
      <c r="C138" t="str">
        <v>#</v>
      </c>
    </row>
    <row r="139" ht="14.25" customHeight="1">
      <c r="A139">
        <f>A138+1</f>
        <v>4</v>
      </c>
      <c r="C139" t="str">
        <v>#</v>
      </c>
    </row>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03 - GYP UNDERLAYMENT</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SUM(I20:I98,I13:I18)</f>
        <v>0</v>
      </c>
      <c r="K7" t="str">
        <v>Adjustments:</v>
      </c>
      <c r="L7" s="4">
        <f>SUM(L13:L18,L20:L98)</f>
        <v>0</v>
      </c>
      <c r="N7" t="str">
        <v>Adjustments:</v>
      </c>
      <c r="O7" s="4">
        <f>SUM(O13:O18,O20:O98)</f>
        <v>0</v>
      </c>
      <c r="Q7" t="str">
        <v>Adjustments:</v>
      </c>
      <c r="R7" s="4">
        <f>SUM(R13:R18,R20:R98)</f>
        <v>0</v>
      </c>
      <c r="T7" t="str">
        <v>Adjustments:</v>
      </c>
      <c r="U7" s="4">
        <f>SUM(U13:U18,U20:U98)</f>
        <v>0</v>
      </c>
      <c r="W7" t="str">
        <v>Adjustments:</v>
      </c>
      <c r="X7" s="4">
        <f>SUM(X13:X18,X20:X98)</f>
        <v>0</v>
      </c>
      <c r="Z7" t="str">
        <v>Adjustments:</v>
      </c>
      <c r="AA7" s="4">
        <f>SUM(AA13:AA18,AA20:AA98)</f>
        <v>0</v>
      </c>
      <c r="AC7" t="str">
        <v>Adjustments:</v>
      </c>
      <c r="AD7" s="4">
        <f>SUM(AD13:AD18,AD20:AD98)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Provide gypsum underlayment at all living units including closets and utility rooms over wood subflooring</v>
      </c>
      <c r="C43" t="str">
        <v>Y</v>
      </c>
      <c r="I43" s="8">
        <f>H43*F43</f>
        <v>0</v>
      </c>
    </row>
    <row r="44" ht="14.25" customHeight="1">
      <c r="A44">
        <v>3</v>
      </c>
      <c r="B44" t="str">
        <v>Provide gypsum underlayment at utility/mechanical rooms, amenity areas and corridors over wood subflooring</v>
      </c>
      <c r="C44" t="str">
        <v>Y</v>
      </c>
      <c r="I44" s="8">
        <f>H44*F44</f>
        <v>0</v>
      </c>
    </row>
    <row r="45" ht="14.25" customHeight="1">
      <c r="A45">
        <v>4</v>
      </c>
      <c r="B45" t="str">
        <v>Complete all subfloor preparation necessary to receive gypsum underlayment</v>
      </c>
      <c r="C45" t="str">
        <v>Y</v>
      </c>
      <c r="I45" s="8">
        <f>H45*F45</f>
        <v>0</v>
      </c>
    </row>
    <row r="46" ht="14.25" customHeight="1">
      <c r="A46">
        <v>5</v>
      </c>
      <c r="B46" t="str">
        <v>Sub para 2.01.B: BOD: Maxxon; Gyp-Crete 2000/3.2k or USG Levelrock 2500</v>
      </c>
      <c r="C46" t="str">
        <v>Y</v>
      </c>
      <c r="I46" s="8">
        <f>H46*F46</f>
        <v>0</v>
      </c>
    </row>
    <row r="47" ht="14.25" customHeight="1">
      <c r="A47">
        <v>6</v>
      </c>
      <c r="B47" t="str">
        <v>[MCN recommends min 2500 psi]</v>
      </c>
      <c r="C47" t="str">
        <v>Y</v>
      </c>
      <c r="I47" s="8">
        <f>H47*F47</f>
        <v>0</v>
      </c>
    </row>
    <row r="48" ht="14.25" customHeight="1">
      <c r="A48">
        <v>7</v>
      </c>
      <c r="B48" t="str">
        <v>Sub para 2.01.C: BOD: Maxxon; Acoustimat II or USG Levelrock SRM-25</v>
      </c>
      <c r="C48" t="str">
        <v>Y</v>
      </c>
      <c r="I48" s="8">
        <f>H48*F48</f>
        <v>0</v>
      </c>
    </row>
    <row r="49" ht="14.25" customHeight="1">
      <c r="A49">
        <v>8</v>
      </c>
      <c r="B49" t="str">
        <v>Under all hard flooring surfaces over wood framing</v>
      </c>
      <c r="C49" t="str">
        <v>Y</v>
      </c>
      <c r="I49" s="8">
        <f>H49*F49</f>
        <v>0</v>
      </c>
    </row>
    <row r="50" ht="14.25" customHeight="1">
      <c r="A50">
        <v>9</v>
      </c>
      <c r="B50" t="str">
        <v xml:space="preserve">A702 - 1" FLOOR TOPPING MIXTURE </v>
      </c>
      <c r="C50" t="str">
        <v>Y</v>
      </c>
      <c r="I50" s="8">
        <f>H50*F50</f>
        <v>0</v>
      </c>
    </row>
    <row r="51" ht="14.25" customHeight="1">
      <c r="A51">
        <v>10</v>
      </c>
      <c r="B51" t="str">
        <v>A702 - 1/4" SOUND MAT</v>
      </c>
      <c r="C51" t="str">
        <v>Y</v>
      </c>
      <c r="I51" s="8">
        <f>H51*F51</f>
        <v>0</v>
      </c>
    </row>
    <row r="52" ht="14.25" customHeight="1">
      <c r="A52">
        <v>11</v>
      </c>
      <c r="C52" t="str">
        <v>Y</v>
      </c>
      <c r="I52" s="8">
        <f>H52*F52</f>
        <v>0</v>
      </c>
    </row>
    <row r="53" ht="14.25" customHeight="1">
      <c r="A53">
        <v>12</v>
      </c>
      <c r="B53" t="str">
        <v>STANDARD / GENERAL SCOPE</v>
      </c>
      <c r="C53" t="str">
        <v>Y</v>
      </c>
      <c r="I53" s="8">
        <f>H53*F53</f>
        <v>0</v>
      </c>
    </row>
    <row r="54" ht="14.25" customHeight="1">
      <c r="A54">
        <v>13</v>
      </c>
      <c r="B54" t="str">
        <v>Include [#] mobilizations  [use RSF/15,000]</v>
      </c>
      <c r="C54" t="str">
        <v>Y</v>
      </c>
      <c r="I54" s="8">
        <f>H54*F54</f>
        <v>0</v>
      </c>
    </row>
    <row r="55" ht="14.25" customHeight="1">
      <c r="A55">
        <v>14</v>
      </c>
      <c r="B55" t="str">
        <v xml:space="preserve">Include additional [# mobilizations OR additional mobilizations as directed by MCN]  for prepour at tubs and dead spaces </v>
      </c>
      <c r="C55" t="str">
        <v>Y</v>
      </c>
      <c r="I55" s="8">
        <f>H55*F55</f>
        <v>0</v>
      </c>
    </row>
    <row r="56" ht="14.25" customHeight="1">
      <c r="A56">
        <v>15</v>
      </c>
      <c r="B56" t="str">
        <v>[MCN to provide approximate gypcrete schedule]</v>
      </c>
      <c r="C56" t="str">
        <v>Y</v>
      </c>
      <c r="I56" s="8">
        <f>H56*F56</f>
        <v>0</v>
      </c>
    </row>
    <row r="57" ht="14.25" customHeight="1">
      <c r="A57">
        <v>16</v>
      </c>
      <c r="B57" t="str">
        <v>Provide bond breaker at all walls to separate gypcrete from GWB to avoid capillary action of moisture into GWB</v>
      </c>
      <c r="C57" t="str">
        <v>Y</v>
      </c>
      <c r="I57" s="8">
        <f>H57*F57</f>
        <v>0</v>
      </c>
    </row>
    <row r="58" ht="14.25" customHeight="1">
      <c r="A58">
        <v>17</v>
      </c>
      <c r="B58" t="str">
        <v>Furnish sealer to be installed by FLOORING subcontractor</v>
      </c>
      <c r="C58" t="str">
        <v>Y</v>
      </c>
      <c r="I58" s="8">
        <f>H58*F58</f>
        <v>0</v>
      </c>
    </row>
    <row r="59" ht="14.25" customHeight="1">
      <c r="A59">
        <v>18</v>
      </c>
      <c r="B59" t="str">
        <v>Provide "stops" or flashings at open edges</v>
      </c>
      <c r="C59" t="str">
        <v>Y</v>
      </c>
      <c r="I59" s="8">
        <f>H59*F59</f>
        <v>0</v>
      </c>
    </row>
    <row r="60" ht="14.25" customHeight="1">
      <c r="A60">
        <v>19</v>
      </c>
      <c r="B60" t="str">
        <v>Tape and fill any holes in floors allowing material to run through to the next level of work</v>
      </c>
      <c r="C60" t="str">
        <v>Y</v>
      </c>
      <c r="I60" s="8">
        <f>H60*F60</f>
        <v>0</v>
      </c>
    </row>
    <row r="61" ht="14.25" customHeight="1">
      <c r="A61">
        <v>20</v>
      </c>
      <c r="B61" t="str">
        <v>Ensure that material is floated beneath the tub and tub / shower units thereby completing the rated floor assembly</v>
      </c>
      <c r="C61" t="str">
        <v>Y</v>
      </c>
      <c r="I61" s="8">
        <f>H61*F61</f>
        <v>0</v>
      </c>
    </row>
    <row r="62" ht="14.25" customHeight="1">
      <c r="A62">
        <v>21</v>
      </c>
      <c r="B62" t="str">
        <v>Provide all mat'ls, labor, equipment, tools, hoisting, supervision, etc for your work</v>
      </c>
      <c r="C62" t="str">
        <v>Y</v>
      </c>
      <c r="I62" s="8">
        <f>H62*F62</f>
        <v>0</v>
      </c>
    </row>
    <row r="63" ht="14.25" customHeight="1">
      <c r="A63">
        <v>22</v>
      </c>
      <c r="B63" t="str">
        <v>Layout from GC control, benchmarks</v>
      </c>
      <c r="C63" t="str">
        <v>Y</v>
      </c>
      <c r="I63" s="8">
        <f>H63*F63</f>
        <v>0</v>
      </c>
    </row>
    <row r="64" ht="14.25" customHeight="1">
      <c r="A64">
        <v>23</v>
      </c>
      <c r="B64" t="str">
        <v>Protection and clean up of adjacent surfaces</v>
      </c>
      <c r="C64" t="str">
        <v>Y</v>
      </c>
      <c r="I64" s="8">
        <f>H64*F64</f>
        <v>0</v>
      </c>
    </row>
    <row r="65" ht="14.25" customHeight="1">
      <c r="A65">
        <v>24</v>
      </c>
      <c r="B65" t="str">
        <v>Clean up to MCN dumpster</v>
      </c>
      <c r="C65" t="str">
        <v>Y</v>
      </c>
      <c r="I65" s="8">
        <f>H65*F65</f>
        <v>0</v>
      </c>
    </row>
    <row r="66" ht="14.25" customHeight="1">
      <c r="A66">
        <v>25</v>
      </c>
      <c r="B66" t="str">
        <v>Shop drawings, submittals, product data, mix designs, test reports, certs, etc</v>
      </c>
      <c r="C66" t="str">
        <v>Y</v>
      </c>
      <c r="I66" s="8">
        <f>H66*F66</f>
        <v>0</v>
      </c>
    </row>
    <row r="67" ht="14.25" customHeight="1">
      <c r="A67">
        <v>26</v>
      </c>
      <c r="B67" t="str">
        <v>Mock-up [if specified]</v>
      </c>
      <c r="C67" t="str">
        <v>Y</v>
      </c>
      <c r="I67" s="8">
        <f>H67*F67</f>
        <v>0</v>
      </c>
    </row>
    <row r="68" ht="14.25" customHeight="1">
      <c r="A68">
        <v>27</v>
      </c>
      <c r="B68" t="str">
        <v>Testing [if specified]</v>
      </c>
      <c r="C68" t="str">
        <v>Y</v>
      </c>
      <c r="I68" s="8">
        <f>H68*F68</f>
        <v>0</v>
      </c>
    </row>
    <row r="69" ht="14.25" customHeight="1">
      <c r="I69" s="8">
        <f>H69*F69</f>
        <v>0</v>
      </c>
    </row>
    <row r="70" ht="14.25" customHeight="1">
      <c r="A70" t="str">
        <v>C</v>
      </c>
      <c r="B70" t="str">
        <v>Exclusions</v>
      </c>
    </row>
    <row r="71" ht="14.25" customHeight="1">
      <c r="A71">
        <v>1</v>
      </c>
      <c r="C71" t="str">
        <v>N</v>
      </c>
    </row>
    <row r="72" ht="14.25" customHeight="1">
      <c r="A72">
        <f>A71+1</f>
        <v>2</v>
      </c>
      <c r="C72" t="str">
        <v>N</v>
      </c>
    </row>
    <row r="73" ht="14.25" customHeight="1">
      <c r="A73">
        <f>A72+1</f>
        <v>3</v>
      </c>
      <c r="C73" t="str">
        <v>N</v>
      </c>
    </row>
    <row r="74" ht="14.25" customHeight="1">
      <c r="A74">
        <f>A73+1</f>
        <v>4</v>
      </c>
      <c r="C74" t="str">
        <v>N</v>
      </c>
    </row>
    <row r="75" ht="14.25" customHeight="1">
      <c r="A75">
        <f>A74+1</f>
        <v>5</v>
      </c>
      <c r="C75" t="str">
        <v>N</v>
      </c>
    </row>
    <row r="76" ht="14.25" customHeight="1">
      <c r="A76">
        <f>A75+1</f>
        <v>6</v>
      </c>
      <c r="C76" t="str">
        <v>N</v>
      </c>
    </row>
    <row r="77" ht="14.25" customHeight="1">
      <c r="A77">
        <f>A76+1</f>
        <v>7</v>
      </c>
      <c r="C77" t="str">
        <v>N</v>
      </c>
    </row>
    <row r="78" ht="14.25" customHeight="1">
      <c r="A78">
        <f>A77+1</f>
        <v>8</v>
      </c>
      <c r="C78" t="str">
        <v>N</v>
      </c>
    </row>
    <row r="79" ht="14.25" customHeight="1"/>
    <row r="80" ht="14.25" customHeight="1">
      <c r="A80" t="str">
        <v>D</v>
      </c>
      <c r="B80" t="str">
        <v>Schedule</v>
      </c>
    </row>
    <row r="81" ht="14.25" customHeight="1">
      <c r="A81">
        <v>1</v>
      </c>
      <c r="B81" t="str">
        <v>Meet MCN Schedule</v>
      </c>
      <c r="C81" t="str">
        <v>Y</v>
      </c>
    </row>
    <row r="82" ht="14.25" customHeight="1">
      <c r="A82">
        <f>A81+1</f>
        <v>2</v>
      </c>
      <c r="B82" t="str">
        <v>Advise of Durations</v>
      </c>
    </row>
    <row r="83" ht="14.25" customHeight="1">
      <c r="A83">
        <f>A82+1</f>
        <v>3</v>
      </c>
      <c r="B83" t="str">
        <v>Activity 1</v>
      </c>
      <c r="C83" t="str">
        <v>---&gt;</v>
      </c>
    </row>
    <row r="84" ht="14.25" customHeight="1">
      <c r="A84">
        <f>A83+1</f>
        <v>4</v>
      </c>
      <c r="B84" t="str">
        <v>Activity 2</v>
      </c>
      <c r="C84" t="str">
        <v>---&gt;</v>
      </c>
    </row>
    <row r="85" ht="14.25" customHeight="1">
      <c r="A85">
        <f>A84+1</f>
        <v>5</v>
      </c>
      <c r="B85" t="str">
        <v>Activity 3</v>
      </c>
      <c r="C85" t="str">
        <v>---&gt;</v>
      </c>
    </row>
    <row r="86" ht="14.25" customHeight="1">
      <c r="A86">
        <f>A85+1</f>
        <v>6</v>
      </c>
      <c r="B86" t="str">
        <v>Duration for Submittals and Shop Drawings</v>
      </c>
      <c r="C86" t="str">
        <v>---&gt;</v>
      </c>
    </row>
    <row r="87" ht="14.25" customHeight="1">
      <c r="A87">
        <f>A86+1</f>
        <v>7</v>
      </c>
      <c r="B87" t="str">
        <v>Advise of Lead Times:</v>
      </c>
    </row>
    <row r="88" ht="14.25" customHeight="1">
      <c r="A88">
        <f>A87+1</f>
        <v>8</v>
      </c>
      <c r="B88" t="str">
        <v>Material 1</v>
      </c>
      <c r="C88" t="str">
        <v>---&gt;</v>
      </c>
    </row>
    <row r="89" ht="14.25" customHeight="1">
      <c r="A89">
        <f>A88+1</f>
        <v>9</v>
      </c>
      <c r="B89" t="str">
        <v>Material 2</v>
      </c>
      <c r="C89" t="str">
        <v>---&gt;</v>
      </c>
    </row>
    <row r="90" ht="14.25" customHeight="1">
      <c r="A90">
        <f>A89+1</f>
        <v>10</v>
      </c>
      <c r="B90" t="str">
        <v>Material 3</v>
      </c>
      <c r="C90" t="str">
        <v>---&gt;</v>
      </c>
    </row>
    <row r="91" ht="14.25" customHeight="1"/>
    <row r="92" ht="14.25" customHeight="1"/>
    <row r="93" ht="14.25" customHeight="1">
      <c r="B93" t="str">
        <v>Allowances</v>
      </c>
    </row>
    <row r="94" ht="14.25" customHeight="1">
      <c r="A94">
        <v>1</v>
      </c>
    </row>
    <row r="95" ht="14.25" customHeight="1">
      <c r="A95">
        <f>A94+1</f>
        <v>2</v>
      </c>
    </row>
    <row r="96" ht="14.25" customHeight="1">
      <c r="A96">
        <f>A95+1</f>
        <v>3</v>
      </c>
    </row>
    <row r="97" ht="14.25" customHeight="1">
      <c r="A97">
        <f>A96+1</f>
        <v>4</v>
      </c>
    </row>
    <row r="98" ht="14.25" customHeight="1"/>
    <row r="99" ht="14.25" customHeight="1"/>
    <row r="100" ht="14.25" customHeight="1">
      <c r="B100" t="str">
        <v>Alternates</v>
      </c>
    </row>
    <row r="101" ht="14.25" customHeight="1">
      <c r="A101">
        <v>1</v>
      </c>
      <c r="C101" t="str">
        <v>#</v>
      </c>
    </row>
    <row r="102" ht="14.25" customHeight="1">
      <c r="A102">
        <f>A101+1</f>
        <v>2</v>
      </c>
      <c r="C102" t="str">
        <v>#</v>
      </c>
    </row>
    <row r="103" ht="14.25" customHeight="1">
      <c r="A103">
        <f>A102+1</f>
        <v>3</v>
      </c>
      <c r="C103" t="str">
        <v>#</v>
      </c>
    </row>
    <row r="104" ht="14.25" customHeight="1">
      <c r="A104">
        <f>A103+1</f>
        <v>4</v>
      </c>
      <c r="C104" t="str">
        <v>#</v>
      </c>
    </row>
    <row r="105" ht="14.25" customHeight="1">
      <c r="C105" t="str">
        <v>#</v>
      </c>
    </row>
    <row r="106" ht="14.25" customHeight="1">
      <c r="B106" t="str">
        <v>Unit Prices</v>
      </c>
    </row>
    <row r="107" ht="14.25" customHeight="1">
      <c r="A107">
        <v>1</v>
      </c>
      <c r="C107" t="str">
        <v>#</v>
      </c>
    </row>
    <row r="108" ht="14.25" customHeight="1">
      <c r="A108">
        <f>A107+1</f>
        <v>2</v>
      </c>
      <c r="C108" t="str">
        <v>#</v>
      </c>
    </row>
    <row r="109" ht="14.25" customHeight="1">
      <c r="A109">
        <f>A108+1</f>
        <v>3</v>
      </c>
      <c r="C109" t="str">
        <v>#</v>
      </c>
    </row>
    <row r="110" ht="14.25" customHeight="1">
      <c r="A110">
        <f>A109+1</f>
        <v>4</v>
      </c>
      <c r="C110" t="str">
        <v>#</v>
      </c>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03 - PRECAST</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SUM(I20:I104,I13:I18)</f>
        <v>0</v>
      </c>
      <c r="K7" t="str">
        <v>Adjustments:</v>
      </c>
      <c r="L7" s="4">
        <f>SUM(L13:L18,L20:L104)</f>
        <v>0</v>
      </c>
      <c r="N7" t="str">
        <v>Adjustments:</v>
      </c>
      <c r="O7" s="4">
        <f>SUM(O13:O18,O20:O104)</f>
        <v>0</v>
      </c>
      <c r="Q7" t="str">
        <v>Adjustments:</v>
      </c>
      <c r="R7" s="4">
        <f>SUM(R13:R18,R20:R104)</f>
        <v>0</v>
      </c>
      <c r="T7" t="str">
        <v>Adjustments:</v>
      </c>
      <c r="U7" s="4">
        <f>SUM(U13:U18,U20:U104)</f>
        <v>0</v>
      </c>
      <c r="W7" t="str">
        <v>Adjustments:</v>
      </c>
      <c r="X7" s="4">
        <f>SUM(X13:X18,X20:X104)</f>
        <v>0</v>
      </c>
      <c r="Z7" t="str">
        <v>Adjustments:</v>
      </c>
      <c r="AA7" s="4">
        <f>SUM(AA13:AA18,AA20:AA104)</f>
        <v>0</v>
      </c>
      <c r="AC7" t="str">
        <v>Adjustments:</v>
      </c>
      <c r="AD7" s="4">
        <f>SUM(AD13:AD18,AD20:AD104)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Furnish and erect all precast as shown on drawings to include double tee precast floor system, inverted t beams, columns, beams, shearwalls, light walls, panels and stairs and landings.</v>
      </c>
      <c r="C43" t="str">
        <v>Y</v>
      </c>
      <c r="I43" s="8">
        <f>H43*F43</f>
        <v>0</v>
      </c>
    </row>
    <row r="44" ht="14.25" customHeight="1">
      <c r="A44">
        <v>3</v>
      </c>
      <c r="B44" t="str">
        <v>All precast concrete shall be designed in accordance with the drawings and specifications.  Precast concrete shall be fabricated  and erected to tolerances [as specified  OR  as in PCI's manual]</v>
      </c>
      <c r="C44" t="str">
        <v>Y</v>
      </c>
      <c r="I44" s="8">
        <f>H44*F44</f>
        <v>0</v>
      </c>
    </row>
    <row r="45" ht="14.25" customHeight="1">
      <c r="A45">
        <v>4</v>
      </c>
      <c r="B45" t="str">
        <v>Provide shop drawings, structural design, structural design calculations, material test data certified by a PE registered in the [Maryland, DC,  Virginia] -  Include connection details, column and wall base details,  splice details, rebar etc.</v>
      </c>
      <c r="C45" t="str">
        <v>Y</v>
      </c>
      <c r="I45" s="8">
        <f>H45*F45</f>
        <v>0</v>
      </c>
    </row>
    <row r="46" ht="14.25" customHeight="1">
      <c r="A46">
        <v>5</v>
      </c>
      <c r="B46" t="str">
        <v>Provide  [primed, zinc plated, hot dipped galvanized, SST]  anchor bolts and steel plate embeds to be cast into foundations and walls by concrete subcontractor.</v>
      </c>
      <c r="C46" t="str">
        <v>Y</v>
      </c>
      <c r="I46" s="8">
        <f>H46*F46</f>
        <v>0</v>
      </c>
    </row>
    <row r="47" ht="14.25" customHeight="1">
      <c r="A47">
        <v>6</v>
      </c>
      <c r="B47" t="str">
        <v>Provide and install [primed, zinc plated, hot dipped galvanized, SST] anchors, dowels and accessories cast in to precast unit.</v>
      </c>
      <c r="C47" t="str">
        <v>Y</v>
      </c>
      <c r="I47" s="8">
        <f>H47*F47</f>
        <v>0</v>
      </c>
    </row>
    <row r="48" ht="14.25" customHeight="1">
      <c r="A48">
        <v>7</v>
      </c>
      <c r="B48" t="str">
        <v>Provide all necessary erection and connection hardware including steel shims, bearing pads and all welding.</v>
      </c>
      <c r="C48" t="str">
        <v>Y</v>
      </c>
      <c r="I48" s="8">
        <f>H48*F48</f>
        <v>0</v>
      </c>
    </row>
    <row r="49" ht="14.25" customHeight="1">
      <c r="A49">
        <v>8</v>
      </c>
      <c r="B49" t="str">
        <v>Install embeds provided by others for misc metals set in precast</v>
      </c>
      <c r="C49" t="str">
        <v>Y</v>
      </c>
      <c r="I49" s="8">
        <f>H49*F49</f>
        <v>0</v>
      </c>
    </row>
    <row r="50" ht="14.25" customHeight="1">
      <c r="A50">
        <v>9</v>
      </c>
      <c r="B50" t="str">
        <v>Provide and install dovetail slots at 24" oc at masonry walls</v>
      </c>
      <c r="C50" t="str">
        <v>Y</v>
      </c>
      <c r="I50" s="8">
        <f>H50*F50</f>
        <v>0</v>
      </c>
    </row>
    <row r="51" ht="14.25" customHeight="1">
      <c r="A51">
        <v>10</v>
      </c>
      <c r="B51" t="str">
        <v>Install all conduits in walls for the electrical trade lights and outlets as indicated on the electrical drawings furnished by the electrical contractor.</v>
      </c>
      <c r="C51" t="str">
        <v>Y</v>
      </c>
      <c r="I51" s="8">
        <f>H51*F51</f>
        <v>0</v>
      </c>
    </row>
    <row r="52" ht="14.25" customHeight="1">
      <c r="A52">
        <v>11</v>
      </c>
      <c r="B52" t="str">
        <v>Provide sleeves thru each double tee for other trades to run conduit, piping etc.</v>
      </c>
      <c r="C52" t="str">
        <v>Y</v>
      </c>
      <c r="I52" s="8">
        <f>H52*F52</f>
        <v>0</v>
      </c>
    </row>
    <row r="53" ht="14.25" customHeight="1">
      <c r="A53">
        <v>12</v>
      </c>
      <c r="B53" t="str">
        <v>Provide all grouting for your scope of work.</v>
      </c>
      <c r="C53" t="str">
        <v>Y</v>
      </c>
      <c r="I53" s="8">
        <f>H53*F53</f>
        <v>0</v>
      </c>
    </row>
    <row r="54" ht="14.25" customHeight="1">
      <c r="A54">
        <v>13</v>
      </c>
      <c r="B54" t="str">
        <v>Provide concrete washes and pour strips at deck perimeter, at shear walls, at and over girders, stair landings and elevator towers (including chord steel if applicable)</v>
      </c>
      <c r="C54" t="str">
        <v>Y</v>
      </c>
      <c r="I54" s="8">
        <f>H54*F54</f>
        <v>0</v>
      </c>
    </row>
    <row r="55" ht="14.25" customHeight="1">
      <c r="A55">
        <v>14</v>
      </c>
      <c r="B55" t="str">
        <v>Nosings at precast stairs</v>
      </c>
      <c r="C55" t="str">
        <v>Y</v>
      </c>
      <c r="I55" s="8">
        <f>H55*F55</f>
        <v>0</v>
      </c>
    </row>
    <row r="56" ht="14.25" customHeight="1">
      <c r="A56">
        <v>15</v>
      </c>
      <c r="B56" t="str">
        <v>Finish/color of interior precast components  to be [strucutral gray concrete with cast finish  OR  other]</v>
      </c>
      <c r="C56" t="str">
        <v>Y</v>
      </c>
      <c r="I56" s="8">
        <f>H56*F56</f>
        <v>0</v>
      </c>
    </row>
    <row r="57" ht="14.25" customHeight="1">
      <c r="A57">
        <v>16</v>
      </c>
      <c r="B57" t="str">
        <v>Finish/color of exposed perimeter exterior precast components  including spandresl, columns and walls to be [standard buff concrete OR other  -  with a light/moderate/heavy sandblast finish  OR  other]</v>
      </c>
      <c r="C57" t="str">
        <v>Y</v>
      </c>
      <c r="I57" s="8">
        <f>H57*F57</f>
        <v>0</v>
      </c>
    </row>
    <row r="58" ht="14.25" customHeight="1">
      <c r="A58">
        <v>17</v>
      </c>
      <c r="B58" t="str">
        <v>Apply sealer to precast units following sand blasting</v>
      </c>
      <c r="C58" t="str">
        <v>Y</v>
      </c>
      <c r="I58" s="8">
        <f>H58*F58</f>
        <v>0</v>
      </c>
    </row>
    <row r="59" ht="14.25" customHeight="1">
      <c r="A59">
        <v>18</v>
      </c>
      <c r="B59" t="str">
        <v>Provide and install temporary rails at all precast stairs</v>
      </c>
      <c r="C59" t="str">
        <v>Y</v>
      </c>
      <c r="I59" s="8">
        <f>H59*F59</f>
        <v>0</v>
      </c>
    </row>
    <row r="60" ht="14.25" customHeight="1">
      <c r="A60">
        <v>19</v>
      </c>
      <c r="C60" t="str">
        <v>Y</v>
      </c>
      <c r="I60" s="8">
        <f>H60*F60</f>
        <v>0</v>
      </c>
    </row>
    <row r="61" ht="14.25" customHeight="1">
      <c r="A61">
        <v>20</v>
      </c>
      <c r="B61" t="str">
        <v>STANDARD / GENERAL SCOPE</v>
      </c>
      <c r="C61" t="str">
        <v>Y</v>
      </c>
      <c r="I61" s="8">
        <f>H61*F61</f>
        <v>0</v>
      </c>
    </row>
    <row r="62" ht="14.25" customHeight="1">
      <c r="A62">
        <v>21</v>
      </c>
      <c r="B62" t="str">
        <v>Provide all mat'ls, labor, equipment, tools, hoisting, supervision, etc for your work</v>
      </c>
      <c r="C62" t="str">
        <v>Y</v>
      </c>
      <c r="I62" s="8">
        <f>H62*F62</f>
        <v>0</v>
      </c>
    </row>
    <row r="63" ht="14.25" customHeight="1">
      <c r="A63">
        <v>22</v>
      </c>
      <c r="B63" t="str">
        <v>Layout from GC control, benchmarks</v>
      </c>
      <c r="C63" t="str">
        <v>Y</v>
      </c>
      <c r="I63" s="8">
        <f>H63*F63</f>
        <v>0</v>
      </c>
    </row>
    <row r="64" ht="14.25" customHeight="1">
      <c r="A64">
        <v>23</v>
      </c>
      <c r="B64" t="str">
        <v>Clean up to MCN dumpster</v>
      </c>
      <c r="C64" t="str">
        <v>Y</v>
      </c>
      <c r="I64" s="8">
        <f>H64*F64</f>
        <v>0</v>
      </c>
    </row>
    <row r="65" ht="14.25" customHeight="1">
      <c r="A65">
        <v>24</v>
      </c>
      <c r="B65" t="str">
        <v>Leave precast in a clean condition - spot clean as needed</v>
      </c>
      <c r="C65" t="str">
        <v>Y</v>
      </c>
      <c r="I65" s="8">
        <f>H65*F65</f>
        <v>0</v>
      </c>
    </row>
    <row r="66" ht="14.25" customHeight="1">
      <c r="A66">
        <v>25</v>
      </c>
      <c r="B66" t="str">
        <v>Shop drawings, submittals, product data, mix designs, test reports, certs, etc</v>
      </c>
      <c r="C66" t="str">
        <v>Y</v>
      </c>
      <c r="I66" s="8">
        <f>H66*F66</f>
        <v>0</v>
      </c>
    </row>
    <row r="67" ht="14.25" customHeight="1">
      <c r="A67">
        <v>26</v>
      </c>
      <c r="B67" t="str">
        <v>Mock-up</v>
      </c>
      <c r="C67" t="str">
        <v>Y</v>
      </c>
      <c r="I67" s="8">
        <f>H67*F67</f>
        <v>0</v>
      </c>
    </row>
    <row r="68" ht="14.25" customHeight="1">
      <c r="A68">
        <v>27</v>
      </c>
      <c r="C68" t="str">
        <v>Y</v>
      </c>
      <c r="I68" s="8">
        <f>H68*F68</f>
        <v>0</v>
      </c>
    </row>
    <row r="69" ht="14.25" customHeight="1">
      <c r="A69">
        <v>28</v>
      </c>
      <c r="B69" t="str">
        <v>LEED Issues:</v>
      </c>
      <c r="C69" t="str">
        <v>Y</v>
      </c>
      <c r="I69" s="8">
        <f>H69*F69</f>
        <v>0</v>
      </c>
    </row>
    <row r="70" ht="14.25" customHeight="1">
      <c r="A70">
        <v>29</v>
      </c>
      <c r="B70" t="str">
        <v>Fabrication of precast within 500-mile radius</v>
      </c>
      <c r="C70" t="str">
        <v>Y</v>
      </c>
      <c r="I70" s="8">
        <f>H70*F70</f>
        <v>0</v>
      </c>
    </row>
    <row r="71" ht="14.25" customHeight="1">
      <c r="A71">
        <v>30</v>
      </c>
      <c r="B71" t="str">
        <v>Fly ash/newcem content in concrete mix design</v>
      </c>
      <c r="C71" t="str">
        <v>Y</v>
      </c>
      <c r="I71" s="8">
        <f>H71*F71</f>
        <v>0</v>
      </c>
    </row>
    <row r="72" ht="14.25" customHeight="1">
      <c r="A72">
        <v>31</v>
      </c>
      <c r="B72" t="str">
        <v>99% recycled content for reinforcing steel</v>
      </c>
      <c r="C72" t="str">
        <v>Y</v>
      </c>
      <c r="I72" s="8">
        <f>H72*F72</f>
        <v>0</v>
      </c>
    </row>
    <row r="73" ht="14.25" customHeight="1">
      <c r="A73">
        <v>32</v>
      </c>
      <c r="B73" t="str">
        <v>Sorting of debris for recycling</v>
      </c>
      <c r="C73" t="str">
        <v>Y</v>
      </c>
      <c r="I73" s="8">
        <f>H73*F73</f>
        <v>0</v>
      </c>
    </row>
    <row r="74" ht="14.25" customHeight="1">
      <c r="A74">
        <v>33</v>
      </c>
      <c r="B74" t="str">
        <v>LEED documentation</v>
      </c>
      <c r="C74" t="str">
        <v>Y</v>
      </c>
      <c r="I74" s="8">
        <f>H74*F74</f>
        <v>0</v>
      </c>
    </row>
    <row r="75" ht="14.25" customHeight="1">
      <c r="I75" s="8">
        <f>H75*F75</f>
        <v>0</v>
      </c>
    </row>
    <row r="76" ht="14.25" customHeight="1">
      <c r="A76" t="str">
        <v>C</v>
      </c>
      <c r="B76" t="str">
        <v>Exclusions</v>
      </c>
    </row>
    <row r="77" ht="14.25" customHeight="1">
      <c r="A77">
        <v>1</v>
      </c>
      <c r="B77" t="str">
        <v>Field poured concrete foundations, basement walls or strucutral concrete walls</v>
      </c>
      <c r="C77" t="str">
        <v>N</v>
      </c>
      <c r="D77" t="str">
        <v>by concrete</v>
      </c>
    </row>
    <row r="78" ht="14.25" customHeight="1">
      <c r="A78">
        <f>A77+1</f>
        <v>2</v>
      </c>
      <c r="B78" t="str">
        <v>Cast stone</v>
      </c>
      <c r="C78" t="str">
        <v>N</v>
      </c>
      <c r="D78" t="str">
        <v>by Masonry or Cast Stone</v>
      </c>
    </row>
    <row r="79" ht="14.25" customHeight="1">
      <c r="A79">
        <f>A78+1</f>
        <v>3</v>
      </c>
      <c r="B79" t="str">
        <v>Caulking of precast to precast joints</v>
      </c>
      <c r="C79" t="str">
        <v>N</v>
      </c>
      <c r="D79" t="str">
        <v>by Caulking</v>
      </c>
    </row>
    <row r="80" ht="14.25" customHeight="1">
      <c r="A80">
        <f>A79+1</f>
        <v>4</v>
      </c>
      <c r="B80" t="str">
        <v>Expansion joint covers/fillers</v>
      </c>
      <c r="C80" t="str">
        <v>N</v>
      </c>
      <c r="D80" t="str">
        <v>by Expansion Joint</v>
      </c>
    </row>
    <row r="81" ht="14.25" customHeight="1">
      <c r="A81">
        <f>A80+1</f>
        <v>5</v>
      </c>
      <c r="B81" t="str">
        <v>Fees for use of Tower Crane</v>
      </c>
      <c r="C81" t="str">
        <v>N</v>
      </c>
      <c r="D81" t="str">
        <v>added by GC</v>
      </c>
    </row>
    <row r="82" ht="14.25" customHeight="1">
      <c r="A82">
        <f>A81+1</f>
        <v>6</v>
      </c>
      <c r="C82" t="str">
        <v>N</v>
      </c>
    </row>
    <row r="83" ht="14.25" customHeight="1">
      <c r="A83">
        <f>A82+1</f>
        <v>7</v>
      </c>
      <c r="C83" t="str">
        <v>N</v>
      </c>
    </row>
    <row r="84" ht="14.25" customHeight="1">
      <c r="A84">
        <f>A83+1</f>
        <v>8</v>
      </c>
      <c r="C84" t="str">
        <v>N</v>
      </c>
    </row>
    <row r="85" ht="14.25" customHeight="1"/>
    <row r="86" ht="14.25" customHeight="1">
      <c r="A86" t="str">
        <v>D</v>
      </c>
      <c r="B86" t="str">
        <v>Schedule</v>
      </c>
    </row>
    <row r="87" ht="14.25" customHeight="1">
      <c r="A87">
        <v>1</v>
      </c>
      <c r="B87" t="str">
        <v>Meet MCN Schedule</v>
      </c>
      <c r="C87" t="str">
        <v>Y</v>
      </c>
    </row>
    <row r="88" ht="14.25" customHeight="1">
      <c r="A88">
        <f>A87+1</f>
        <v>2</v>
      </c>
      <c r="B88" t="str">
        <v>Advise of Durations</v>
      </c>
    </row>
    <row r="89" ht="14.25" customHeight="1">
      <c r="A89">
        <f>A88+1</f>
        <v>3</v>
      </c>
      <c r="B89" t="str">
        <v>Activity 1</v>
      </c>
      <c r="C89" t="str">
        <v>---&gt;</v>
      </c>
    </row>
    <row r="90" ht="14.25" customHeight="1">
      <c r="A90">
        <f>A89+1</f>
        <v>4</v>
      </c>
      <c r="B90" t="str">
        <v>Activity 2</v>
      </c>
      <c r="C90" t="str">
        <v>---&gt;</v>
      </c>
    </row>
    <row r="91" ht="14.25" customHeight="1">
      <c r="A91">
        <f>A90+1</f>
        <v>5</v>
      </c>
      <c r="B91" t="str">
        <v>Activity 3</v>
      </c>
      <c r="C91" t="str">
        <v>---&gt;</v>
      </c>
    </row>
    <row r="92" ht="14.25" customHeight="1">
      <c r="A92">
        <f>A91+1</f>
        <v>6</v>
      </c>
      <c r="B92" t="str">
        <v>Duration for Submittals and Shop Drawings</v>
      </c>
      <c r="C92" t="str">
        <v>---&gt;</v>
      </c>
    </row>
    <row r="93" ht="14.25" customHeight="1">
      <c r="A93">
        <f>A92+1</f>
        <v>7</v>
      </c>
      <c r="B93" t="str">
        <v>Advise of Lead Times:</v>
      </c>
    </row>
    <row r="94" ht="14.25" customHeight="1">
      <c r="A94">
        <f>A93+1</f>
        <v>8</v>
      </c>
      <c r="B94" t="str">
        <v>Material 1</v>
      </c>
      <c r="C94" t="str">
        <v>---&gt;</v>
      </c>
    </row>
    <row r="95" ht="14.25" customHeight="1">
      <c r="A95">
        <f>A94+1</f>
        <v>9</v>
      </c>
      <c r="B95" t="str">
        <v>Material 2</v>
      </c>
      <c r="C95" t="str">
        <v>---&gt;</v>
      </c>
    </row>
    <row r="96" ht="14.25" customHeight="1">
      <c r="A96">
        <f>A95+1</f>
        <v>10</v>
      </c>
      <c r="B96" t="str">
        <v>Material 3</v>
      </c>
      <c r="C96" t="str">
        <v>---&gt;</v>
      </c>
    </row>
    <row r="97" ht="14.25" customHeight="1"/>
    <row r="98" ht="14.25" customHeight="1"/>
    <row r="99" ht="14.25" customHeight="1">
      <c r="B99" t="str">
        <v>Allowances</v>
      </c>
    </row>
    <row r="100" ht="14.25" customHeight="1">
      <c r="A100">
        <v>1</v>
      </c>
    </row>
    <row r="101" ht="14.25" customHeight="1">
      <c r="A101">
        <f>A100+1</f>
        <v>2</v>
      </c>
    </row>
    <row r="102" ht="14.25" customHeight="1">
      <c r="A102">
        <f>A101+1</f>
        <v>3</v>
      </c>
    </row>
    <row r="103" ht="14.25" customHeight="1">
      <c r="A103">
        <f>A102+1</f>
        <v>4</v>
      </c>
    </row>
    <row r="104" ht="14.25" customHeight="1"/>
    <row r="105" ht="14.25" customHeight="1"/>
    <row r="106" ht="14.25" customHeight="1">
      <c r="B106" t="str">
        <v>Alternates</v>
      </c>
    </row>
    <row r="107" ht="14.25" customHeight="1">
      <c r="A107">
        <v>1</v>
      </c>
      <c r="C107" t="str">
        <v>#</v>
      </c>
    </row>
    <row r="108" ht="14.25" customHeight="1">
      <c r="A108">
        <f>A107+1</f>
        <v>2</v>
      </c>
      <c r="C108" t="str">
        <v>#</v>
      </c>
    </row>
    <row r="109" ht="14.25" customHeight="1">
      <c r="A109">
        <f>A108+1</f>
        <v>3</v>
      </c>
      <c r="C109" t="str">
        <v>#</v>
      </c>
    </row>
    <row r="110" ht="14.25" customHeight="1">
      <c r="A110">
        <f>A109+1</f>
        <v>4</v>
      </c>
      <c r="C110" t="str">
        <v>#</v>
      </c>
    </row>
    <row r="111" ht="14.25" customHeight="1">
      <c r="C111" t="str">
        <v>#</v>
      </c>
    </row>
    <row r="112" ht="14.25" customHeight="1">
      <c r="B112" t="str">
        <v>Unit Prices</v>
      </c>
    </row>
    <row r="113" ht="14.25" customHeight="1">
      <c r="A113">
        <v>1</v>
      </c>
      <c r="C113" t="str">
        <v>#</v>
      </c>
    </row>
    <row r="114" ht="14.25" customHeight="1">
      <c r="A114">
        <f>A113+1</f>
        <v>2</v>
      </c>
      <c r="C114" t="str">
        <v>#</v>
      </c>
    </row>
    <row r="115" ht="14.25" customHeight="1">
      <c r="A115">
        <f>A114+1</f>
        <v>3</v>
      </c>
      <c r="C115" t="str">
        <v>#</v>
      </c>
    </row>
    <row r="116" ht="14.25" customHeight="1">
      <c r="A116">
        <f>A115+1</f>
        <v>4</v>
      </c>
      <c r="C116" t="str">
        <v>#</v>
      </c>
    </row>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04 - STONE</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SUM(I20:I106,I13:I18)</f>
        <v>0</v>
      </c>
      <c r="K7" t="str">
        <v>Adjustments:</v>
      </c>
      <c r="L7" s="4">
        <f>SUM(L13:L18,L20:L106)</f>
        <v>0</v>
      </c>
      <c r="N7" t="str">
        <v>Adjustments:</v>
      </c>
      <c r="O7" s="4">
        <f>SUM(O13:O18,O20:O106)</f>
        <v>0</v>
      </c>
      <c r="Q7" t="str">
        <v>Adjustments:</v>
      </c>
      <c r="R7" s="4">
        <f>SUM(R13:R18,R20:R106)</f>
        <v>0</v>
      </c>
      <c r="T7" t="str">
        <v>Adjustments:</v>
      </c>
      <c r="U7" s="4">
        <f>SUM(U13:U18,U20:U106)</f>
        <v>0</v>
      </c>
      <c r="W7" t="str">
        <v>Adjustments:</v>
      </c>
      <c r="X7" s="4">
        <f>SUM(X13:X18,X20:X106)</f>
        <v>0</v>
      </c>
      <c r="Z7" t="str">
        <v>Adjustments:</v>
      </c>
      <c r="AA7" s="4">
        <f>SUM(AA13:AA18,AA20:AA106)</f>
        <v>0</v>
      </c>
      <c r="AC7" t="str">
        <v>Adjustments:</v>
      </c>
      <c r="AD7" s="4">
        <f>SUM(AD13:AD18,AD20:AD106)</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Furnish and install all stone types (granite, limestone, marble, etc) indicated to sizes, dimensions, profiles, lines and grades indicated:</v>
      </c>
      <c r="C43" t="str">
        <v>Y</v>
      </c>
      <c r="I43" s="8">
        <f>H43*F43</f>
        <v>0</v>
      </c>
    </row>
    <row r="44" ht="14.25" customHeight="1">
      <c r="A44">
        <v>3</v>
      </c>
      <c r="B44" t="str">
        <v>[ST-X:  Type of stone]:  Exterior stone paving (coordinate w/site concrete)</v>
      </c>
      <c r="C44" t="str">
        <v>Y</v>
      </c>
      <c r="I44" s="8">
        <f>H44*F44</f>
        <v>0</v>
      </c>
    </row>
    <row r="45" ht="14.25" customHeight="1">
      <c r="A45">
        <v>4</v>
      </c>
      <c r="B45" t="str">
        <v>[ST-X:  Type of stone]:  Exterior granite water table at base of building</v>
      </c>
      <c r="C45" t="str">
        <v>Y</v>
      </c>
      <c r="I45" s="8">
        <f>H45*F45</f>
        <v>0</v>
      </c>
    </row>
    <row r="46" ht="14.25" customHeight="1">
      <c r="A46">
        <v>5</v>
      </c>
      <c r="B46" t="str">
        <v>[ST-X:  Type of stone]:  Exterior stone façade cladding</v>
      </c>
      <c r="C46" t="str">
        <v>Y</v>
      </c>
      <c r="I46" s="8">
        <f>H46*F46</f>
        <v>0</v>
      </c>
    </row>
    <row r="47" ht="14.25" customHeight="1">
      <c r="A47">
        <v>6</v>
      </c>
      <c r="B47" t="str">
        <v>[ST-X:  Type of stone]:  Interior thickset stone flooring and base</v>
      </c>
      <c r="C47" t="str">
        <v>Y</v>
      </c>
      <c r="I47" s="8">
        <f>H47*F47</f>
        <v>0</v>
      </c>
    </row>
    <row r="48" ht="14.25" customHeight="1">
      <c r="A48">
        <v>7</v>
      </c>
      <c r="B48" t="str">
        <v>[ST-X:  Type of stone]:  Interior stone wall cladding</v>
      </c>
      <c r="C48" t="str">
        <v>Y</v>
      </c>
      <c r="I48" s="8">
        <f>H48*F48</f>
        <v>0</v>
      </c>
    </row>
    <row r="49" ht="14.25" customHeight="1">
      <c r="A49">
        <v>8</v>
      </c>
      <c r="B49" t="str">
        <v>[ST-X:  Type of stone]:  Granite vanities, aprons, fascias &amp; backsplashes (coordinate with tile)</v>
      </c>
      <c r="C49" t="str">
        <v>Y</v>
      </c>
      <c r="I49" s="8">
        <f>H49*F49</f>
        <v>0</v>
      </c>
    </row>
    <row r="50" ht="14.25" customHeight="1">
      <c r="A50">
        <v>9</v>
      </c>
      <c r="B50" t="str">
        <v>[ST-X:  Type of stone]:  Furnish only stone that is "glazed-in" to curtainwall systems; include freight charges to glazier's shop</v>
      </c>
      <c r="C50" t="str">
        <v>Y</v>
      </c>
      <c r="I50" s="8">
        <f>H50*F50</f>
        <v>0</v>
      </c>
    </row>
    <row r="51" ht="14.25" customHeight="1">
      <c r="A51">
        <v>10</v>
      </c>
      <c r="B51" t="str">
        <v>[ST-X:  Type of stone]:  Furnish only stone that is cast into precast; include freight charges to precaster's shop</v>
      </c>
      <c r="C51" t="str">
        <v>Y</v>
      </c>
      <c r="I51" s="8">
        <f>H51*F51</f>
        <v>0</v>
      </c>
    </row>
    <row r="52" ht="14.25" customHeight="1">
      <c r="A52">
        <v>11</v>
      </c>
      <c r="B52" t="str">
        <v>Accessories to include metal strips in stone flooring</v>
      </c>
      <c r="C52" t="str">
        <v>Y</v>
      </c>
      <c r="I52" s="8">
        <f>H52*F52</f>
        <v>0</v>
      </c>
    </row>
    <row r="53" ht="14.25" customHeight="1">
      <c r="A53">
        <v>12</v>
      </c>
      <c r="C53" t="str">
        <v>Y</v>
      </c>
      <c r="I53" s="8">
        <f>H53*F53</f>
        <v>0</v>
      </c>
    </row>
    <row r="54" ht="14.25" customHeight="1">
      <c r="A54">
        <v>13</v>
      </c>
      <c r="B54" t="str">
        <v>STANDARD / GENERAL SCOPE</v>
      </c>
      <c r="C54" t="str">
        <v>Y</v>
      </c>
      <c r="I54" s="8">
        <f>H54*F54</f>
        <v>0</v>
      </c>
    </row>
    <row r="55" ht="14.25" customHeight="1">
      <c r="A55">
        <v>14</v>
      </c>
      <c r="B55" t="str">
        <v>Finish as indicated</v>
      </c>
      <c r="C55" t="str">
        <v>Y</v>
      </c>
      <c r="I55" s="8">
        <f>H55*F55</f>
        <v>0</v>
      </c>
    </row>
    <row r="56" ht="14.25" customHeight="1">
      <c r="A56">
        <v>15</v>
      </c>
      <c r="B56" t="str">
        <v>Furnish &amp; install all SS clips, anchors, dowels, pins, etc req'd to install stone to back-up; plaster spot veneer panels</v>
      </c>
      <c r="C56" t="str">
        <v>Y</v>
      </c>
      <c r="I56" s="8">
        <f>H56*F56</f>
        <v>0</v>
      </c>
    </row>
    <row r="57" ht="14.25" customHeight="1">
      <c r="A57">
        <v>16</v>
      </c>
      <c r="B57" t="str">
        <v>Sand and/or cement mortar setting beds for paving</v>
      </c>
      <c r="C57" t="str">
        <v>Y</v>
      </c>
      <c r="I57" s="8">
        <f>H57*F57</f>
        <v>0</v>
      </c>
    </row>
    <row r="58" ht="14.25" customHeight="1">
      <c r="A58">
        <v>17</v>
      </c>
      <c r="B58" t="str">
        <v>Grouting of stone joints</v>
      </c>
      <c r="C58" t="str">
        <v>Y</v>
      </c>
      <c r="I58" s="8">
        <f>H58*F58</f>
        <v>0</v>
      </c>
    </row>
    <row r="59" ht="14.25" customHeight="1">
      <c r="A59">
        <v>18</v>
      </c>
      <c r="B59" t="str">
        <v>Minor Surface prep as needed</v>
      </c>
      <c r="C59" t="str">
        <v>Y</v>
      </c>
      <c r="I59" s="8">
        <f>H59*F59</f>
        <v>0</v>
      </c>
    </row>
    <row r="60" ht="14.25" customHeight="1">
      <c r="A60">
        <v>19</v>
      </c>
      <c r="B60" t="str">
        <v>Field cutting of stone to fit site conditions, or field measurements prior to fab</v>
      </c>
      <c r="C60" t="str">
        <v>Y</v>
      </c>
      <c r="I60" s="8">
        <f>H60*F60</f>
        <v>0</v>
      </c>
    </row>
    <row r="61" ht="14.25" customHeight="1">
      <c r="A61">
        <v>20</v>
      </c>
      <c r="B61" t="str">
        <v>Provide cut-outs in stone for other trades such as light fixtures, elevator signals, security devices, fire department connections, sinks, soap dispensers, etc.</v>
      </c>
      <c r="C61" t="str">
        <v>Y</v>
      </c>
      <c r="I61" s="8">
        <f>H61*F61</f>
        <v>0</v>
      </c>
    </row>
    <row r="62" ht="14.25" customHeight="1">
      <c r="A62">
        <v>21</v>
      </c>
      <c r="B62" t="str">
        <v>Control joints spaced per spec</v>
      </c>
      <c r="C62" t="str">
        <v>Y</v>
      </c>
      <c r="I62" s="8">
        <f>H62*F62</f>
        <v>0</v>
      </c>
    </row>
    <row r="63" ht="14.25" customHeight="1">
      <c r="A63">
        <v>22</v>
      </c>
      <c r="B63" t="str">
        <v>Provide all tools, equip, scaffolding, swing stages, lifts, hoisting, etc for your work</v>
      </c>
      <c r="C63" t="str">
        <v>Y</v>
      </c>
      <c r="I63" s="8">
        <f>H63*F63</f>
        <v>0</v>
      </c>
    </row>
    <row r="64" ht="14.25" customHeight="1">
      <c r="A64">
        <v>23</v>
      </c>
      <c r="B64" t="str">
        <v>Protect work of other trades from damage by your operations</v>
      </c>
      <c r="C64" t="str">
        <v>Y</v>
      </c>
      <c r="I64" s="8">
        <f>H64*F64</f>
        <v>0</v>
      </c>
    </row>
    <row r="65" ht="14.25" customHeight="1">
      <c r="A65">
        <v>24</v>
      </c>
      <c r="B65" t="str">
        <v>Layout from GC control lines and benchmarks</v>
      </c>
      <c r="C65" t="str">
        <v>Y</v>
      </c>
      <c r="I65" s="8">
        <f>H65*F65</f>
        <v>0</v>
      </c>
    </row>
    <row r="66" ht="14.25" customHeight="1">
      <c r="A66">
        <v>25</v>
      </c>
      <c r="B66" t="str">
        <v>Clean up debris and dispose in MCN dumpster</v>
      </c>
      <c r="C66" t="str">
        <v>Y</v>
      </c>
      <c r="I66" s="8">
        <f>H66*F66</f>
        <v>0</v>
      </c>
    </row>
    <row r="67" ht="14.25" customHeight="1">
      <c r="A67">
        <v>26</v>
      </c>
      <c r="B67" t="str">
        <v>Perform final wash down of stone to leave in clean condition</v>
      </c>
      <c r="C67" t="str">
        <v>Y</v>
      </c>
      <c r="I67" s="8">
        <f>H67*F67</f>
        <v>0</v>
      </c>
    </row>
    <row r="68" ht="14.25" customHeight="1">
      <c r="A68">
        <v>27</v>
      </c>
      <c r="B68" t="str">
        <v>Product data, samples, shop drawings, test reports, certs, etc</v>
      </c>
      <c r="C68" t="str">
        <v>Y</v>
      </c>
      <c r="I68" s="8">
        <f>H68*F68</f>
        <v>0</v>
      </c>
    </row>
    <row r="69" ht="14.25" customHeight="1">
      <c r="A69">
        <v>28</v>
      </c>
      <c r="B69" t="str">
        <v xml:space="preserve">Mock-ups </v>
      </c>
      <c r="C69" t="str">
        <v>Y</v>
      </c>
      <c r="I69" s="8">
        <f>H69*F69</f>
        <v>0</v>
      </c>
    </row>
    <row r="70" ht="14.25" customHeight="1">
      <c r="A70">
        <v>29</v>
      </c>
      <c r="B70" t="str">
        <v>Provide extra stock per specs for each stone type</v>
      </c>
      <c r="C70" t="str">
        <v>Y</v>
      </c>
      <c r="I70" s="8">
        <f>H70*F70</f>
        <v>0</v>
      </c>
    </row>
    <row r="71" ht="14.25" customHeight="1">
      <c r="A71">
        <v>30</v>
      </c>
      <c r="C71" t="str">
        <v>Y</v>
      </c>
      <c r="I71" s="8">
        <f>H71*F71</f>
        <v>0</v>
      </c>
    </row>
    <row r="72" ht="14.25" customHeight="1">
      <c r="A72">
        <v>31</v>
      </c>
      <c r="B72" t="str">
        <v>LEED Issues:</v>
      </c>
      <c r="C72" t="str">
        <v>Y</v>
      </c>
      <c r="I72" s="8">
        <f>H72*F72</f>
        <v>0</v>
      </c>
    </row>
    <row r="73" ht="14.25" customHeight="1">
      <c r="A73">
        <v>32</v>
      </c>
      <c r="B73" t="str">
        <v>Stone quarried from within 500-mile radius</v>
      </c>
      <c r="C73" t="str">
        <v>Y</v>
      </c>
      <c r="I73" s="8">
        <f>H73*F73</f>
        <v>0</v>
      </c>
    </row>
    <row r="74" ht="14.25" customHeight="1">
      <c r="A74">
        <v>33</v>
      </c>
      <c r="B74" t="str">
        <v>99% recycled content for attachment hardware</v>
      </c>
      <c r="C74" t="str">
        <v>Y</v>
      </c>
      <c r="I74" s="8">
        <f>H74*F74</f>
        <v>0</v>
      </c>
    </row>
    <row r="75" ht="14.25" customHeight="1">
      <c r="A75">
        <v>34</v>
      </c>
      <c r="B75" t="str">
        <v>Sorting of debris for recycling</v>
      </c>
      <c r="C75" t="str">
        <v>Y</v>
      </c>
      <c r="I75" s="8">
        <f>H75*F75</f>
        <v>0</v>
      </c>
    </row>
    <row r="76" ht="14.25" customHeight="1">
      <c r="A76">
        <v>35</v>
      </c>
      <c r="B76" t="str">
        <v>LEED documentation</v>
      </c>
      <c r="C76" t="str">
        <v>Y</v>
      </c>
      <c r="I76" s="8">
        <f>H76*F76</f>
        <v>0</v>
      </c>
    </row>
    <row r="77" ht="14.25" customHeight="1">
      <c r="I77" s="8">
        <f>H77*F77</f>
        <v>0</v>
      </c>
    </row>
    <row r="78" ht="14.25" customHeight="1">
      <c r="A78" t="str">
        <v>C</v>
      </c>
      <c r="B78" t="str">
        <v>Exclusions</v>
      </c>
    </row>
    <row r="79" ht="14.25" customHeight="1">
      <c r="A79">
        <v>1</v>
      </c>
      <c r="B79" t="str">
        <v>Mass demolition</v>
      </c>
      <c r="C79" t="str">
        <v>N</v>
      </c>
      <c r="D79" t="str">
        <v>by demo</v>
      </c>
    </row>
    <row r="80" ht="14.25" customHeight="1">
      <c r="A80">
        <f>A79+1</f>
        <v>2</v>
      </c>
      <c r="B80" t="str">
        <v>Granite curbs</v>
      </c>
      <c r="C80" t="str">
        <v>N</v>
      </c>
      <c r="D80" t="str">
        <v>by site concrete</v>
      </c>
    </row>
    <row r="81" ht="14.25" customHeight="1">
      <c r="A81">
        <f>A80+1</f>
        <v>3</v>
      </c>
      <c r="B81" t="str">
        <v>Concrete sub-base</v>
      </c>
      <c r="C81" t="str">
        <v>N</v>
      </c>
      <c r="D81" t="str">
        <v>by site concrete</v>
      </c>
    </row>
    <row r="82" ht="14.25" customHeight="1">
      <c r="A82">
        <f>A81+1</f>
        <v>4</v>
      </c>
      <c r="B82" t="str">
        <v>Plywood substrates; wood blocking</v>
      </c>
      <c r="C82" t="str">
        <v>N</v>
      </c>
      <c r="D82" t="str">
        <v>by carpentry</v>
      </c>
    </row>
    <row r="83" ht="14.25" customHeight="1">
      <c r="A83">
        <f>A82+1</f>
        <v>5</v>
      </c>
      <c r="B83" t="str">
        <v>Caulking</v>
      </c>
      <c r="C83" t="str">
        <v>N</v>
      </c>
      <c r="D83" t="str">
        <v>by caulk</v>
      </c>
    </row>
    <row r="84" ht="14.25" customHeight="1">
      <c r="A84">
        <f>A83+1</f>
        <v>6</v>
      </c>
      <c r="C84" t="str">
        <v>N</v>
      </c>
    </row>
    <row r="85" ht="14.25" customHeight="1">
      <c r="A85">
        <f>A84+1</f>
        <v>7</v>
      </c>
      <c r="C85" t="str">
        <v>N</v>
      </c>
    </row>
    <row r="86" ht="14.25" customHeight="1">
      <c r="A86">
        <f>A85+1</f>
        <v>8</v>
      </c>
      <c r="C86" t="str">
        <v>N</v>
      </c>
    </row>
    <row r="87" ht="14.25" customHeight="1"/>
    <row r="88" ht="14.25" customHeight="1">
      <c r="A88" t="str">
        <v>D</v>
      </c>
      <c r="B88" t="str">
        <v>Schedule</v>
      </c>
    </row>
    <row r="89" ht="14.25" customHeight="1">
      <c r="A89">
        <v>1</v>
      </c>
      <c r="B89" t="str">
        <v>Meet MCN Schedule</v>
      </c>
      <c r="C89" t="str">
        <v>Y</v>
      </c>
    </row>
    <row r="90" ht="14.25" customHeight="1">
      <c r="A90">
        <f>A89+1</f>
        <v>2</v>
      </c>
      <c r="B90" t="str">
        <v>Advise of Durations</v>
      </c>
    </row>
    <row r="91" ht="14.25" customHeight="1">
      <c r="A91">
        <f>A90+1</f>
        <v>3</v>
      </c>
      <c r="B91" t="str">
        <v>Activity 1</v>
      </c>
      <c r="C91" t="str">
        <v>---&gt;</v>
      </c>
    </row>
    <row r="92" ht="14.25" customHeight="1">
      <c r="A92">
        <f>A91+1</f>
        <v>4</v>
      </c>
      <c r="B92" t="str">
        <v>Activity 2</v>
      </c>
      <c r="C92" t="str">
        <v>---&gt;</v>
      </c>
    </row>
    <row r="93" ht="14.25" customHeight="1">
      <c r="A93">
        <f>A92+1</f>
        <v>5</v>
      </c>
      <c r="B93" t="str">
        <v>Activity 3</v>
      </c>
      <c r="C93" t="str">
        <v>---&gt;</v>
      </c>
    </row>
    <row r="94" ht="14.25" customHeight="1">
      <c r="A94">
        <f>A93+1</f>
        <v>6</v>
      </c>
      <c r="B94" t="str">
        <v>Duration for Submittals and Shop Drawings</v>
      </c>
      <c r="C94" t="str">
        <v>---&gt;</v>
      </c>
    </row>
    <row r="95" ht="14.25" customHeight="1">
      <c r="A95">
        <f>A94+1</f>
        <v>7</v>
      </c>
      <c r="B95" t="str">
        <v>Advise of Lead Times:</v>
      </c>
    </row>
    <row r="96" ht="14.25" customHeight="1">
      <c r="A96">
        <f>A95+1</f>
        <v>8</v>
      </c>
      <c r="B96" t="str">
        <v>Material 1</v>
      </c>
      <c r="C96" t="str">
        <v>---&gt;</v>
      </c>
    </row>
    <row r="97" ht="14.25" customHeight="1">
      <c r="A97">
        <f>A96+1</f>
        <v>9</v>
      </c>
      <c r="B97" t="str">
        <v>Material 2</v>
      </c>
      <c r="C97" t="str">
        <v>---&gt;</v>
      </c>
    </row>
    <row r="98" ht="14.25" customHeight="1">
      <c r="A98">
        <f>A97+1</f>
        <v>10</v>
      </c>
      <c r="B98" t="str">
        <v>Material 3</v>
      </c>
      <c r="C98" t="str">
        <v>---&gt;</v>
      </c>
    </row>
    <row r="99" ht="14.25" customHeight="1"/>
    <row r="100" ht="14.25" customHeight="1"/>
    <row r="101" ht="14.25" customHeight="1">
      <c r="B101" t="str">
        <v>Allowances</v>
      </c>
    </row>
    <row r="102" ht="14.25" customHeight="1">
      <c r="A102">
        <v>1</v>
      </c>
    </row>
    <row r="103" ht="14.25" customHeight="1">
      <c r="A103">
        <f>A102+1</f>
        <v>2</v>
      </c>
    </row>
    <row r="104" ht="14.25" customHeight="1">
      <c r="A104">
        <f>A103+1</f>
        <v>3</v>
      </c>
    </row>
    <row r="105" ht="14.25" customHeight="1">
      <c r="A105">
        <f>A104+1</f>
        <v>4</v>
      </c>
    </row>
    <row r="106" ht="14.25" customHeight="1"/>
    <row r="107" ht="14.25" customHeight="1"/>
    <row r="108" ht="14.25" customHeight="1">
      <c r="B108" t="str">
        <v>Alternates</v>
      </c>
    </row>
    <row r="109" ht="14.25" customHeight="1">
      <c r="A109">
        <v>1</v>
      </c>
      <c r="C109" t="str">
        <v>#</v>
      </c>
    </row>
    <row r="110" ht="14.25" customHeight="1">
      <c r="A110">
        <f>A109+1</f>
        <v>2</v>
      </c>
      <c r="C110" t="str">
        <v>#</v>
      </c>
    </row>
    <row r="111" ht="14.25" customHeight="1">
      <c r="A111">
        <f>A110+1</f>
        <v>3</v>
      </c>
      <c r="C111" t="str">
        <v>#</v>
      </c>
    </row>
    <row r="112" ht="14.25" customHeight="1">
      <c r="A112">
        <f>A111+1</f>
        <v>4</v>
      </c>
      <c r="C112" t="str">
        <v>#</v>
      </c>
    </row>
    <row r="113" ht="14.25" customHeight="1">
      <c r="C113" t="str">
        <v>#</v>
      </c>
    </row>
    <row r="114" ht="14.25" customHeight="1">
      <c r="B114" t="str">
        <v>Unit Prices</v>
      </c>
    </row>
    <row r="115" ht="14.25" customHeight="1">
      <c r="A115">
        <v>1</v>
      </c>
      <c r="C115" t="str">
        <v>#</v>
      </c>
    </row>
    <row r="116" ht="14.25" customHeight="1">
      <c r="A116">
        <f>A115+1</f>
        <v>2</v>
      </c>
      <c r="C116" t="str">
        <v>#</v>
      </c>
    </row>
    <row r="117" ht="14.25" customHeight="1">
      <c r="A117">
        <f>A116+1</f>
        <v>3</v>
      </c>
      <c r="C117" t="str">
        <v>#</v>
      </c>
    </row>
    <row r="118" ht="14.25" customHeight="1">
      <c r="A118">
        <f>A117+1</f>
        <v>4</v>
      </c>
      <c r="C118" t="str">
        <v>#</v>
      </c>
    </row>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05 - MISC METALS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SUM(I20:I123,I13:I18)</f>
        <v>0</v>
      </c>
      <c r="K7" t="str">
        <v>Adjustments:</v>
      </c>
      <c r="L7" s="4">
        <f>SUM(L13:L18,L20:L123)</f>
        <v>0</v>
      </c>
      <c r="N7" t="str">
        <v>Adjustments:</v>
      </c>
      <c r="O7" s="4">
        <f>SUM(O13:O18,O20:O123)</f>
        <v>0</v>
      </c>
      <c r="Q7" t="str">
        <v>Adjustments:</v>
      </c>
      <c r="R7" s="4">
        <f>SUM(R13:R18,R20:R123)</f>
        <v>0</v>
      </c>
      <c r="T7" t="str">
        <v>Adjustments:</v>
      </c>
      <c r="U7" s="4">
        <f>SUM(U13:U18,U20:U123)</f>
        <v>0</v>
      </c>
      <c r="W7" t="str">
        <v>Adjustments:</v>
      </c>
      <c r="X7" s="4">
        <f>SUM(X13:X18,X20:X123)</f>
        <v>0</v>
      </c>
      <c r="Z7" t="str">
        <v>Adjustments:</v>
      </c>
      <c r="AA7" s="4">
        <f>SUM(AA13:AA18,AA20:AA123)</f>
        <v>0</v>
      </c>
      <c r="AC7" t="str">
        <v>Adjustments:</v>
      </c>
      <c r="AD7" s="4">
        <f>SUM(AD13:AD18,AD20:AD123)</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Include bent plate or screed angles at edges of metal deck</v>
      </c>
      <c r="C43" t="str">
        <v>Y</v>
      </c>
      <c r="I43" s="8">
        <f>H43*F43</f>
        <v>0</v>
      </c>
    </row>
    <row r="44" ht="14.25" customHeight="1">
      <c r="A44">
        <v>3</v>
      </c>
      <c r="B44" t="str">
        <v>Include all miscellaneous deck support angles</v>
      </c>
      <c r="C44" t="str">
        <v>Y</v>
      </c>
      <c r="I44" s="8">
        <f>H44*F44</f>
        <v>0</v>
      </c>
    </row>
    <row r="45" ht="14.25" customHeight="1">
      <c r="A45">
        <v>4</v>
      </c>
      <c r="B45" t="str">
        <v>Include miscellaneous closures/fillers at gaps in deck prior to concrete pour</v>
      </c>
      <c r="C45" t="str">
        <v>Y</v>
      </c>
      <c r="I45" s="8">
        <f>H45*F45</f>
        <v>0</v>
      </c>
    </row>
    <row r="46" ht="14.25" customHeight="1">
      <c r="A46">
        <v>5</v>
      </c>
      <c r="B46" t="str">
        <v>Elevator sill angles</v>
      </c>
      <c r="C46" t="str">
        <v>Y</v>
      </c>
      <c r="I46" s="8">
        <f>H46*F46</f>
        <v>0</v>
      </c>
    </row>
    <row r="47" ht="14.25" customHeight="1">
      <c r="A47">
        <v>6</v>
      </c>
      <c r="B47" t="str">
        <v>Elevator pit ladders</v>
      </c>
      <c r="C47" t="str">
        <v>Y</v>
      </c>
      <c r="I47" s="8">
        <f>H47*F47</f>
        <v>0</v>
      </c>
    </row>
    <row r="48" ht="14.25" customHeight="1">
      <c r="A48">
        <v>7</v>
      </c>
      <c r="B48" t="str">
        <v>Embedded corner guards in garage and loading dock</v>
      </c>
      <c r="C48" t="str">
        <v>Y</v>
      </c>
      <c r="I48" s="8">
        <f>H48*F48</f>
        <v>0</v>
      </c>
    </row>
    <row r="49" ht="14.25" customHeight="1">
      <c r="A49">
        <v>8</v>
      </c>
      <c r="B49" t="str">
        <v>Pipe guards</v>
      </c>
      <c r="C49" t="str">
        <v>Y</v>
      </c>
      <c r="I49" s="8">
        <f>H49*F49</f>
        <v>0</v>
      </c>
    </row>
    <row r="50" ht="14.25" customHeight="1">
      <c r="A50">
        <v>9</v>
      </c>
      <c r="B50" t="str">
        <v xml:space="preserve">Steel bollards </v>
      </c>
      <c r="C50" t="str">
        <v>Y</v>
      </c>
      <c r="I50" s="8">
        <f>H50*F50</f>
        <v>0</v>
      </c>
    </row>
    <row r="51" ht="14.25" customHeight="1">
      <c r="A51">
        <v>10</v>
      </c>
      <c r="B51" t="str">
        <v>Clip angle bracing at tops of CMU partitions</v>
      </c>
      <c r="C51" t="str">
        <v>Y</v>
      </c>
      <c r="I51" s="8">
        <f>H51*F51</f>
        <v>0</v>
      </c>
    </row>
    <row r="52" ht="14.25" customHeight="1">
      <c r="A52">
        <v>11</v>
      </c>
      <c r="B52" t="str">
        <v>Steel frames at Overhead doors</v>
      </c>
      <c r="C52" t="str">
        <v>Y</v>
      </c>
      <c r="I52" s="8">
        <f>H52*F52</f>
        <v>0</v>
      </c>
    </row>
    <row r="53" ht="14.25" customHeight="1">
      <c r="A53">
        <v>12</v>
      </c>
      <c r="B53" t="str">
        <v>Vanity support framing</v>
      </c>
      <c r="C53" t="str">
        <v>Y</v>
      </c>
      <c r="I53" s="8">
        <f>H53*F53</f>
        <v>0</v>
      </c>
    </row>
    <row r="54" ht="14.25" customHeight="1">
      <c r="A54">
        <v>13</v>
      </c>
      <c r="B54" t="str">
        <v xml:space="preserve">Spandrel frames and/or relieving angles at slab edges </v>
      </c>
      <c r="C54" t="str">
        <v>Y</v>
      </c>
      <c r="I54" s="8">
        <f>H54*F54</f>
        <v>0</v>
      </c>
    </row>
    <row r="55" ht="14.25" customHeight="1">
      <c r="A55">
        <v>14</v>
      </c>
      <c r="B55" t="str">
        <v>Loose lintels</v>
      </c>
      <c r="C55" t="str">
        <v>Y</v>
      </c>
      <c r="I55" s="8">
        <f>H55*F55</f>
        <v>0</v>
      </c>
    </row>
    <row r="56" ht="14.25" customHeight="1">
      <c r="A56">
        <v>15</v>
      </c>
      <c r="B56" t="str">
        <v>Stair nosings at concrete stairs</v>
      </c>
      <c r="C56" t="str">
        <v>Y</v>
      </c>
      <c r="I56" s="8">
        <f>H56*F56</f>
        <v>0</v>
      </c>
    </row>
    <row r="57" ht="14.25" customHeight="1">
      <c r="A57">
        <v>16</v>
      </c>
      <c r="B57" t="str">
        <v>Roof ladders</v>
      </c>
      <c r="C57" t="str">
        <v>Y</v>
      </c>
      <c r="I57" s="8">
        <f>H57*F57</f>
        <v>0</v>
      </c>
    </row>
    <row r="58" ht="14.25" customHeight="1">
      <c r="A58">
        <v>17</v>
      </c>
      <c r="B58" t="str">
        <v>Trench grate covers and embedded frames</v>
      </c>
      <c r="C58" t="str">
        <v>Y</v>
      </c>
      <c r="I58" s="8">
        <f>H58*F58</f>
        <v>0</v>
      </c>
    </row>
    <row r="59" ht="14.25" customHeight="1">
      <c r="A59">
        <v>18</v>
      </c>
      <c r="B59" t="str">
        <v>Elevator sump pit grating and embedded frames</v>
      </c>
      <c r="C59" t="str">
        <v>Y</v>
      </c>
      <c r="I59" s="8">
        <f>H59*F59</f>
        <v>0</v>
      </c>
    </row>
    <row r="60" ht="14.25" customHeight="1">
      <c r="A60">
        <v>19</v>
      </c>
      <c r="C60" t="str">
        <v>Y</v>
      </c>
      <c r="I60" s="8">
        <f>H60*F60</f>
        <v>0</v>
      </c>
    </row>
    <row r="61" ht="14.25" customHeight="1">
      <c r="A61">
        <v>20</v>
      </c>
      <c r="B61" t="str">
        <v>Metal pan stairs</v>
      </c>
      <c r="C61" t="str">
        <v>Y</v>
      </c>
      <c r="I61" s="8">
        <f>H61*F61</f>
        <v>0</v>
      </c>
    </row>
    <row r="62" ht="14.25" customHeight="1">
      <c r="A62">
        <v>21</v>
      </c>
      <c r="B62" t="str">
        <v>Checkered metal plate stairs</v>
      </c>
      <c r="C62" t="str">
        <v>Y</v>
      </c>
      <c r="I62" s="8">
        <f>H62*F62</f>
        <v>0</v>
      </c>
    </row>
    <row r="63" ht="14.25" customHeight="1">
      <c r="A63">
        <v>22</v>
      </c>
      <c r="B63" t="str">
        <v>Include all support steel, hangers, anchors etc for complete assemblies</v>
      </c>
      <c r="C63" t="str">
        <v>Y</v>
      </c>
      <c r="I63" s="8">
        <f>H63*F63</f>
        <v>0</v>
      </c>
    </row>
    <row r="64" ht="14.25" customHeight="1">
      <c r="A64">
        <v>23</v>
      </c>
      <c r="B64" t="str">
        <v>Balustrades and handrails at Egress Stairs</v>
      </c>
      <c r="C64" t="str">
        <v>Y</v>
      </c>
      <c r="I64" s="8">
        <f>H64*F64</f>
        <v>0</v>
      </c>
    </row>
    <row r="65" ht="14.25" customHeight="1">
      <c r="A65">
        <v>24</v>
      </c>
      <c r="B65" t="str">
        <v xml:space="preserve">Include security gates </v>
      </c>
      <c r="C65" t="str">
        <v>Y</v>
      </c>
      <c r="I65" s="8">
        <f>H65*F65</f>
        <v>0</v>
      </c>
    </row>
    <row r="66" ht="14.25" customHeight="1">
      <c r="A66">
        <v>25</v>
      </c>
      <c r="B66" t="str">
        <v>Balustrades and handrails at miscellaneous stairs and ramps</v>
      </c>
      <c r="C66" t="str">
        <v>Y</v>
      </c>
      <c r="I66" s="8">
        <f>H66*F66</f>
        <v>0</v>
      </c>
    </row>
    <row r="67" ht="14.25" customHeight="1">
      <c r="A67">
        <v>26</v>
      </c>
      <c r="C67" t="str">
        <v>Y</v>
      </c>
      <c r="I67" s="8">
        <f>H67*F67</f>
        <v>0</v>
      </c>
    </row>
    <row r="68" ht="14.25" customHeight="1">
      <c r="A68">
        <v>27</v>
      </c>
      <c r="B68" t="str">
        <v>STANDARD / GENERAL SCOPE</v>
      </c>
      <c r="C68" t="str">
        <v>Y</v>
      </c>
      <c r="I68" s="8">
        <f>H68*F68</f>
        <v>0</v>
      </c>
    </row>
    <row r="69" ht="14.25" customHeight="1">
      <c r="A69">
        <v>28</v>
      </c>
      <c r="B69" t="str">
        <v>Include PE calcs &amp; design for connections</v>
      </c>
      <c r="C69" t="str">
        <v>Y</v>
      </c>
      <c r="I69" s="8">
        <f>H69*F69</f>
        <v>0</v>
      </c>
    </row>
    <row r="70" ht="14.25" customHeight="1">
      <c r="A70">
        <v>29</v>
      </c>
      <c r="B70" t="str">
        <v>Provide calcs/PE stamp for stair and railing designs; meet performance req'mts</v>
      </c>
      <c r="C70" t="str">
        <v>Y</v>
      </c>
      <c r="I70" s="8">
        <f>H70*F70</f>
        <v>0</v>
      </c>
    </row>
    <row r="71" ht="14.25" customHeight="1">
      <c r="A71">
        <v>30</v>
      </c>
      <c r="B71" t="str">
        <v>Provide all material, tools, equipment, hoisting, supervision req'd for your work</v>
      </c>
      <c r="C71" t="str">
        <v>Y</v>
      </c>
      <c r="I71" s="8">
        <f>H71*F71</f>
        <v>0</v>
      </c>
    </row>
    <row r="72" ht="14.25" customHeight="1">
      <c r="A72">
        <v>31</v>
      </c>
      <c r="B72" t="str">
        <v>Shop fab holes in steel for connections &amp; for penetrations shown for other trades</v>
      </c>
      <c r="C72" t="str">
        <v>Y</v>
      </c>
      <c r="I72" s="8">
        <f>H72*F72</f>
        <v>0</v>
      </c>
    </row>
    <row r="73" ht="14.25" customHeight="1">
      <c r="A73">
        <v>32</v>
      </c>
      <c r="B73" t="str">
        <v>Bare steel if fireproofed and at connection points; galvanized if exposed to weather, in cavity wall or embedded, shop prime balance of steel</v>
      </c>
      <c r="C73" t="str">
        <v>Y</v>
      </c>
      <c r="I73" s="8">
        <f>H73*F73</f>
        <v>0</v>
      </c>
    </row>
    <row r="74" ht="14.25" customHeight="1">
      <c r="A74">
        <v>33</v>
      </c>
      <c r="B74" t="str">
        <v>Perform all welded and bolted connections; moment connections</v>
      </c>
      <c r="C74" t="str">
        <v>Y</v>
      </c>
      <c r="I74" s="8">
        <f>H74*F74</f>
        <v>0</v>
      </c>
    </row>
    <row r="75" ht="14.25" customHeight="1">
      <c r="A75">
        <v>34</v>
      </c>
      <c r="B75" t="str">
        <v>Grinding of welds &amp; touch up finishes after connections are made</v>
      </c>
      <c r="C75" t="str">
        <v>Y</v>
      </c>
      <c r="I75" s="8">
        <f>H75*F75</f>
        <v>0</v>
      </c>
    </row>
    <row r="76" ht="14.25" customHeight="1">
      <c r="A76">
        <v>35</v>
      </c>
      <c r="B76" t="str">
        <v>Provide temporary bracing, guys during erection as needed</v>
      </c>
      <c r="C76" t="str">
        <v>Y</v>
      </c>
      <c r="I76" s="8">
        <f>H76*F76</f>
        <v>0</v>
      </c>
    </row>
    <row r="77" ht="14.25" customHeight="1">
      <c r="A77">
        <v>36</v>
      </c>
      <c r="B77" t="str">
        <v>Furnish &amp; deliver all embeds to include anchor bolts, weld plates/angles, etc</v>
      </c>
      <c r="C77" t="str">
        <v>Y</v>
      </c>
      <c r="I77" s="8">
        <f>H77*F77</f>
        <v>0</v>
      </c>
    </row>
    <row r="78" ht="14.25" customHeight="1">
      <c r="A78">
        <v>37</v>
      </c>
      <c r="B78" t="str">
        <v>Layout from GC control lines and benchmarks</v>
      </c>
      <c r="C78" t="str">
        <v>Y</v>
      </c>
      <c r="I78" s="8">
        <f>H78*F78</f>
        <v>0</v>
      </c>
    </row>
    <row r="79" ht="14.25" customHeight="1">
      <c r="A79">
        <v>38</v>
      </c>
      <c r="B79" t="str">
        <v>Clean up debris and dispose in MCN dumpster</v>
      </c>
      <c r="C79" t="str">
        <v>Y</v>
      </c>
      <c r="I79" s="8">
        <f>H79*F79</f>
        <v>0</v>
      </c>
    </row>
    <row r="80" ht="14.25" customHeight="1">
      <c r="A80">
        <v>39</v>
      </c>
      <c r="B80" t="str">
        <v>Shop dwgs, samples, product data, certs, test reports, etc</v>
      </c>
      <c r="C80" t="str">
        <v>Y</v>
      </c>
      <c r="I80" s="8">
        <f>H80*F80</f>
        <v>0</v>
      </c>
    </row>
    <row r="81" ht="14.25" customHeight="1">
      <c r="A81">
        <v>40</v>
      </c>
      <c r="B81" t="str">
        <v>Perform all welded &amp; bolted connections</v>
      </c>
      <c r="C81" t="str">
        <v>Y</v>
      </c>
      <c r="I81" s="8">
        <f>H81*F81</f>
        <v>0</v>
      </c>
    </row>
    <row r="82" ht="14.25" customHeight="1">
      <c r="A82">
        <v>41</v>
      </c>
      <c r="B82" t="str">
        <v xml:space="preserve">Provide all fasteners and misc steel for complete assemblies </v>
      </c>
      <c r="C82" t="str">
        <v>Y</v>
      </c>
      <c r="I82" s="8">
        <f>H82*F82</f>
        <v>0</v>
      </c>
    </row>
    <row r="83" ht="14.25" customHeight="1">
      <c r="A83">
        <v>42</v>
      </c>
      <c r="B83" t="str">
        <v>Furnish all embedded items relating to your work (weld plates/angles, anchor bolts, sleeves, etc)</v>
      </c>
      <c r="C83" t="str">
        <v>Y</v>
      </c>
      <c r="I83" s="8">
        <f>H83*F83</f>
        <v>0</v>
      </c>
    </row>
    <row r="84" ht="14.25" customHeight="1">
      <c r="A84">
        <v>43</v>
      </c>
      <c r="B84" t="str">
        <v>Grout railing posts into sleeves, or core drill if sleeves are not furnished</v>
      </c>
      <c r="C84" t="str">
        <v>Y</v>
      </c>
      <c r="I84" s="8">
        <f>H84*F84</f>
        <v>0</v>
      </c>
    </row>
    <row r="85" ht="14.25" customHeight="1">
      <c r="A85">
        <v>44</v>
      </c>
      <c r="B85" t="str">
        <v>Perform field measurements, or modify in field as needed</v>
      </c>
      <c r="C85" t="str">
        <v>Y</v>
      </c>
      <c r="I85" s="8">
        <f>H85*F85</f>
        <v>0</v>
      </c>
    </row>
    <row r="86" ht="14.25" customHeight="1">
      <c r="A86">
        <v>45</v>
      </c>
      <c r="B86" t="str">
        <v>Galvanize if exposed to weather, in wall cavity or embedded; shop prime balance</v>
      </c>
      <c r="C86" t="str">
        <v>Y</v>
      </c>
      <c r="I86" s="8">
        <f>H86*F86</f>
        <v>0</v>
      </c>
    </row>
    <row r="87" ht="14.25" customHeight="1">
      <c r="A87">
        <v>46</v>
      </c>
      <c r="B87" t="str">
        <v>Touch up finishes where damaged by welding, handling</v>
      </c>
      <c r="C87" t="str">
        <v>Y</v>
      </c>
      <c r="I87" s="8">
        <f>H87*F87</f>
        <v>0</v>
      </c>
    </row>
    <row r="88" ht="14.25" customHeight="1">
      <c r="A88">
        <v>47</v>
      </c>
      <c r="C88" t="str">
        <v>Y</v>
      </c>
      <c r="I88" s="8">
        <f>H88*F88</f>
        <v>0</v>
      </c>
    </row>
    <row r="89" ht="14.25" customHeight="1">
      <c r="A89">
        <v>48</v>
      </c>
      <c r="B89" t="str">
        <v>LEED Issues:</v>
      </c>
      <c r="C89" t="str">
        <v>Y</v>
      </c>
      <c r="I89" s="8">
        <f>H89*F89</f>
        <v>0</v>
      </c>
    </row>
    <row r="90" ht="14.25" customHeight="1">
      <c r="A90">
        <v>49</v>
      </c>
      <c r="B90" t="str">
        <v>Use of materials from within 500-mile radius</v>
      </c>
      <c r="C90" t="str">
        <v>Y</v>
      </c>
      <c r="I90" s="8">
        <f>H90*F90</f>
        <v>0</v>
      </c>
    </row>
    <row r="91" ht="14.25" customHeight="1">
      <c r="A91">
        <v>50</v>
      </c>
      <c r="B91" t="str">
        <v>99% recycled content for reinforcement</v>
      </c>
      <c r="C91" t="str">
        <v>Y</v>
      </c>
      <c r="I91" s="8">
        <f>H91*F91</f>
        <v>0</v>
      </c>
    </row>
    <row r="92" ht="14.25" customHeight="1">
      <c r="A92">
        <v>51</v>
      </c>
      <c r="B92" t="str">
        <v>Sorting of debris for recycling</v>
      </c>
      <c r="C92" t="str">
        <v>Y</v>
      </c>
      <c r="I92" s="8">
        <f>H92*F92</f>
        <v>0</v>
      </c>
    </row>
    <row r="93" ht="14.25" customHeight="1">
      <c r="A93">
        <v>52</v>
      </c>
      <c r="B93" t="str">
        <v>EGC documentation</v>
      </c>
      <c r="C93" t="str">
        <v>Y</v>
      </c>
      <c r="I93" s="8">
        <f>H93*F93</f>
        <v>0</v>
      </c>
    </row>
    <row r="94" ht="14.25" customHeight="1">
      <c r="I94" s="8">
        <f>H94*F94</f>
        <v>0</v>
      </c>
    </row>
    <row r="95" ht="14.25" customHeight="1">
      <c r="A95" t="str">
        <v>C</v>
      </c>
      <c r="B95" t="str">
        <v>Exclusions</v>
      </c>
    </row>
    <row r="96" ht="14.25" customHeight="1">
      <c r="A96">
        <v>1</v>
      </c>
      <c r="B96" t="str">
        <v>Testing and Inspection</v>
      </c>
      <c r="C96" t="str">
        <v>No</v>
      </c>
      <c r="D96" t="str">
        <v>by Owner</v>
      </c>
    </row>
    <row r="97" ht="14.25" customHeight="1">
      <c r="A97">
        <f>A96+1</f>
        <v>2</v>
      </c>
      <c r="C97" t="str">
        <v>N</v>
      </c>
    </row>
    <row r="98" ht="14.25" customHeight="1">
      <c r="A98">
        <f>A97+1</f>
        <v>3</v>
      </c>
      <c r="C98" t="str">
        <v>N</v>
      </c>
    </row>
    <row r="99" ht="14.25" customHeight="1">
      <c r="A99">
        <f>A98+1</f>
        <v>4</v>
      </c>
      <c r="C99" t="str">
        <v>N</v>
      </c>
    </row>
    <row r="100" ht="14.25" customHeight="1">
      <c r="A100">
        <f>A99+1</f>
        <v>5</v>
      </c>
      <c r="C100" t="str">
        <v>N</v>
      </c>
    </row>
    <row r="101" ht="14.25" customHeight="1">
      <c r="A101">
        <f>A100+1</f>
        <v>6</v>
      </c>
      <c r="C101" t="str">
        <v>N</v>
      </c>
    </row>
    <row r="102" ht="14.25" customHeight="1">
      <c r="A102">
        <f>A101+1</f>
        <v>7</v>
      </c>
      <c r="C102" t="str">
        <v>N</v>
      </c>
    </row>
    <row r="103" ht="14.25" customHeight="1">
      <c r="A103">
        <f>A102+1</f>
        <v>8</v>
      </c>
      <c r="C103" t="str">
        <v>N</v>
      </c>
    </row>
    <row r="104" ht="14.25" customHeight="1"/>
    <row r="105" ht="14.25" customHeight="1">
      <c r="A105" t="str">
        <v>D</v>
      </c>
      <c r="B105" t="str">
        <v>Schedule</v>
      </c>
    </row>
    <row r="106" ht="14.25" customHeight="1">
      <c r="A106">
        <v>1</v>
      </c>
      <c r="B106" t="str">
        <v>Meet MCN Schedule</v>
      </c>
      <c r="C106" t="str">
        <v>Y</v>
      </c>
    </row>
    <row r="107" ht="14.25" customHeight="1">
      <c r="A107">
        <f>A106+1</f>
        <v>2</v>
      </c>
      <c r="B107" t="str">
        <v>Advise of Durations</v>
      </c>
    </row>
    <row r="108" ht="14.25" customHeight="1">
      <c r="A108">
        <f>A107+1</f>
        <v>3</v>
      </c>
      <c r="B108" t="str">
        <v>Activity 1</v>
      </c>
      <c r="C108" t="str">
        <v>---&gt;</v>
      </c>
    </row>
    <row r="109" ht="14.25" customHeight="1">
      <c r="A109">
        <f>A108+1</f>
        <v>4</v>
      </c>
      <c r="B109" t="str">
        <v>Activity 2</v>
      </c>
      <c r="C109" t="str">
        <v>---&gt;</v>
      </c>
    </row>
    <row r="110" ht="14.25" customHeight="1">
      <c r="A110">
        <f>A109+1</f>
        <v>5</v>
      </c>
      <c r="B110" t="str">
        <v>Activity 3</v>
      </c>
      <c r="C110" t="str">
        <v>---&gt;</v>
      </c>
    </row>
    <row r="111" ht="14.25" customHeight="1">
      <c r="A111">
        <f>A110+1</f>
        <v>6</v>
      </c>
      <c r="B111" t="str">
        <v>Duration for Submittals and Shop Drawings</v>
      </c>
      <c r="C111" t="str">
        <v>---&gt;</v>
      </c>
    </row>
    <row r="112" ht="14.25" customHeight="1">
      <c r="A112">
        <f>A111+1</f>
        <v>7</v>
      </c>
      <c r="B112" t="str">
        <v>Advise of Lead Times:</v>
      </c>
    </row>
    <row r="113" ht="14.25" customHeight="1">
      <c r="A113">
        <f>A112+1</f>
        <v>8</v>
      </c>
      <c r="B113" t="str">
        <v>Material 1</v>
      </c>
      <c r="C113" t="str">
        <v>---&gt;</v>
      </c>
    </row>
    <row r="114" ht="14.25" customHeight="1">
      <c r="A114">
        <f>A113+1</f>
        <v>9</v>
      </c>
      <c r="B114" t="str">
        <v>Material 2</v>
      </c>
      <c r="C114" t="str">
        <v>---&gt;</v>
      </c>
    </row>
    <row r="115" ht="14.25" customHeight="1">
      <c r="A115">
        <f>A114+1</f>
        <v>10</v>
      </c>
      <c r="B115" t="str">
        <v>Material 3</v>
      </c>
      <c r="C115" t="str">
        <v>---&gt;</v>
      </c>
    </row>
    <row r="116" ht="14.25" customHeight="1"/>
    <row r="117" ht="14.25" customHeight="1"/>
    <row r="118" ht="14.25" customHeight="1">
      <c r="B118" t="str">
        <v>Allowances</v>
      </c>
    </row>
    <row r="119" ht="14.25" customHeight="1">
      <c r="A119">
        <v>1</v>
      </c>
    </row>
    <row r="120" ht="14.25" customHeight="1">
      <c r="A120">
        <f>A119+1</f>
        <v>2</v>
      </c>
    </row>
    <row r="121" ht="14.25" customHeight="1">
      <c r="A121">
        <f>A120+1</f>
        <v>3</v>
      </c>
    </row>
    <row r="122" ht="14.25" customHeight="1">
      <c r="A122">
        <f>A121+1</f>
        <v>4</v>
      </c>
    </row>
    <row r="123" ht="14.25" customHeight="1"/>
    <row r="124" ht="14.25" customHeight="1"/>
    <row r="125" ht="14.25" customHeight="1">
      <c r="B125" t="str">
        <v>Alternates</v>
      </c>
    </row>
    <row r="126" ht="14.25" customHeight="1">
      <c r="A126">
        <v>1</v>
      </c>
      <c r="C126" t="str">
        <v>#</v>
      </c>
    </row>
    <row r="127" ht="14.25" customHeight="1">
      <c r="A127">
        <f>A126+1</f>
        <v>2</v>
      </c>
      <c r="C127" t="str">
        <v>#</v>
      </c>
    </row>
    <row r="128" ht="14.25" customHeight="1">
      <c r="A128">
        <f>A127+1</f>
        <v>3</v>
      </c>
      <c r="C128" t="str">
        <v>#</v>
      </c>
    </row>
    <row r="129" ht="14.25" customHeight="1">
      <c r="A129">
        <f>A128+1</f>
        <v>4</v>
      </c>
      <c r="C129" t="str">
        <v>#</v>
      </c>
    </row>
    <row r="130" ht="14.25" customHeight="1">
      <c r="C130" t="str">
        <v>#</v>
      </c>
    </row>
    <row r="131" ht="14.25" customHeight="1">
      <c r="B131" t="str">
        <v>Unit Prices</v>
      </c>
    </row>
    <row r="132" ht="14.25" customHeight="1">
      <c r="A132">
        <v>1</v>
      </c>
      <c r="C132" t="str">
        <v>#</v>
      </c>
    </row>
    <row r="133" ht="14.25" customHeight="1">
      <c r="A133">
        <f>A132+1</f>
        <v>2</v>
      </c>
      <c r="C133" t="str">
        <v>#</v>
      </c>
    </row>
    <row r="134" ht="14.25" customHeight="1">
      <c r="A134">
        <f>A133+1</f>
        <v>3</v>
      </c>
      <c r="C134" t="str">
        <v>#</v>
      </c>
    </row>
    <row r="135" ht="14.25" customHeight="1">
      <c r="A135">
        <f>A134+1</f>
        <v>4</v>
      </c>
      <c r="C135" t="str">
        <v>#</v>
      </c>
    </row>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05 - EXTERIOR RAILINGS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SUM(I20:I108,I13:I18)</f>
        <v>0</v>
      </c>
      <c r="K7" t="str">
        <v>Adjustments:</v>
      </c>
      <c r="L7" s="4">
        <f>SUM(L13:L18,L20:L108)</f>
        <v>0</v>
      </c>
      <c r="N7" t="str">
        <v>Adjustments:</v>
      </c>
      <c r="O7" s="4">
        <f>SUM(O13:O18,O20:O108)</f>
        <v>0</v>
      </c>
      <c r="Q7" t="str">
        <v>Adjustments:</v>
      </c>
      <c r="R7" s="4">
        <f>SUM(R13:R18,R20:R108)</f>
        <v>0</v>
      </c>
      <c r="T7" t="str">
        <v>Adjustments:</v>
      </c>
      <c r="U7" s="4">
        <f>SUM(U13:U18,U20:U108)</f>
        <v>0</v>
      </c>
      <c r="W7" t="str">
        <v>Adjustments:</v>
      </c>
      <c r="X7" s="4">
        <f>SUM(X13:X18,X20:X108)</f>
        <v>0</v>
      </c>
      <c r="Z7" t="str">
        <v>Adjustments:</v>
      </c>
      <c r="AA7" s="4">
        <f>SUM(AA13:AA18,AA20:AA108)</f>
        <v>0</v>
      </c>
      <c r="AC7" t="str">
        <v>Adjustments:</v>
      </c>
      <c r="AD7" s="4">
        <f>SUM(AD13:AD18,AD20:AD108)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Aluminum balcony railings</v>
      </c>
      <c r="C43" t="str">
        <v>Y</v>
      </c>
      <c r="I43" s="8">
        <f>H43*F43</f>
        <v>0</v>
      </c>
    </row>
    <row r="44" ht="14.25" customHeight="1">
      <c r="A44">
        <v>3</v>
      </c>
      <c r="B44" t="str">
        <v>Scope the specified railing post + rail materials</v>
      </c>
      <c r="C44" t="str">
        <v>Y</v>
      </c>
      <c r="I44" s="8">
        <f>H44*F44</f>
        <v>0</v>
      </c>
    </row>
    <row r="45" ht="14.25" customHeight="1">
      <c r="A45">
        <v>4</v>
      </c>
      <c r="B45" t="str">
        <v>Some railing subcontractors specialize in aluminum railings only (Atlantic Aluminum, Carfaro, RGS), and do not provide steel and/or stainless steel - Hercules Custom Iron is a good choice for all railings of all materials</v>
      </c>
      <c r="C45" t="str">
        <v>Y</v>
      </c>
      <c r="I45" s="8">
        <f>H45*F45</f>
        <v>0</v>
      </c>
    </row>
    <row r="46" ht="14.25" customHeight="1">
      <c r="A46">
        <v>5</v>
      </c>
      <c r="B46" t="str">
        <v>If the railings are steel and/or stainless steel the misc metal and/or ornamental subctonractors are more likely to pick up the railings, although you will have to point them in that direction</v>
      </c>
      <c r="C46" t="str">
        <v>Y</v>
      </c>
      <c r="I46" s="8">
        <f>H46*F46</f>
        <v>0</v>
      </c>
    </row>
    <row r="47" ht="14.25" customHeight="1">
      <c r="A47">
        <v>6</v>
      </c>
      <c r="B47" t="str">
        <v>[List the IBC Code that governs the project - significant changes were made in the 2009 + 2012 Codes]</v>
      </c>
      <c r="C47" t="str">
        <v>Y</v>
      </c>
      <c r="I47" s="8">
        <f>H47*F47</f>
        <v>0</v>
      </c>
    </row>
    <row r="48" ht="14.25" customHeight="1">
      <c r="A48">
        <v>7</v>
      </c>
      <c r="B48" t="str">
        <v>Scope the size + spacing of the posts (check drawings + specs for conflicts)</v>
      </c>
      <c r="C48" t="str">
        <v>Y</v>
      </c>
      <c r="I48" s="8">
        <f>H48*F48</f>
        <v>0</v>
      </c>
    </row>
    <row r="49" ht="14.25" customHeight="1">
      <c r="A49">
        <v>8</v>
      </c>
      <c r="B49" t="str">
        <v>Scope the number of hoirzontal rails (2-line, 3-line, etc) - check drawings + specs for conflicts</v>
      </c>
      <c r="C49" t="str">
        <v>Y</v>
      </c>
      <c r="I49" s="8">
        <f>H49*F49</f>
        <v>0</v>
      </c>
    </row>
    <row r="50" ht="14.25" customHeight="1">
      <c r="A50">
        <v>9</v>
      </c>
      <c r="B50" t="str">
        <v>Scope the profile of the top rail - this is often proprietary</v>
      </c>
      <c r="C50" t="str">
        <v>Y</v>
      </c>
      <c r="I50" s="8">
        <f>H50*F50</f>
        <v>0</v>
      </c>
    </row>
    <row r="51" ht="14.25" customHeight="1">
      <c r="A51">
        <v>10</v>
      </c>
      <c r="B51" t="str">
        <v>Scope the infill between horizontal rails (vertical pickets, mesh infill, etc)</v>
      </c>
      <c r="C51" t="str">
        <v>Y</v>
      </c>
      <c r="I51" s="8">
        <f>H51*F51</f>
        <v>0</v>
      </c>
    </row>
    <row r="52" ht="14.25" customHeight="1">
      <c r="A52">
        <v>11</v>
      </c>
      <c r="B52" t="str">
        <v>Scope the type of post mounting to the structure</v>
      </c>
      <c r="C52" t="str">
        <v>Y</v>
      </c>
      <c r="I52" s="8">
        <f>H52*F52</f>
        <v>0</v>
      </c>
    </row>
    <row r="53" ht="14.25" customHeight="1">
      <c r="A53">
        <v>12</v>
      </c>
      <c r="B53" t="str">
        <v>Typical railing manufacturer's will want to mount their posts to the top of slab</v>
      </c>
      <c r="C53" t="str">
        <v>Y</v>
      </c>
      <c r="I53" s="8">
        <f>H53*F53</f>
        <v>0</v>
      </c>
    </row>
    <row r="54" ht="14.25" customHeight="1">
      <c r="A54">
        <v>13</v>
      </c>
      <c r="B54" t="str">
        <v>Cantilevered post mountings (to the outside face of slab) can add significant costs as the installers will now have to have access to the outside of the building from lifts and/or swingstages</v>
      </c>
      <c r="C54" t="str">
        <v>Y</v>
      </c>
      <c r="I54" s="8">
        <f>H54*F54</f>
        <v>0</v>
      </c>
    </row>
    <row r="55" ht="14.25" customHeight="1">
      <c r="A55">
        <v>14</v>
      </c>
      <c r="B55" t="str">
        <v>Scope the spedified finish</v>
      </c>
      <c r="C55" t="str">
        <v>Y</v>
      </c>
      <c r="I55" s="8">
        <f>H55*F55</f>
        <v>0</v>
      </c>
    </row>
    <row r="56" ht="14.25" customHeight="1">
      <c r="A56">
        <v>15</v>
      </c>
      <c r="B56" t="str">
        <v>AAMA 2605 finishes are NOT appropriate for aluminum railings as these finishes are soft and easily scratched - AAMA 2603 + AAMA 2604 are both  apprpriate aluminum railing finishes</v>
      </c>
      <c r="C56" t="str">
        <v>Y</v>
      </c>
      <c r="I56" s="8">
        <f>H56*F56</f>
        <v>0</v>
      </c>
    </row>
    <row r="57" ht="14.25" customHeight="1">
      <c r="A57">
        <v>16</v>
      </c>
      <c r="B57" t="str">
        <v>Investigate how the ends of the railings are to be anchored</v>
      </c>
      <c r="C57" t="str">
        <v>Y</v>
      </c>
      <c r="I57" s="8">
        <f>H57*F57</f>
        <v>0</v>
      </c>
    </row>
    <row r="58" ht="14.25" customHeight="1">
      <c r="A58">
        <v>17</v>
      </c>
      <c r="B58" t="str">
        <v>If the ends are posts attached to the slab then the railing sub will be the only sub invovled</v>
      </c>
      <c r="C58" t="str">
        <v>Y</v>
      </c>
      <c r="I58" s="8">
        <f>H58*F58</f>
        <v>0</v>
      </c>
    </row>
    <row r="59" ht="14.25" customHeight="1">
      <c r="A59">
        <v>18</v>
      </c>
      <c r="B59" t="str">
        <v>If the railing ends are attached to the wall then blocking will need to be added into the wall (scope blocking with Framer or Drywall depending upon wall construction) and an appropriate detail through the exterior finish provided by the Architect</v>
      </c>
      <c r="C59" t="str">
        <v>Y</v>
      </c>
      <c r="I59" s="8">
        <f>H59*F59</f>
        <v>0</v>
      </c>
    </row>
    <row r="60" ht="14.25" customHeight="1">
      <c r="A60">
        <v>19</v>
      </c>
      <c r="C60" t="str">
        <v>Y</v>
      </c>
      <c r="I60" s="8">
        <f>H60*F60</f>
        <v>0</v>
      </c>
    </row>
    <row r="61" ht="14.25" customHeight="1">
      <c r="A61">
        <v>20</v>
      </c>
      <c r="B61" t="str">
        <v>STANDARD / GENERAL SCOPE</v>
      </c>
      <c r="C61" t="str">
        <v>Y</v>
      </c>
      <c r="I61" s="8">
        <f>H61*F61</f>
        <v>0</v>
      </c>
    </row>
    <row r="62" ht="14.25" customHeight="1">
      <c r="A62">
        <v>21</v>
      </c>
      <c r="B62" t="str">
        <v>Provide all material, tools, equipment, hoisting, supervision req'd for your work</v>
      </c>
      <c r="C62" t="str">
        <v>Y</v>
      </c>
      <c r="I62" s="8">
        <f>H62*F62</f>
        <v>0</v>
      </c>
    </row>
    <row r="63" ht="14.25" customHeight="1">
      <c r="A63">
        <v>22</v>
      </c>
      <c r="B63" t="str">
        <v>Perform all welded &amp; bolted connections</v>
      </c>
      <c r="C63" t="str">
        <v>Y</v>
      </c>
      <c r="I63" s="8">
        <f>H63*F63</f>
        <v>0</v>
      </c>
    </row>
    <row r="64" ht="14.25" customHeight="1">
      <c r="A64">
        <v>23</v>
      </c>
      <c r="B64" t="str">
        <v xml:space="preserve">Provide all fasteners and misc steel for complete assemblies </v>
      </c>
      <c r="C64" t="str">
        <v>Y</v>
      </c>
      <c r="I64" s="8">
        <f>H64*F64</f>
        <v>0</v>
      </c>
    </row>
    <row r="65" ht="14.25" customHeight="1">
      <c r="A65">
        <v>24</v>
      </c>
      <c r="B65" t="str">
        <v>Provide calcs/PE stamp for stair and railing designs; meet performance req'mts</v>
      </c>
      <c r="C65" t="str">
        <v>Y</v>
      </c>
      <c r="I65" s="8">
        <f>H65*F65</f>
        <v>0</v>
      </c>
    </row>
    <row r="66" ht="14.25" customHeight="1">
      <c r="A66">
        <v>25</v>
      </c>
      <c r="B66" t="str">
        <v>Furnish all embedded items relating to your work (weld plates/angles, anchor bolts, sleeves, etc)</v>
      </c>
      <c r="C66" t="str">
        <v>Y</v>
      </c>
      <c r="I66" s="8">
        <f>H66*F66</f>
        <v>0</v>
      </c>
    </row>
    <row r="67" ht="14.25" customHeight="1">
      <c r="A67">
        <v>26</v>
      </c>
      <c r="B67" t="str">
        <v>Grout railing posts into sleeves, or core drill if sleeves are not furnished</v>
      </c>
      <c r="C67" t="str">
        <v>Y</v>
      </c>
      <c r="I67" s="8">
        <f>H67*F67</f>
        <v>0</v>
      </c>
    </row>
    <row r="68" ht="14.25" customHeight="1">
      <c r="A68">
        <v>27</v>
      </c>
      <c r="B68" t="str">
        <v>Perform field measurements, or modify in field as needed</v>
      </c>
      <c r="C68" t="str">
        <v>Y</v>
      </c>
      <c r="I68" s="8">
        <f>H68*F68</f>
        <v>0</v>
      </c>
    </row>
    <row r="69" ht="14.25" customHeight="1">
      <c r="A69">
        <v>28</v>
      </c>
      <c r="B69" t="str">
        <v>Provide finishes as indicated</v>
      </c>
      <c r="C69" t="str">
        <v>Y</v>
      </c>
      <c r="I69" s="8">
        <f>H69*F69</f>
        <v>0</v>
      </c>
    </row>
    <row r="70" ht="14.25" customHeight="1">
      <c r="A70">
        <v>29</v>
      </c>
      <c r="B70" t="str">
        <v xml:space="preserve">Shop dwgs, submittals, product data, test reports, certs, etc </v>
      </c>
      <c r="C70" t="str">
        <v>Y</v>
      </c>
      <c r="I70" s="8">
        <f>H70*F70</f>
        <v>0</v>
      </c>
    </row>
    <row r="71" ht="14.25" customHeight="1">
      <c r="A71">
        <v>30</v>
      </c>
      <c r="B71" t="str">
        <v>Layout from GC control lines and benchmarks</v>
      </c>
      <c r="C71" t="str">
        <v>Y</v>
      </c>
      <c r="I71" s="8">
        <f>H71*F71</f>
        <v>0</v>
      </c>
    </row>
    <row r="72" ht="14.25" customHeight="1">
      <c r="A72">
        <v>31</v>
      </c>
      <c r="B72" t="str">
        <v>Clean up debris and dispose in MCN dumpster</v>
      </c>
      <c r="C72" t="str">
        <v>Y</v>
      </c>
      <c r="I72" s="8">
        <f>H72*F72</f>
        <v>0</v>
      </c>
    </row>
    <row r="73" ht="14.25" customHeight="1">
      <c r="A73">
        <v>32</v>
      </c>
      <c r="C73" t="str">
        <v>Y</v>
      </c>
      <c r="I73" s="8">
        <f>H73*F73</f>
        <v>0</v>
      </c>
    </row>
    <row r="74" ht="14.25" customHeight="1">
      <c r="A74">
        <v>33</v>
      </c>
      <c r="B74" t="str">
        <v>LEED Issues:</v>
      </c>
      <c r="C74" t="str">
        <v>Y</v>
      </c>
      <c r="I74" s="8">
        <f>H74*F74</f>
        <v>0</v>
      </c>
    </row>
    <row r="75" ht="14.25" customHeight="1">
      <c r="A75">
        <v>34</v>
      </c>
      <c r="B75" t="str">
        <v>Fabrication within 500-mile radius</v>
      </c>
      <c r="C75" t="str">
        <v>Y</v>
      </c>
      <c r="I75" s="8">
        <f>H75*F75</f>
        <v>0</v>
      </c>
    </row>
    <row r="76" ht="14.25" customHeight="1">
      <c r="A76">
        <v>35</v>
      </c>
      <c r="B76" t="str">
        <v>High recycled content for steel</v>
      </c>
      <c r="C76" t="str">
        <v>Y</v>
      </c>
      <c r="I76" s="8">
        <f>H76*F76</f>
        <v>0</v>
      </c>
    </row>
    <row r="77" ht="14.25" customHeight="1">
      <c r="A77">
        <v>36</v>
      </c>
      <c r="B77" t="str">
        <v>Sorting of debris for recycling</v>
      </c>
      <c r="C77" t="str">
        <v>Y</v>
      </c>
      <c r="I77" s="8">
        <f>H77*F77</f>
        <v>0</v>
      </c>
    </row>
    <row r="78" ht="14.25" customHeight="1">
      <c r="A78">
        <v>37</v>
      </c>
      <c r="B78" t="str">
        <v>LEED documentation</v>
      </c>
      <c r="C78" t="str">
        <v>Y</v>
      </c>
      <c r="I78" s="8">
        <f>H78*F78</f>
        <v>0</v>
      </c>
    </row>
    <row r="79" ht="14.25" customHeight="1">
      <c r="I79" s="8">
        <f>H79*F79</f>
        <v>0</v>
      </c>
    </row>
    <row r="80" ht="14.25" customHeight="1">
      <c r="A80" t="str">
        <v>C</v>
      </c>
      <c r="B80" t="str">
        <v>Exclusions</v>
      </c>
    </row>
    <row r="81" ht="14.25" customHeight="1">
      <c r="A81">
        <v>1</v>
      </c>
      <c r="B81" t="str">
        <v>Miscellaneous metals items</v>
      </c>
      <c r="C81" t="str">
        <v>N</v>
      </c>
      <c r="D81" t="str">
        <v>by metals</v>
      </c>
    </row>
    <row r="82" ht="14.25" customHeight="1">
      <c r="A82">
        <f>A81+1</f>
        <v>2</v>
      </c>
      <c r="B82" t="str">
        <v>Metal strips in stone/terrazzo flooring</v>
      </c>
      <c r="C82" t="str">
        <v>N</v>
      </c>
      <c r="D82" t="str">
        <v>by stone</v>
      </c>
    </row>
    <row r="83" ht="14.25" customHeight="1">
      <c r="A83">
        <f>A82+1</f>
        <v>3</v>
      </c>
      <c r="B83" t="str">
        <v>Ornamental metal trim in millwork paneling; reception desk</v>
      </c>
      <c r="C83" t="str">
        <v>N</v>
      </c>
      <c r="D83" t="str">
        <v>by millwork</v>
      </c>
    </row>
    <row r="84" ht="14.25" customHeight="1">
      <c r="A84">
        <f>A83+1</f>
        <v>4</v>
      </c>
      <c r="C84" t="str">
        <v>N</v>
      </c>
    </row>
    <row r="85" ht="14.25" customHeight="1">
      <c r="A85">
        <f>A84+1</f>
        <v>5</v>
      </c>
      <c r="C85" t="str">
        <v>N</v>
      </c>
    </row>
    <row r="86" ht="14.25" customHeight="1">
      <c r="A86">
        <f>A85+1</f>
        <v>6</v>
      </c>
      <c r="C86" t="str">
        <v>N</v>
      </c>
    </row>
    <row r="87" ht="14.25" customHeight="1">
      <c r="A87">
        <f>A86+1</f>
        <v>7</v>
      </c>
      <c r="C87" t="str">
        <v>N</v>
      </c>
    </row>
    <row r="88" ht="14.25" customHeight="1">
      <c r="A88">
        <f>A87+1</f>
        <v>8</v>
      </c>
      <c r="C88" t="str">
        <v>N</v>
      </c>
    </row>
    <row r="89" ht="14.25" customHeight="1"/>
    <row r="90" ht="14.25" customHeight="1">
      <c r="A90" t="str">
        <v>D</v>
      </c>
      <c r="B90" t="str">
        <v>Schedule</v>
      </c>
    </row>
    <row r="91" ht="14.25" customHeight="1">
      <c r="A91">
        <v>1</v>
      </c>
      <c r="B91" t="str">
        <v>Meet MCN Schedule</v>
      </c>
      <c r="C91" t="str">
        <v>Y</v>
      </c>
    </row>
    <row r="92" ht="14.25" customHeight="1">
      <c r="A92">
        <f>A91+1</f>
        <v>2</v>
      </c>
      <c r="B92" t="str">
        <v>Advise of Durations</v>
      </c>
    </row>
    <row r="93" ht="14.25" customHeight="1">
      <c r="A93">
        <f>A92+1</f>
        <v>3</v>
      </c>
      <c r="B93" t="str">
        <v>Activity 1</v>
      </c>
      <c r="C93" t="str">
        <v>---&gt;</v>
      </c>
    </row>
    <row r="94" ht="14.25" customHeight="1">
      <c r="A94">
        <f>A93+1</f>
        <v>4</v>
      </c>
      <c r="B94" t="str">
        <v>Activity 2</v>
      </c>
      <c r="C94" t="str">
        <v>---&gt;</v>
      </c>
    </row>
    <row r="95" ht="14.25" customHeight="1">
      <c r="A95">
        <f>A94+1</f>
        <v>5</v>
      </c>
      <c r="B95" t="str">
        <v>Activity 3</v>
      </c>
      <c r="C95" t="str">
        <v>---&gt;</v>
      </c>
    </row>
    <row r="96" ht="14.25" customHeight="1">
      <c r="A96">
        <f>A95+1</f>
        <v>6</v>
      </c>
      <c r="B96" t="str">
        <v>Duration for Submittals and Shop Drawings</v>
      </c>
      <c r="C96" t="str">
        <v>---&gt;</v>
      </c>
    </row>
    <row r="97" ht="14.25" customHeight="1">
      <c r="A97">
        <f>A96+1</f>
        <v>7</v>
      </c>
      <c r="B97" t="str">
        <v>Advise of Lead Times:</v>
      </c>
    </row>
    <row r="98" ht="14.25" customHeight="1">
      <c r="A98">
        <f>A97+1</f>
        <v>8</v>
      </c>
      <c r="B98" t="str">
        <v>Material 1</v>
      </c>
      <c r="C98" t="str">
        <v>---&gt;</v>
      </c>
    </row>
    <row r="99" ht="14.25" customHeight="1">
      <c r="A99">
        <f>A98+1</f>
        <v>9</v>
      </c>
      <c r="B99" t="str">
        <v>Material 2</v>
      </c>
      <c r="C99" t="str">
        <v>---&gt;</v>
      </c>
    </row>
    <row r="100" ht="14.25" customHeight="1">
      <c r="A100">
        <f>A99+1</f>
        <v>10</v>
      </c>
      <c r="B100" t="str">
        <v>Material 3</v>
      </c>
      <c r="C100" t="str">
        <v>---&gt;</v>
      </c>
    </row>
    <row r="101" ht="14.25" customHeight="1"/>
    <row r="102" ht="14.25" customHeight="1"/>
    <row r="103" ht="14.25" customHeight="1">
      <c r="B103" t="str">
        <v>Allowances</v>
      </c>
    </row>
    <row r="104" ht="14.25" customHeight="1">
      <c r="A104">
        <v>1</v>
      </c>
    </row>
    <row r="105" ht="14.25" customHeight="1">
      <c r="A105">
        <f>A104+1</f>
        <v>2</v>
      </c>
    </row>
    <row r="106" ht="14.25" customHeight="1">
      <c r="A106">
        <f>A105+1</f>
        <v>3</v>
      </c>
    </row>
    <row r="107" ht="14.25" customHeight="1">
      <c r="A107">
        <f>A106+1</f>
        <v>4</v>
      </c>
    </row>
    <row r="108" ht="14.25" customHeight="1"/>
    <row r="109" ht="14.25" customHeight="1"/>
    <row r="110" ht="14.25" customHeight="1">
      <c r="B110" t="str">
        <v>Alternates</v>
      </c>
    </row>
    <row r="111" ht="14.25" customHeight="1">
      <c r="A111">
        <v>1</v>
      </c>
      <c r="C111" t="str">
        <v>#</v>
      </c>
    </row>
    <row r="112" ht="14.25" customHeight="1">
      <c r="A112">
        <f>A111+1</f>
        <v>2</v>
      </c>
      <c r="C112" t="str">
        <v>#</v>
      </c>
    </row>
    <row r="113" ht="14.25" customHeight="1">
      <c r="A113">
        <f>A112+1</f>
        <v>3</v>
      </c>
      <c r="C113" t="str">
        <v>#</v>
      </c>
    </row>
    <row r="114" ht="14.25" customHeight="1">
      <c r="A114">
        <f>A113+1</f>
        <v>4</v>
      </c>
      <c r="C114" t="str">
        <v>#</v>
      </c>
    </row>
    <row r="115" ht="14.25" customHeight="1">
      <c r="C115" t="str">
        <v>#</v>
      </c>
    </row>
    <row r="116" ht="14.25" customHeight="1">
      <c r="B116" t="str">
        <v>Unit Prices</v>
      </c>
    </row>
    <row r="117" ht="14.25" customHeight="1">
      <c r="A117">
        <v>1</v>
      </c>
      <c r="C117" t="str">
        <v>#</v>
      </c>
    </row>
    <row r="118" ht="14.25" customHeight="1">
      <c r="A118">
        <f>A117+1</f>
        <v>2</v>
      </c>
      <c r="C118" t="str">
        <v>#</v>
      </c>
    </row>
    <row r="119" ht="14.25" customHeight="1">
      <c r="A119">
        <f>A118+1</f>
        <v>3</v>
      </c>
      <c r="C119" t="str">
        <v>#</v>
      </c>
    </row>
    <row r="120" ht="14.25" customHeight="1">
      <c r="A120">
        <f>A119+1</f>
        <v>4</v>
      </c>
      <c r="C120" t="str">
        <v>#</v>
      </c>
    </row>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Pillar</v>
      </c>
      <c r="N2" t="str">
        <v>Edon Corp</v>
      </c>
      <c r="Q2" t="str">
        <v>Stromberg Architectural</v>
      </c>
      <c r="T2" t="str">
        <v>Denoto Precast</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06 - FIBER REINFORCED PLASTICS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SUM(I20:I73,I13:I18)</f>
        <v>0</v>
      </c>
      <c r="K7" t="str">
        <v>Adjustments:</v>
      </c>
      <c r="L7" s="4">
        <f>SUM(L13:L18,L20:L73)</f>
        <v>0</v>
      </c>
      <c r="N7" t="str">
        <v>Adjustments:</v>
      </c>
      <c r="O7" s="4">
        <f>SUM(O13:O18,O20:O73)</f>
        <v>0</v>
      </c>
      <c r="Q7" t="str">
        <v>Adjustments:</v>
      </c>
      <c r="R7" s="4">
        <f>SUM(R13:R18,R20:R73)</f>
        <v>0</v>
      </c>
      <c r="T7" t="str">
        <v>Adjustments:</v>
      </c>
      <c r="U7" s="4">
        <f>SUM(U13:U18,U20:U73)</f>
        <v>0</v>
      </c>
      <c r="W7" t="str">
        <v>Adjustments:</v>
      </c>
      <c r="X7" s="4">
        <f>SUM(X13:X18,X20:X73)</f>
        <v>0</v>
      </c>
      <c r="Z7" t="str">
        <v>Adjustments:</v>
      </c>
      <c r="AA7" s="4">
        <f>SUM(AA13:AA18,AA20:AA73)</f>
        <v>0</v>
      </c>
      <c r="AC7" t="str">
        <v>Adjustments:</v>
      </c>
      <c r="AD7" s="4">
        <f>SUM(AD13:AD18,AD20:AD73)</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Fiberglass</v>
      </c>
      <c r="C43" t="str">
        <v>Y</v>
      </c>
      <c r="I43" s="8">
        <f>H43*F43</f>
        <v>0</v>
      </c>
    </row>
    <row r="44" ht="14.25" customHeight="1">
      <c r="A44">
        <v>3</v>
      </c>
      <c r="B44" t="str">
        <v>Furnish and deliver (FOB jobsite) all fiberglass façade elements</v>
      </c>
      <c r="C44" t="str">
        <v>Y</v>
      </c>
      <c r="I44" s="8">
        <f>H44*F44</f>
        <v>0</v>
      </c>
    </row>
    <row r="45" ht="14.25" customHeight="1">
      <c r="A45">
        <v>4</v>
      </c>
      <c r="B45" t="str">
        <v>Fabricate with molds to the sizes, dimensions, profiles indicated</v>
      </c>
      <c r="C45" t="str">
        <v>Y</v>
      </c>
      <c r="I45" s="8">
        <f>H45*F45</f>
        <v>0</v>
      </c>
    </row>
    <row r="46" ht="14.25" customHeight="1">
      <c r="A46">
        <v>5</v>
      </c>
      <c r="B46" t="str">
        <v>Color and finish per spec</v>
      </c>
      <c r="C46" t="str">
        <v>Y</v>
      </c>
      <c r="I46" s="8">
        <f>H46*F46</f>
        <v>0</v>
      </c>
    </row>
    <row r="47" ht="14.25" customHeight="1">
      <c r="A47">
        <v>6</v>
      </c>
      <c r="B47" t="str">
        <v>Include back-up framing/internal reinforment designed &amp; engineered to withstand loads and allow a "panelized" installation to building framing</v>
      </c>
      <c r="C47" t="str">
        <v>Y</v>
      </c>
      <c r="I47" s="8">
        <f>H47*F47</f>
        <v>0</v>
      </c>
    </row>
    <row r="48" ht="14.25" customHeight="1">
      <c r="A48">
        <v>7</v>
      </c>
      <c r="C48" t="str">
        <v>Y</v>
      </c>
      <c r="I48" s="8">
        <f>H48*F48</f>
        <v>0</v>
      </c>
    </row>
    <row r="49" ht="14.25" customHeight="1">
      <c r="A49">
        <v>8</v>
      </c>
      <c r="B49" t="str">
        <v>STANDARD / GENERAL SCOPE</v>
      </c>
      <c r="C49" t="str">
        <v>Y</v>
      </c>
      <c r="I49" s="8">
        <f>H49*F49</f>
        <v>0</v>
      </c>
    </row>
    <row r="50" ht="14.25" customHeight="1">
      <c r="A50">
        <v>9</v>
      </c>
      <c r="B50" t="str">
        <v>Shop dwgs, samples, product data, certs, test reports, etc</v>
      </c>
      <c r="C50" t="str">
        <v>Y</v>
      </c>
      <c r="I50" s="8">
        <f>H50*F50</f>
        <v>0</v>
      </c>
    </row>
    <row r="51" ht="14.25" customHeight="1">
      <c r="I51" s="8">
        <f>H51*F51</f>
        <v>0</v>
      </c>
    </row>
    <row r="52" ht="14.25" customHeight="1">
      <c r="A52" t="str">
        <v>C</v>
      </c>
      <c r="B52" t="str">
        <v>Exclusions</v>
      </c>
    </row>
    <row r="53" ht="14.25" customHeight="1">
      <c r="A53">
        <v>1</v>
      </c>
      <c r="B53" t="str">
        <v>Wood blocking and plywood</v>
      </c>
      <c r="C53" t="str">
        <v>N</v>
      </c>
      <c r="D53" t="str">
        <v>by Carpentry</v>
      </c>
    </row>
    <row r="54" ht="14.25" customHeight="1"/>
    <row r="55" ht="14.25" customHeight="1">
      <c r="A55" t="str">
        <v>D</v>
      </c>
      <c r="B55" t="str">
        <v>Schedule</v>
      </c>
    </row>
    <row r="56" ht="14.25" customHeight="1">
      <c r="A56">
        <v>1</v>
      </c>
      <c r="B56" t="str">
        <v>Meet MCN Schedule</v>
      </c>
      <c r="C56" t="str">
        <v>Y</v>
      </c>
    </row>
    <row r="57" ht="14.25" customHeight="1">
      <c r="A57">
        <f>A56+1</f>
        <v>2</v>
      </c>
      <c r="B57" t="str">
        <v>Advise of Durations</v>
      </c>
    </row>
    <row r="58" ht="14.25" customHeight="1">
      <c r="A58">
        <f>A57+1</f>
        <v>3</v>
      </c>
      <c r="B58" t="str">
        <v>Activity 1</v>
      </c>
      <c r="C58" t="str">
        <v>---&gt;</v>
      </c>
    </row>
    <row r="59" ht="14.25" customHeight="1">
      <c r="A59">
        <f>A58+1</f>
        <v>4</v>
      </c>
      <c r="B59" t="str">
        <v>Activity 2</v>
      </c>
      <c r="C59" t="str">
        <v>---&gt;</v>
      </c>
    </row>
    <row r="60" ht="14.25" customHeight="1">
      <c r="A60">
        <f>A59+1</f>
        <v>5</v>
      </c>
      <c r="B60" t="str">
        <v>Activity 3</v>
      </c>
      <c r="C60" t="str">
        <v>---&gt;</v>
      </c>
    </row>
    <row r="61" ht="14.25" customHeight="1">
      <c r="A61">
        <f>A60+1</f>
        <v>6</v>
      </c>
      <c r="B61" t="str">
        <v>Duration for Submittals and Shop Drawings</v>
      </c>
      <c r="C61" t="str">
        <v>---&gt;</v>
      </c>
    </row>
    <row r="62" ht="14.25" customHeight="1">
      <c r="A62">
        <f>A61+1</f>
        <v>7</v>
      </c>
      <c r="B62" t="str">
        <v>Advise of Lead Times:</v>
      </c>
    </row>
    <row r="63" ht="14.25" customHeight="1">
      <c r="A63">
        <f>A62+1</f>
        <v>8</v>
      </c>
      <c r="B63" t="str">
        <v>Material 1</v>
      </c>
      <c r="C63" t="str">
        <v>---&gt;</v>
      </c>
    </row>
    <row r="64" ht="14.25" customHeight="1">
      <c r="A64">
        <f>A63+1</f>
        <v>9</v>
      </c>
      <c r="B64" t="str">
        <v>Material 2</v>
      </c>
      <c r="C64" t="str">
        <v>---&gt;</v>
      </c>
    </row>
    <row r="65" ht="14.25" customHeight="1">
      <c r="A65">
        <f>A64+1</f>
        <v>10</v>
      </c>
      <c r="B65" t="str">
        <v>Material 3</v>
      </c>
      <c r="C65" t="str">
        <v>---&gt;</v>
      </c>
    </row>
    <row r="66" ht="14.25" customHeight="1"/>
    <row r="67" ht="14.25" customHeight="1"/>
    <row r="68" ht="14.25" customHeight="1">
      <c r="B68" t="str">
        <v>Allowances</v>
      </c>
    </row>
    <row r="69" ht="14.25" customHeight="1">
      <c r="A69">
        <v>1</v>
      </c>
    </row>
    <row r="70" ht="14.25" customHeight="1">
      <c r="A70">
        <f>A69+1</f>
        <v>2</v>
      </c>
    </row>
    <row r="71" ht="14.25" customHeight="1">
      <c r="A71">
        <f>A70+1</f>
        <v>3</v>
      </c>
    </row>
    <row r="72" ht="14.25" customHeight="1">
      <c r="A72">
        <f>A71+1</f>
        <v>4</v>
      </c>
    </row>
    <row r="73" ht="14.25" customHeight="1"/>
    <row r="74" ht="14.25" customHeight="1"/>
    <row r="75" ht="14.25" customHeight="1">
      <c r="B75" t="str">
        <v>Alternates</v>
      </c>
    </row>
    <row r="76" ht="14.25" customHeight="1">
      <c r="A76">
        <v>1</v>
      </c>
      <c r="B76" t="str">
        <v>Provide an add price to erect fiberglass (include unloading, equipment, hoisting, supervision, clean up, etc)</v>
      </c>
      <c r="C76" t="str">
        <v>#</v>
      </c>
    </row>
    <row r="77" ht="14.25" customHeight="1">
      <c r="A77">
        <f>A76+1</f>
        <v>2</v>
      </c>
      <c r="C77" t="str">
        <v>#</v>
      </c>
    </row>
    <row r="78" ht="14.25" customHeight="1">
      <c r="A78">
        <f>A77+1</f>
        <v>3</v>
      </c>
      <c r="C78" t="str">
        <v>#</v>
      </c>
    </row>
    <row r="79" ht="14.25" customHeight="1">
      <c r="A79">
        <f>A78+1</f>
        <v>4</v>
      </c>
      <c r="C79" t="str">
        <v>#</v>
      </c>
    </row>
    <row r="80" ht="14.25" customHeight="1">
      <c r="C80" t="str">
        <v>#</v>
      </c>
    </row>
    <row r="81" ht="14.25" customHeight="1">
      <c r="B81" t="str">
        <v>Unit Prices</v>
      </c>
    </row>
    <row r="82" ht="14.25" customHeight="1">
      <c r="A82">
        <v>1</v>
      </c>
      <c r="C82" t="str">
        <v>#</v>
      </c>
    </row>
    <row r="83" ht="14.25" customHeight="1">
      <c r="A83">
        <f>A82+1</f>
        <v>2</v>
      </c>
      <c r="C83" t="str">
        <v>#</v>
      </c>
    </row>
    <row r="84" ht="14.25" customHeight="1">
      <c r="A84">
        <f>A83+1</f>
        <v>3</v>
      </c>
      <c r="C84" t="str">
        <v>#</v>
      </c>
    </row>
    <row r="85" ht="14.25" customHeight="1">
      <c r="A85">
        <f>A84+1</f>
        <v>4</v>
      </c>
      <c r="C85" t="str">
        <v>#</v>
      </c>
    </row>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7.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31 - DEEP FOUNDATIONS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SUM(I20:I81,I13:I18)</f>
        <v>0</v>
      </c>
      <c r="K7" t="str">
        <v>Adjustments:</v>
      </c>
      <c r="L7" s="4">
        <f>SUM(L13:L18,L20:L81)</f>
        <v>0</v>
      </c>
      <c r="N7" t="str">
        <v>Adjustments:</v>
      </c>
      <c r="O7" s="4">
        <f>SUM(O13:O18,O20:O81)</f>
        <v>0</v>
      </c>
      <c r="Q7" t="str">
        <v>Adjustments:</v>
      </c>
      <c r="R7" s="4">
        <f>SUM(R13:R18,R20:R81)</f>
        <v>0</v>
      </c>
      <c r="T7" t="str">
        <v>Adjustments:</v>
      </c>
      <c r="U7" s="4">
        <f>SUM(U13:U18,U20:U81)</f>
        <v>0</v>
      </c>
      <c r="W7" t="str">
        <v>Adjustments:</v>
      </c>
      <c r="X7" s="4">
        <f>SUM(X13:X18,X20:X81)</f>
        <v>0</v>
      </c>
      <c r="Z7" t="str">
        <v>Adjustments:</v>
      </c>
      <c r="AA7" s="4">
        <f>SUM(AA13:AA18,AA20:AA81)</f>
        <v>0</v>
      </c>
      <c r="AC7" t="str">
        <v>Adjustments:</v>
      </c>
      <c r="AD7" s="4">
        <f>SUM(AD13:AD18,AD20:AD81)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Scope</v>
      </c>
      <c r="C43" t="str">
        <v>Y</v>
      </c>
      <c r="I43" s="8">
        <f>H43*F43</f>
        <v>0</v>
      </c>
    </row>
    <row r="44" ht="14.25" customHeight="1">
      <c r="A44">
        <f>A43+1</f>
        <v>3</v>
      </c>
      <c r="B44" t="str">
        <v>Scope</v>
      </c>
      <c r="C44" t="str">
        <v>Y</v>
      </c>
      <c r="I44" s="8">
        <f>H44*F44</f>
        <v>0</v>
      </c>
    </row>
    <row r="45" ht="14.25" customHeight="1">
      <c r="A45">
        <f>A44+1</f>
        <v>4</v>
      </c>
      <c r="B45" t="str">
        <v>Scope</v>
      </c>
      <c r="C45" t="str">
        <v>Y</v>
      </c>
      <c r="I45" s="8">
        <f>H45*F45</f>
        <v>0</v>
      </c>
    </row>
    <row r="46" ht="14.25" customHeight="1">
      <c r="A46">
        <f>A45+1</f>
        <v>5</v>
      </c>
      <c r="B46" t="str">
        <v>Scope</v>
      </c>
      <c r="C46" t="str">
        <v>Y</v>
      </c>
      <c r="I46" s="8">
        <f>H46*F46</f>
        <v>0</v>
      </c>
    </row>
    <row r="47" ht="14.25" customHeight="1">
      <c r="A47">
        <f>A46+1</f>
        <v>6</v>
      </c>
      <c r="B47" t="str">
        <v>Scope</v>
      </c>
      <c r="C47" t="str">
        <v>Y</v>
      </c>
      <c r="I47" s="8">
        <f>H47*F47</f>
        <v>0</v>
      </c>
    </row>
    <row r="48" ht="14.25" customHeight="1">
      <c r="A48">
        <f>A47+1</f>
        <v>7</v>
      </c>
      <c r="C48" t="str">
        <v>Y</v>
      </c>
      <c r="I48" s="8">
        <f>H48*F48</f>
        <v>0</v>
      </c>
    </row>
    <row r="49" ht="14.25" customHeight="1">
      <c r="A49">
        <f>A48+1</f>
        <v>8</v>
      </c>
      <c r="B49" t="str">
        <v>STANDARD / GENERAL SCOPE</v>
      </c>
      <c r="C49" t="str">
        <v>Y</v>
      </c>
      <c r="I49" s="8">
        <f>H49*F49</f>
        <v>0</v>
      </c>
    </row>
    <row r="50" ht="14.25" customHeight="1">
      <c r="A50">
        <f>A49+1</f>
        <v>9</v>
      </c>
      <c r="C50" t="str">
        <v>Y</v>
      </c>
      <c r="I50" s="8">
        <f>H50*F50</f>
        <v>0</v>
      </c>
    </row>
    <row r="51" ht="14.25" customHeight="1">
      <c r="A51">
        <f>A50+1</f>
        <v>10</v>
      </c>
      <c r="C51" t="str">
        <v>Y</v>
      </c>
      <c r="I51" s="8">
        <f>H51*F51</f>
        <v>0</v>
      </c>
    </row>
    <row r="52" ht="14.25" customHeight="1">
      <c r="I52" s="8">
        <f>H52*F52</f>
        <v>0</v>
      </c>
    </row>
    <row r="53" ht="14.25" customHeight="1">
      <c r="A53" t="str">
        <v>C</v>
      </c>
      <c r="B53" t="str">
        <v>Exclusions</v>
      </c>
    </row>
    <row r="54" ht="14.25" customHeight="1">
      <c r="A54">
        <v>1</v>
      </c>
      <c r="C54" t="str">
        <v>N</v>
      </c>
    </row>
    <row r="55" ht="14.25" customHeight="1">
      <c r="A55">
        <f>A54+1</f>
        <v>2</v>
      </c>
      <c r="C55" t="str">
        <v>N</v>
      </c>
    </row>
    <row r="56" ht="14.25" customHeight="1">
      <c r="A56">
        <f>A55+1</f>
        <v>3</v>
      </c>
      <c r="C56" t="str">
        <v>N</v>
      </c>
    </row>
    <row r="57" ht="14.25" customHeight="1">
      <c r="A57">
        <f>A56+1</f>
        <v>4</v>
      </c>
      <c r="C57" t="str">
        <v>N</v>
      </c>
    </row>
    <row r="58" ht="14.25" customHeight="1">
      <c r="A58">
        <f>A57+1</f>
        <v>5</v>
      </c>
      <c r="C58" t="str">
        <v>N</v>
      </c>
    </row>
    <row r="59" ht="14.25" customHeight="1">
      <c r="A59">
        <f>A58+1</f>
        <v>6</v>
      </c>
      <c r="C59" t="str">
        <v>N</v>
      </c>
    </row>
    <row r="60" ht="14.25" customHeight="1">
      <c r="A60">
        <f>A59+1</f>
        <v>7</v>
      </c>
      <c r="C60" t="str">
        <v>N</v>
      </c>
    </row>
    <row r="61" ht="14.25" customHeight="1">
      <c r="A61">
        <f>A60+1</f>
        <v>8</v>
      </c>
      <c r="C61" t="str">
        <v>N</v>
      </c>
    </row>
    <row r="62" ht="14.25" customHeight="1"/>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Activity 1</v>
      </c>
      <c r="C66" t="str">
        <v>---&gt;</v>
      </c>
    </row>
    <row r="67" ht="14.25" customHeight="1">
      <c r="A67">
        <f>A66+1</f>
        <v>4</v>
      </c>
      <c r="B67" t="str">
        <v>Activity 2</v>
      </c>
      <c r="C67" t="str">
        <v>---&gt;</v>
      </c>
    </row>
    <row r="68" ht="14.25" customHeight="1">
      <c r="A68">
        <f>A67+1</f>
        <v>5</v>
      </c>
      <c r="B68" t="str">
        <v>Activity 3</v>
      </c>
      <c r="C68" t="str">
        <v>---&gt;</v>
      </c>
    </row>
    <row r="69" ht="14.25" customHeight="1">
      <c r="A69">
        <f>A68+1</f>
        <v>6</v>
      </c>
      <c r="B69" t="str">
        <v>Duration for Submittals and Shop Drawings</v>
      </c>
      <c r="C69" t="str">
        <v>---&gt;</v>
      </c>
    </row>
    <row r="70" ht="14.25" customHeight="1">
      <c r="A70">
        <f>A69+1</f>
        <v>7</v>
      </c>
      <c r="B70" t="str">
        <v>Advise of Lead Times:</v>
      </c>
    </row>
    <row r="71" ht="14.25" customHeight="1">
      <c r="A71">
        <f>A70+1</f>
        <v>8</v>
      </c>
      <c r="B71" t="str">
        <v>Material 1</v>
      </c>
      <c r="C71" t="str">
        <v>---&gt;</v>
      </c>
    </row>
    <row r="72" ht="14.25" customHeight="1">
      <c r="A72">
        <f>A71+1</f>
        <v>9</v>
      </c>
      <c r="B72" t="str">
        <v>Material 2</v>
      </c>
      <c r="C72" t="str">
        <v>---&gt;</v>
      </c>
    </row>
    <row r="73" ht="14.25" customHeight="1">
      <c r="A73">
        <f>A72+1</f>
        <v>10</v>
      </c>
      <c r="B73" t="str">
        <v>Material 3</v>
      </c>
      <c r="C73" t="str">
        <v>---&gt;</v>
      </c>
    </row>
    <row r="74" ht="14.25" customHeight="1"/>
    <row r="75" ht="14.25" customHeight="1"/>
    <row r="76" ht="14.25" customHeight="1">
      <c r="B76" t="str">
        <v>Allowances</v>
      </c>
    </row>
    <row r="77" ht="14.25" customHeight="1">
      <c r="A77">
        <v>1</v>
      </c>
    </row>
    <row r="78" ht="14.25" customHeight="1">
      <c r="A78">
        <f>A77+1</f>
        <v>2</v>
      </c>
    </row>
    <row r="79" ht="14.25" customHeight="1">
      <c r="A79">
        <f>A78+1</f>
        <v>3</v>
      </c>
    </row>
    <row r="80" ht="14.25" customHeight="1">
      <c r="A80">
        <f>A79+1</f>
        <v>4</v>
      </c>
    </row>
    <row r="81" ht="14.25" customHeight="1"/>
    <row r="82" ht="14.25" customHeight="1"/>
    <row r="83" ht="14.25" customHeight="1">
      <c r="B83" t="str">
        <v>Alternates</v>
      </c>
    </row>
    <row r="84" ht="14.25" customHeight="1">
      <c r="A84">
        <v>1</v>
      </c>
      <c r="C84" t="str">
        <v>#</v>
      </c>
    </row>
    <row r="85" ht="14.25" customHeight="1">
      <c r="A85">
        <f>A84+1</f>
        <v>2</v>
      </c>
      <c r="C85" t="str">
        <v>#</v>
      </c>
    </row>
    <row r="86" ht="14.25" customHeight="1">
      <c r="A86">
        <f>A85+1</f>
        <v>3</v>
      </c>
      <c r="C86" t="str">
        <v>#</v>
      </c>
    </row>
    <row r="87" ht="14.25" customHeight="1">
      <c r="A87">
        <f>A86+1</f>
        <v>4</v>
      </c>
      <c r="C87" t="str">
        <v>#</v>
      </c>
    </row>
    <row r="88" ht="14.25" customHeight="1">
      <c r="C88" t="str">
        <v>#</v>
      </c>
    </row>
    <row r="89" ht="14.25" customHeight="1">
      <c r="B89" t="str">
        <v>Unit Prices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8.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31 - DEWATERING</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SUM(I20:I100,I13:I18)</f>
        <v>0</v>
      </c>
      <c r="K7" t="str">
        <v>Adjustments:</v>
      </c>
      <c r="L7" s="4">
        <f>SUM(L13:L18,L20:L100)</f>
        <v>0</v>
      </c>
      <c r="N7" t="str">
        <v>Adjustments:</v>
      </c>
      <c r="O7" s="4">
        <f>SUM(O13:O18,O20:O100)</f>
        <v>0</v>
      </c>
      <c r="Q7" t="str">
        <v>Adjustments:</v>
      </c>
      <c r="R7" s="4">
        <f>SUM(R13:R18,R20:R100)</f>
        <v>0</v>
      </c>
      <c r="T7" t="str">
        <v>Adjustments:</v>
      </c>
      <c r="U7" s="4">
        <f>SUM(U13:U18,U20:U100)</f>
        <v>0</v>
      </c>
      <c r="W7" t="str">
        <v>Adjustments:</v>
      </c>
      <c r="X7" s="4">
        <f>SUM(X13:X18,X20:X100)</f>
        <v>0</v>
      </c>
      <c r="Z7" t="str">
        <v>Adjustments:</v>
      </c>
      <c r="AA7" s="4">
        <f>SUM(AA13:AA18,AA20:AA100)</f>
        <v>0</v>
      </c>
      <c r="AC7" t="str">
        <v>Adjustments:</v>
      </c>
      <c r="AD7" s="4">
        <f>SUM(AD13:AD18,AD20:AD100)</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Dewatering</v>
      </c>
      <c r="C43" t="str">
        <v>Y</v>
      </c>
      <c r="I43" s="8">
        <f>H43*F43</f>
        <v>0</v>
      </c>
    </row>
    <row r="44" ht="14.25" customHeight="1">
      <c r="A44">
        <v>3</v>
      </c>
      <c r="B44" t="str">
        <v>Design and engineer dewatering system to maintain ground water level a min. of 4' below the deepest footing or elevator pit to permit dry, stable subgrades</v>
      </c>
      <c r="C44" t="str">
        <v>Y</v>
      </c>
      <c r="I44" s="8">
        <f>H44*F44</f>
        <v>0</v>
      </c>
    </row>
    <row r="45" ht="14.25" customHeight="1">
      <c r="A45">
        <v>4</v>
      </c>
      <c r="B45" t="str">
        <v>Include augered deep wells, well points or vacuum wells with sumersible pumps, electric cables, PVC pipe, slotted screen, pea gravel, control boxes with audible alarm and all above ground well head fittings</v>
      </c>
      <c r="C45" t="str">
        <v>Y</v>
      </c>
      <c r="I45" s="8">
        <f>H45*F45</f>
        <v>0</v>
      </c>
    </row>
    <row r="46" ht="14.25" customHeight="1">
      <c r="A46">
        <v>5</v>
      </c>
      <c r="B46" t="str">
        <v>Include discharge pipes from wells to the centralized discharge location</v>
      </c>
      <c r="C46" t="str">
        <v>Y</v>
      </c>
      <c r="I46" s="8">
        <f>H46*F46</f>
        <v>0</v>
      </c>
    </row>
    <row r="47" ht="14.25" customHeight="1">
      <c r="A47">
        <v>6</v>
      </c>
      <c r="B47" t="str">
        <v>Include on grade weatherproof cables from wells strapped to discharge pipes</v>
      </c>
      <c r="C47" t="str">
        <v>Y</v>
      </c>
      <c r="I47" s="8">
        <f>H47*F47</f>
        <v>0</v>
      </c>
    </row>
    <row r="48" ht="14.25" customHeight="1">
      <c r="A48">
        <v>7</v>
      </c>
      <c r="B48" t="str">
        <v>If wells are inside the excavation, coordinate with excavation to lower the wellheads, discharge pipes and electric cables at each completed level</v>
      </c>
      <c r="C48" t="str">
        <v>Y</v>
      </c>
      <c r="I48" s="8">
        <f>H48*F48</f>
        <v>0</v>
      </c>
    </row>
    <row r="49" ht="14.25" customHeight="1">
      <c r="A49">
        <v>8</v>
      </c>
      <c r="B49" t="str">
        <v>Include loader service for gravel installation and drilling operation</v>
      </c>
      <c r="C49" t="str">
        <v>Y</v>
      </c>
      <c r="I49" s="8">
        <f>H49*F49</f>
        <v>0</v>
      </c>
    </row>
    <row r="50" ht="14.25" customHeight="1">
      <c r="A50">
        <v>9</v>
      </c>
      <c r="B50" t="str">
        <v>Include accessories such as bentonite plug for vacuum wells, throttle valve and check valve at effluent line</v>
      </c>
      <c r="C50" t="str">
        <v>Y</v>
      </c>
      <c r="I50" s="8">
        <f>H50*F50</f>
        <v>0</v>
      </c>
    </row>
    <row r="51" ht="14.25" customHeight="1">
      <c r="A51">
        <v>10</v>
      </c>
      <c r="B51" t="str">
        <v>Layout and furnish piezometers and flow measuring devices to monitor performance; provide one hand-held piezometer and a graduated cord with a min. length equal to the deepest well plus 20%</v>
      </c>
      <c r="C51" t="str">
        <v>Y</v>
      </c>
      <c r="I51" s="8">
        <f>H51*F51</f>
        <v>0</v>
      </c>
    </row>
    <row r="52" ht="14.25" customHeight="1">
      <c r="A52">
        <v>11</v>
      </c>
      <c r="B52" t="str">
        <v>Include delivery and installation of all equipment; including applicable taxes</v>
      </c>
      <c r="C52" t="str">
        <v>Y</v>
      </c>
      <c r="I52" s="8">
        <f>H52*F52</f>
        <v>0</v>
      </c>
    </row>
    <row r="53" ht="14.25" customHeight="1">
      <c r="A53">
        <v>12</v>
      </c>
      <c r="B53" t="str">
        <v>Include additional pumps and parts as stand-by equipment</v>
      </c>
      <c r="C53" t="str">
        <v>Y</v>
      </c>
      <c r="I53" s="8">
        <f>H53*F53</f>
        <v>0</v>
      </c>
    </row>
    <row r="54" ht="14.25" customHeight="1">
      <c r="A54">
        <v>13</v>
      </c>
      <c r="B54" t="str">
        <v>Installation and pumping one month prior to start of excavation</v>
      </c>
      <c r="C54" t="str">
        <v>Y</v>
      </c>
      <c r="I54" s="8">
        <f>H54*F54</f>
        <v>0</v>
      </c>
    </row>
    <row r="55" ht="14.25" customHeight="1">
      <c r="A55">
        <v>14</v>
      </c>
      <c r="B55" t="str">
        <v>Iron bacteria treatment as required</v>
      </c>
      <c r="C55" t="str">
        <v>Y</v>
      </c>
      <c r="I55" s="8">
        <f>H55*F55</f>
        <v>0</v>
      </c>
    </row>
    <row r="56" ht="14.25" customHeight="1">
      <c r="A56">
        <v>15</v>
      </c>
      <c r="B56" t="str">
        <v>Include all air filter media required for duration of dewatering operation</v>
      </c>
      <c r="C56" t="str">
        <v>Y</v>
      </c>
      <c r="I56" s="8">
        <f>H56*F56</f>
        <v>0</v>
      </c>
    </row>
    <row r="57" ht="14.25" customHeight="1">
      <c r="A57">
        <v>16</v>
      </c>
      <c r="B57" t="str">
        <v>Testing of wells</v>
      </c>
      <c r="C57" t="str">
        <v>Y</v>
      </c>
      <c r="I57" s="8">
        <f>H57*F57</f>
        <v>0</v>
      </c>
    </row>
    <row r="58" ht="14.25" customHeight="1">
      <c r="A58">
        <v>17</v>
      </c>
      <c r="B58" t="str">
        <v>Include rental charges until concrete is to grade</v>
      </c>
      <c r="C58" t="str">
        <v>Y</v>
      </c>
      <c r="I58" s="8">
        <f>H58*F58</f>
        <v>0</v>
      </c>
    </row>
    <row r="59" ht="14.25" customHeight="1">
      <c r="A59">
        <v>18</v>
      </c>
      <c r="B59" t="str">
        <v>Set up daily pumping report log and submit initial report for long-term pumping</v>
      </c>
      <c r="C59" t="str">
        <v>Y</v>
      </c>
      <c r="I59" s="8">
        <f>H59*F59</f>
        <v>0</v>
      </c>
    </row>
    <row r="60" ht="14.25" customHeight="1">
      <c r="A60">
        <v>19</v>
      </c>
      <c r="B60" t="str">
        <v>Periodically review the log maintained by MCN personnel</v>
      </c>
      <c r="C60" t="str">
        <v>Y</v>
      </c>
      <c r="I60" s="8">
        <f>H60*F60</f>
        <v>0</v>
      </c>
    </row>
    <row r="61" ht="14.25" customHeight="1">
      <c r="A61">
        <v>20</v>
      </c>
      <c r="B61" t="str">
        <v>Remobilize to remove equipment from jobsite</v>
      </c>
      <c r="C61" t="str">
        <v>Y</v>
      </c>
      <c r="I61" s="8">
        <f>H61*F61</f>
        <v>0</v>
      </c>
    </row>
    <row r="62" ht="14.25" customHeight="1">
      <c r="A62">
        <v>21</v>
      </c>
      <c r="B62" t="str">
        <v>Backfill of wells</v>
      </c>
      <c r="C62" t="str">
        <v>Y</v>
      </c>
      <c r="I62" s="8">
        <f>H62*F62</f>
        <v>0</v>
      </c>
    </row>
    <row r="63" ht="14.25" customHeight="1">
      <c r="A63">
        <v>22</v>
      </c>
      <c r="B63" t="str">
        <v>Advise of duration to provide a complete dewatering system</v>
      </c>
      <c r="C63" t="str">
        <v>Y</v>
      </c>
      <c r="I63" s="8">
        <f>H63*F63</f>
        <v>0</v>
      </c>
    </row>
    <row r="64" ht="14.25" customHeight="1">
      <c r="A64">
        <v>23</v>
      </c>
      <c r="B64" t="str">
        <v>Advise of rental period included in bid</v>
      </c>
      <c r="C64" t="str">
        <v>Y</v>
      </c>
      <c r="I64" s="8">
        <f>H64*F64</f>
        <v>0</v>
      </c>
    </row>
    <row r="65" ht="14.25" customHeight="1">
      <c r="A65">
        <v>24</v>
      </c>
      <c r="B65" t="str">
        <v>Advise of estimate for total discharge volume based on soil report</v>
      </c>
      <c r="C65" t="str">
        <v>Y</v>
      </c>
      <c r="I65" s="8">
        <f>H65*F65</f>
        <v>0</v>
      </c>
    </row>
    <row r="66" ht="14.25" customHeight="1">
      <c r="A66">
        <v>25</v>
      </c>
      <c r="C66" t="str">
        <v>Y</v>
      </c>
      <c r="I66" s="8">
        <f>H66*F66</f>
        <v>0</v>
      </c>
    </row>
    <row r="67" ht="14.25" customHeight="1">
      <c r="A67">
        <v>26</v>
      </c>
      <c r="B67" t="str">
        <v>STANDARD / GENERAL SCOPE</v>
      </c>
      <c r="C67" t="str">
        <v>Y</v>
      </c>
      <c r="I67" s="8">
        <f>H67*F67</f>
        <v>0</v>
      </c>
    </row>
    <row r="68" ht="14.25" customHeight="1">
      <c r="A68">
        <v>27</v>
      </c>
      <c r="C68" t="str">
        <v>Y</v>
      </c>
      <c r="I68" s="8">
        <f>H68*F68</f>
        <v>0</v>
      </c>
    </row>
    <row r="69" ht="14.25" customHeight="1">
      <c r="A69">
        <v>28</v>
      </c>
      <c r="C69" t="str">
        <v>Y</v>
      </c>
      <c r="I69" s="8">
        <f>H69*F69</f>
        <v>0</v>
      </c>
    </row>
    <row r="70" ht="14.25" customHeight="1">
      <c r="A70">
        <v>29</v>
      </c>
      <c r="C70" t="str">
        <v>Y</v>
      </c>
      <c r="I70" s="8">
        <f>H70*F70</f>
        <v>0</v>
      </c>
    </row>
    <row r="71" ht="14.25" customHeight="1">
      <c r="I71" s="8">
        <f>H71*F71</f>
        <v>0</v>
      </c>
    </row>
    <row r="72" ht="14.25" customHeight="1">
      <c r="A72" t="str">
        <v>C</v>
      </c>
      <c r="B72" t="str">
        <v>Exclusions</v>
      </c>
    </row>
    <row r="73" ht="14.25" customHeight="1">
      <c r="A73">
        <v>1</v>
      </c>
      <c r="B73" t="str">
        <v>Electrical distribution panel, connection and disconnection</v>
      </c>
      <c r="C73" t="str">
        <v>N</v>
      </c>
    </row>
    <row r="74" ht="14.25" customHeight="1">
      <c r="A74">
        <f>A73+1</f>
        <v>2</v>
      </c>
      <c r="B74" t="str">
        <v>Field Engineering, surveying and cut sheets</v>
      </c>
      <c r="C74" t="str">
        <v>N</v>
      </c>
    </row>
    <row r="75" ht="14.25" customHeight="1">
      <c r="A75">
        <f>A74+1</f>
        <v>3</v>
      </c>
      <c r="B75" t="str">
        <v>Spoil removal from drilling operation</v>
      </c>
      <c r="C75" t="str">
        <v>N</v>
      </c>
    </row>
    <row r="76" ht="14.25" customHeight="1">
      <c r="A76">
        <f>A75+1</f>
        <v>4</v>
      </c>
      <c r="B76" t="str">
        <v>Water disposal fees</v>
      </c>
      <c r="C76" t="str">
        <v>N</v>
      </c>
    </row>
    <row r="77" ht="14.25" customHeight="1">
      <c r="A77">
        <f>A76+1</f>
        <v>5</v>
      </c>
      <c r="B77" t="str">
        <v>Contaminated water treatment</v>
      </c>
      <c r="C77" t="str">
        <v>N</v>
      </c>
    </row>
    <row r="78" ht="14.25" customHeight="1">
      <c r="A78">
        <f>A77+1</f>
        <v>6</v>
      </c>
      <c r="B78" t="str">
        <v>Protective measures for wells and pipe</v>
      </c>
      <c r="C78" t="str">
        <v>N</v>
      </c>
    </row>
    <row r="79" ht="14.25" customHeight="1">
      <c r="A79">
        <f>A78+1</f>
        <v>7</v>
      </c>
      <c r="C79" t="str">
        <v>N</v>
      </c>
    </row>
    <row r="80" ht="14.25" customHeight="1">
      <c r="A80">
        <f>A79+1</f>
        <v>8</v>
      </c>
      <c r="C80" t="str">
        <v>N</v>
      </c>
    </row>
    <row r="81" ht="14.25" customHeight="1"/>
    <row r="82" ht="14.25" customHeight="1">
      <c r="A82" t="str">
        <v>D</v>
      </c>
      <c r="B82" t="str">
        <v>Schedule</v>
      </c>
    </row>
    <row r="83" ht="14.25" customHeight="1">
      <c r="A83">
        <v>1</v>
      </c>
      <c r="B83" t="str">
        <v>Meet MCN Schedule</v>
      </c>
      <c r="C83" t="str">
        <v>Y</v>
      </c>
    </row>
    <row r="84" ht="14.25" customHeight="1">
      <c r="A84">
        <f>A83+1</f>
        <v>2</v>
      </c>
      <c r="B84" t="str">
        <v>Advise of Durations</v>
      </c>
    </row>
    <row r="85" ht="14.25" customHeight="1">
      <c r="A85">
        <f>A84+1</f>
        <v>3</v>
      </c>
      <c r="B85" t="str">
        <v>Activity 1</v>
      </c>
      <c r="C85" t="str">
        <v>---&gt;</v>
      </c>
    </row>
    <row r="86" ht="14.25" customHeight="1">
      <c r="A86">
        <f>A85+1</f>
        <v>4</v>
      </c>
      <c r="B86" t="str">
        <v>Activity 2</v>
      </c>
      <c r="C86" t="str">
        <v>---&gt;</v>
      </c>
    </row>
    <row r="87" ht="14.25" customHeight="1">
      <c r="A87">
        <f>A86+1</f>
        <v>5</v>
      </c>
      <c r="B87" t="str">
        <v>Activity 3</v>
      </c>
      <c r="C87" t="str">
        <v>---&gt;</v>
      </c>
    </row>
    <row r="88" ht="14.25" customHeight="1">
      <c r="A88">
        <f>A87+1</f>
        <v>6</v>
      </c>
      <c r="B88" t="str">
        <v>Duration for Submittals and Shop Drawings</v>
      </c>
      <c r="C88" t="str">
        <v>---&gt;</v>
      </c>
    </row>
    <row r="89" ht="14.25" customHeight="1">
      <c r="A89">
        <f>A88+1</f>
        <v>7</v>
      </c>
      <c r="B89" t="str">
        <v>Advise of Lead Times:</v>
      </c>
    </row>
    <row r="90" ht="14.25" customHeight="1">
      <c r="A90">
        <f>A89+1</f>
        <v>8</v>
      </c>
      <c r="B90" t="str">
        <v>Material 1</v>
      </c>
      <c r="C90" t="str">
        <v>---&gt;</v>
      </c>
    </row>
    <row r="91" ht="14.25" customHeight="1">
      <c r="A91">
        <f>A90+1</f>
        <v>9</v>
      </c>
      <c r="B91" t="str">
        <v>Material 2</v>
      </c>
      <c r="C91" t="str">
        <v>---&gt;</v>
      </c>
    </row>
    <row r="92" ht="14.25" customHeight="1">
      <c r="A92">
        <f>A91+1</f>
        <v>10</v>
      </c>
      <c r="B92" t="str">
        <v>Material 3</v>
      </c>
      <c r="C92" t="str">
        <v>---&gt;</v>
      </c>
    </row>
    <row r="93" ht="14.25" customHeight="1"/>
    <row r="94" ht="14.25" customHeight="1"/>
    <row r="95" ht="14.25" customHeight="1">
      <c r="B95" t="str">
        <v>Allowances</v>
      </c>
    </row>
    <row r="96" ht="14.25" customHeight="1">
      <c r="A96">
        <v>1</v>
      </c>
    </row>
    <row r="97" ht="14.25" customHeight="1">
      <c r="A97">
        <f>A96+1</f>
        <v>2</v>
      </c>
    </row>
    <row r="98" ht="14.25" customHeight="1">
      <c r="A98">
        <f>A97+1</f>
        <v>3</v>
      </c>
    </row>
    <row r="99" ht="14.25" customHeight="1">
      <c r="A99">
        <f>A98+1</f>
        <v>4</v>
      </c>
    </row>
    <row r="100" ht="14.25" customHeight="1"/>
    <row r="101" ht="14.25" customHeight="1"/>
    <row r="102" ht="14.25" customHeight="1">
      <c r="B102" t="str">
        <v>Alternates</v>
      </c>
    </row>
    <row r="103" ht="14.25" customHeight="1">
      <c r="A103">
        <v>1</v>
      </c>
      <c r="C103" t="str">
        <v>#</v>
      </c>
    </row>
    <row r="104" ht="14.25" customHeight="1">
      <c r="A104">
        <f>A103+1</f>
        <v>2</v>
      </c>
      <c r="C104" t="str">
        <v>#</v>
      </c>
    </row>
    <row r="105" ht="14.25" customHeight="1">
      <c r="A105">
        <f>A104+1</f>
        <v>3</v>
      </c>
      <c r="C105" t="str">
        <v>#</v>
      </c>
    </row>
    <row r="106" ht="14.25" customHeight="1">
      <c r="A106">
        <f>A105+1</f>
        <v>4</v>
      </c>
      <c r="C106" t="str">
        <v>#</v>
      </c>
    </row>
    <row r="107" ht="14.25" customHeight="1">
      <c r="C107" t="str">
        <v>#</v>
      </c>
    </row>
    <row r="108" ht="14.25" customHeight="1">
      <c r="B108" t="str">
        <v>Unit Prices</v>
      </c>
    </row>
    <row r="109" ht="14.25" customHeight="1">
      <c r="A109">
        <v>1</v>
      </c>
      <c r="C109" t="str">
        <v>#</v>
      </c>
    </row>
    <row r="110" ht="14.25" customHeight="1">
      <c r="A110">
        <f>A109+1</f>
        <v>2</v>
      </c>
      <c r="C110" t="str">
        <v>#</v>
      </c>
    </row>
    <row r="111" ht="14.25" customHeight="1">
      <c r="A111">
        <f>A110+1</f>
        <v>3</v>
      </c>
      <c r="C111" t="str">
        <v>#</v>
      </c>
    </row>
    <row r="112" ht="14.25" customHeight="1">
      <c r="A112">
        <f>A111+1</f>
        <v>4</v>
      </c>
      <c r="C112" t="str">
        <v>#</v>
      </c>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5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32 - SEGMENTAL WALLS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SUM(I20:I98,I13:I18)</f>
        <v>0</v>
      </c>
      <c r="K7" t="str">
        <v>Adjustments:</v>
      </c>
      <c r="L7" s="4">
        <f>SUM(L13:L18,L20:L98)</f>
        <v>0</v>
      </c>
      <c r="N7" t="str">
        <v>Adjustments:</v>
      </c>
      <c r="O7" s="4">
        <f>SUM(O13:O18,O20:O98)</f>
        <v>0</v>
      </c>
      <c r="Q7" t="str">
        <v>Adjustments:</v>
      </c>
      <c r="R7" s="4">
        <f>SUM(R13:R18,R20:R98)</f>
        <v>0</v>
      </c>
      <c r="T7" t="str">
        <v>Adjustments:</v>
      </c>
      <c r="U7" s="4">
        <f>SUM(U13:U18,U20:U98)</f>
        <v>0</v>
      </c>
      <c r="W7" t="str">
        <v>Adjustments:</v>
      </c>
      <c r="X7" s="4">
        <f>SUM(X13:X18,X20:X98)</f>
        <v>0</v>
      </c>
      <c r="Z7" t="str">
        <v>Adjustments:</v>
      </c>
      <c r="AA7" s="4">
        <f>SUM(AA13:AA18,AA20:AA98)</f>
        <v>0</v>
      </c>
      <c r="AC7" t="str">
        <v>Adjustments:</v>
      </c>
      <c r="AD7" s="4">
        <f>SUM(AD13:AD18,AD20:AD98)</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 xml:space="preserve">Furnish &amp; install all segmented retaining wall to sizes, shapes, lines &amp; grades indicated: </v>
      </c>
      <c r="C43" t="str">
        <v>Y</v>
      </c>
      <c r="I43" s="8">
        <f>H43*F43</f>
        <v>0</v>
      </c>
    </row>
    <row r="44" ht="14.25" customHeight="1">
      <c r="A44">
        <v>3</v>
      </c>
      <c r="B44" t="str">
        <v>****site walls A</v>
      </c>
      <c r="C44" t="str">
        <v>Y</v>
      </c>
      <c r="I44" s="8">
        <f>H44*F44</f>
        <v>0</v>
      </c>
    </row>
    <row r="45" ht="14.25" customHeight="1">
      <c r="A45">
        <v>4</v>
      </c>
      <c r="B45" t="str">
        <v>****site walls B</v>
      </c>
      <c r="C45" t="str">
        <v>Y</v>
      </c>
      <c r="I45" s="8">
        <f>H45*F45</f>
        <v>0</v>
      </c>
    </row>
    <row r="46" ht="14.25" customHeight="1">
      <c r="A46">
        <v>5</v>
      </c>
      <c r="B46" t="str">
        <v>Include all special shapes and bond patterns as shown</v>
      </c>
      <c r="C46" t="str">
        <v>Y</v>
      </c>
      <c r="I46" s="8">
        <f>H46*F46</f>
        <v>0</v>
      </c>
    </row>
    <row r="47" ht="14.25" customHeight="1">
      <c r="A47">
        <v>6</v>
      </c>
      <c r="B47" t="str">
        <v>Excavation from SOG subgrade for all wall footings</v>
      </c>
      <c r="C47" t="str">
        <v>Y</v>
      </c>
      <c r="I47" s="8">
        <f>H47*F47</f>
        <v>0</v>
      </c>
    </row>
    <row r="48" ht="14.25" customHeight="1">
      <c r="A48">
        <v>7</v>
      </c>
      <c r="B48" t="str">
        <v xml:space="preserve">Bench excavations per OSHA requirements </v>
      </c>
      <c r="C48" t="str">
        <v>Y</v>
      </c>
      <c r="I48" s="8">
        <f>H48*F48</f>
        <v>0</v>
      </c>
    </row>
    <row r="49" ht="14.25" customHeight="1">
      <c r="A49">
        <v>8</v>
      </c>
      <c r="B49" t="str">
        <v>Backfill and compaction to SOG subgrade after pour</v>
      </c>
      <c r="C49" t="str">
        <v>Y</v>
      </c>
      <c r="I49" s="8">
        <f>H49*F49</f>
        <v>0</v>
      </c>
    </row>
    <row r="50" ht="14.25" customHeight="1">
      <c r="A50">
        <v>9</v>
      </c>
      <c r="B50" t="str">
        <v xml:space="preserve">Furnish and install all reinforcing bars (cut to length, bent) </v>
      </c>
      <c r="C50" t="str">
        <v>Y</v>
      </c>
      <c r="I50" s="8">
        <f>H50*F50</f>
        <v>0</v>
      </c>
    </row>
    <row r="51" ht="14.25" customHeight="1">
      <c r="A51">
        <v>10</v>
      </c>
      <c r="B51" t="str">
        <v>Furnish and install all thru-wall membrane flashing w/end dams &amp; mortar net</v>
      </c>
      <c r="C51" t="str">
        <v>Y</v>
      </c>
      <c r="I51" s="8">
        <f>H51*F51</f>
        <v>0</v>
      </c>
    </row>
    <row r="52" ht="14.25" customHeight="1">
      <c r="A52">
        <v>11</v>
      </c>
      <c r="B52" t="str">
        <v>Include weep holes as shown</v>
      </c>
      <c r="C52" t="str">
        <v>Y</v>
      </c>
      <c r="I52" s="8">
        <f>H52*F52</f>
        <v>0</v>
      </c>
    </row>
    <row r="53" ht="14.25" customHeight="1">
      <c r="A53">
        <v>12</v>
      </c>
      <c r="C53" t="str">
        <v>Y</v>
      </c>
      <c r="I53" s="8">
        <f>H53*F53</f>
        <v>0</v>
      </c>
    </row>
    <row r="54" ht="14.25" customHeight="1">
      <c r="A54">
        <v>13</v>
      </c>
      <c r="B54" t="str">
        <v>STANDARD / GENERAL SCOPE</v>
      </c>
      <c r="C54" t="str">
        <v>Y</v>
      </c>
      <c r="I54" s="8">
        <f>H54*F54</f>
        <v>0</v>
      </c>
    </row>
    <row r="55" ht="14.25" customHeight="1">
      <c r="A55">
        <v>14</v>
      </c>
      <c r="B55" t="str">
        <v>Excavation, backfill and compaction as required for your work</v>
      </c>
      <c r="C55" t="str">
        <v>Y</v>
      </c>
      <c r="I55" s="8">
        <f>H55*F55</f>
        <v>0</v>
      </c>
    </row>
    <row r="56" ht="14.25" customHeight="1">
      <c r="A56">
        <v>15</v>
      </c>
      <c r="B56" t="str">
        <v>Field cutting of stone to fit site conditions, or field measurements prior to fab</v>
      </c>
      <c r="C56" t="str">
        <v>Y</v>
      </c>
      <c r="I56" s="8">
        <f>H56*F56</f>
        <v>0</v>
      </c>
    </row>
    <row r="57" ht="14.25" customHeight="1">
      <c r="A57">
        <v>16</v>
      </c>
      <c r="B57" t="str">
        <v>Control joints spaced per spec</v>
      </c>
      <c r="C57" t="str">
        <v>Y</v>
      </c>
      <c r="I57" s="8">
        <f>H57*F57</f>
        <v>0</v>
      </c>
    </row>
    <row r="58" ht="14.25" customHeight="1">
      <c r="A58">
        <v>17</v>
      </c>
      <c r="B58" t="str">
        <v>Provide all tools, equip, hoisting, etc for your work</v>
      </c>
      <c r="C58" t="str">
        <v>Y</v>
      </c>
      <c r="I58" s="8">
        <f>H58*F58</f>
        <v>0</v>
      </c>
    </row>
    <row r="59" ht="14.25" customHeight="1">
      <c r="A59">
        <v>18</v>
      </c>
      <c r="B59" t="str">
        <v>Protect work of other trades from damage by your operations</v>
      </c>
      <c r="C59" t="str">
        <v>Y</v>
      </c>
      <c r="I59" s="8">
        <f>H59*F59</f>
        <v>0</v>
      </c>
    </row>
    <row r="60" ht="14.25" customHeight="1">
      <c r="A60">
        <v>19</v>
      </c>
      <c r="B60" t="str">
        <v>Layout from GC control lines and benchmarks</v>
      </c>
      <c r="C60" t="str">
        <v>Y</v>
      </c>
      <c r="I60" s="8">
        <f>H60*F60</f>
        <v>0</v>
      </c>
    </row>
    <row r="61" ht="14.25" customHeight="1">
      <c r="A61">
        <v>20</v>
      </c>
      <c r="B61" t="str">
        <v>Clean up debris and dispose in MCN dumpster</v>
      </c>
      <c r="C61" t="str">
        <v>Y</v>
      </c>
      <c r="I61" s="8">
        <f>H61*F61</f>
        <v>0</v>
      </c>
    </row>
    <row r="62" ht="14.25" customHeight="1">
      <c r="A62">
        <v>21</v>
      </c>
      <c r="B62" t="str">
        <v>Perform final wash down of stone to leave in clean condition</v>
      </c>
      <c r="C62" t="str">
        <v>Y</v>
      </c>
      <c r="I62" s="8">
        <f>H62*F62</f>
        <v>0</v>
      </c>
    </row>
    <row r="63" ht="14.25" customHeight="1">
      <c r="A63">
        <v>22</v>
      </c>
      <c r="B63" t="str">
        <v>Product data, samples, shop drawings, test reports, certs, etc</v>
      </c>
      <c r="C63" t="str">
        <v>Y</v>
      </c>
      <c r="I63" s="8">
        <f>H63*F63</f>
        <v>0</v>
      </c>
    </row>
    <row r="64" ht="14.25" customHeight="1">
      <c r="A64">
        <v>23</v>
      </c>
      <c r="B64" t="str">
        <v>Provide all structural components</v>
      </c>
      <c r="C64" t="str">
        <v>Y</v>
      </c>
      <c r="I64" s="8">
        <f>H64*F64</f>
        <v>0</v>
      </c>
    </row>
    <row r="65" ht="14.25" customHeight="1">
      <c r="A65">
        <v>24</v>
      </c>
      <c r="B65" t="str">
        <v>Leveling pads</v>
      </c>
      <c r="C65" t="str">
        <v>Y</v>
      </c>
      <c r="I65" s="8">
        <f>H65*F65</f>
        <v>0</v>
      </c>
    </row>
    <row r="66" ht="14.25" customHeight="1">
      <c r="A66">
        <v>25</v>
      </c>
      <c r="B66" t="str">
        <v>Geogrid</v>
      </c>
      <c r="C66" t="str">
        <v>Y</v>
      </c>
      <c r="I66" s="8">
        <f>H66*F66</f>
        <v>0</v>
      </c>
    </row>
    <row r="67" ht="14.25" customHeight="1">
      <c r="A67">
        <v>26</v>
      </c>
      <c r="B67" t="str">
        <v>Drain-tile, incl drain tile piping</v>
      </c>
      <c r="C67" t="str">
        <v>Y</v>
      </c>
      <c r="I67" s="8">
        <f>H67*F67</f>
        <v>0</v>
      </c>
    </row>
    <row r="68" ht="14.25" customHeight="1">
      <c r="A68">
        <v>27</v>
      </c>
      <c r="B68" t="str">
        <v xml:space="preserve">Mock-ups </v>
      </c>
      <c r="C68" t="str">
        <v>Y</v>
      </c>
      <c r="I68" s="8">
        <f>H68*F68</f>
        <v>0</v>
      </c>
    </row>
    <row r="69" ht="14.25" customHeight="1">
      <c r="A69">
        <v>28</v>
      </c>
      <c r="B69" t="str">
        <v>Maintain and protect all survey and layout points provided by others.</v>
      </c>
      <c r="C69" t="str">
        <v>Y</v>
      </c>
      <c r="I69" s="8">
        <f>H69*F69</f>
        <v>0</v>
      </c>
    </row>
    <row r="70" ht="14.25" customHeight="1">
      <c r="A70">
        <v>29</v>
      </c>
      <c r="B70" t="str">
        <v>All necessary materials, accessories, components, sleeves, etc.</v>
      </c>
      <c r="C70" t="str">
        <v>Y</v>
      </c>
      <c r="I70" s="8">
        <f>H70*F70</f>
        <v>0</v>
      </c>
    </row>
    <row r="71" ht="14.25" customHeight="1">
      <c r="A71">
        <v>30</v>
      </c>
      <c r="B71" t="str">
        <v>All necessary close out documentation, incl but not limited to red-lined, as-built drawings and warranties.</v>
      </c>
      <c r="C71" t="str">
        <v>Y</v>
      </c>
      <c r="I71" s="8">
        <f>H71*F71</f>
        <v>0</v>
      </c>
    </row>
    <row r="72" ht="14.25" customHeight="1">
      <c r="I72" s="8">
        <f>H72*F72</f>
        <v>0</v>
      </c>
    </row>
    <row r="73" ht="14.25" customHeight="1">
      <c r="A73" t="str">
        <v>C</v>
      </c>
      <c r="B73" t="str">
        <v>Exclusions</v>
      </c>
    </row>
    <row r="74" ht="14.25" customHeight="1">
      <c r="A74">
        <v>1</v>
      </c>
      <c r="B74" t="str">
        <v>Concrete retaining walls</v>
      </c>
      <c r="C74" t="str">
        <v>N</v>
      </c>
    </row>
    <row r="75" ht="14.25" customHeight="1">
      <c r="A75">
        <f>A74+1</f>
        <v>2</v>
      </c>
      <c r="B75" t="str">
        <v>Offsite fill</v>
      </c>
      <c r="C75" t="str">
        <v>N</v>
      </c>
    </row>
    <row r="76" ht="14.25" customHeight="1">
      <c r="A76">
        <f>A75+1</f>
        <v>3</v>
      </c>
      <c r="B76" t="str">
        <v>Removal of unsuitable soils off site.</v>
      </c>
      <c r="C76" t="str">
        <v>N</v>
      </c>
    </row>
    <row r="77" ht="14.25" customHeight="1">
      <c r="A77">
        <f>A76+1</f>
        <v>4</v>
      </c>
      <c r="B77" t="str">
        <v>Benchmarks and off sets</v>
      </c>
      <c r="C77" t="str">
        <v>N</v>
      </c>
    </row>
    <row r="78" ht="14.25" customHeight="1">
      <c r="A78">
        <f>A77+1</f>
        <v>5</v>
      </c>
      <c r="B78" t="str">
        <v>Fence installation and modular retaining walls</v>
      </c>
      <c r="C78" t="str">
        <v>N</v>
      </c>
    </row>
    <row r="79" ht="14.25" customHeight="1"/>
    <row r="80" ht="14.25" customHeight="1">
      <c r="A80" t="str">
        <v>D</v>
      </c>
      <c r="B80" t="str">
        <v>Schedule</v>
      </c>
    </row>
    <row r="81" ht="14.25" customHeight="1">
      <c r="A81">
        <v>1</v>
      </c>
      <c r="B81" t="str">
        <v>Meet MCN Schedule</v>
      </c>
      <c r="C81" t="str">
        <v>Y</v>
      </c>
    </row>
    <row r="82" ht="14.25" customHeight="1">
      <c r="A82">
        <f>A81+1</f>
        <v>2</v>
      </c>
      <c r="B82" t="str">
        <v>Advise of Durations</v>
      </c>
    </row>
    <row r="83" ht="14.25" customHeight="1">
      <c r="A83">
        <f>A82+1</f>
        <v>3</v>
      </c>
      <c r="B83" t="str">
        <v>Activity 1</v>
      </c>
      <c r="C83" t="str">
        <v>---&gt;</v>
      </c>
    </row>
    <row r="84" ht="14.25" customHeight="1">
      <c r="A84">
        <f>A83+1</f>
        <v>4</v>
      </c>
      <c r="B84" t="str">
        <v>Activity 2</v>
      </c>
      <c r="C84" t="str">
        <v>---&gt;</v>
      </c>
    </row>
    <row r="85" ht="14.25" customHeight="1">
      <c r="A85">
        <f>A84+1</f>
        <v>5</v>
      </c>
      <c r="B85" t="str">
        <v>Activity 3</v>
      </c>
      <c r="C85" t="str">
        <v>---&gt;</v>
      </c>
    </row>
    <row r="86" ht="14.25" customHeight="1">
      <c r="A86">
        <f>A85+1</f>
        <v>6</v>
      </c>
      <c r="B86" t="str">
        <v>Duration for Submittals and Shop Drawings</v>
      </c>
      <c r="C86" t="str">
        <v>---&gt;</v>
      </c>
    </row>
    <row r="87" ht="14.25" customHeight="1">
      <c r="A87">
        <f>A86+1</f>
        <v>7</v>
      </c>
      <c r="B87" t="str">
        <v>Advise of Lead Times:</v>
      </c>
    </row>
    <row r="88" ht="14.25" customHeight="1">
      <c r="A88">
        <f>A87+1</f>
        <v>8</v>
      </c>
      <c r="B88" t="str">
        <v>Material 1</v>
      </c>
      <c r="C88" t="str">
        <v>---&gt;</v>
      </c>
    </row>
    <row r="89" ht="14.25" customHeight="1">
      <c r="A89">
        <f>A88+1</f>
        <v>9</v>
      </c>
      <c r="B89" t="str">
        <v>Material 2</v>
      </c>
      <c r="C89" t="str">
        <v>---&gt;</v>
      </c>
    </row>
    <row r="90" ht="14.25" customHeight="1">
      <c r="A90">
        <f>A89+1</f>
        <v>10</v>
      </c>
      <c r="B90" t="str">
        <v>Material 3</v>
      </c>
      <c r="C90" t="str">
        <v>---&gt;</v>
      </c>
    </row>
    <row r="91" ht="14.25" customHeight="1"/>
    <row r="92" ht="14.25" customHeight="1"/>
    <row r="93" ht="14.25" customHeight="1">
      <c r="B93" t="str">
        <v>Allowances</v>
      </c>
    </row>
    <row r="94" ht="14.25" customHeight="1">
      <c r="A94">
        <v>1</v>
      </c>
    </row>
    <row r="95" ht="14.25" customHeight="1">
      <c r="A95">
        <f>A94+1</f>
        <v>2</v>
      </c>
    </row>
    <row r="96" ht="14.25" customHeight="1">
      <c r="A96">
        <f>A95+1</f>
        <v>3</v>
      </c>
    </row>
    <row r="97" ht="14.25" customHeight="1">
      <c r="A97">
        <f>A96+1</f>
        <v>4</v>
      </c>
    </row>
    <row r="98" ht="14.25" customHeight="1"/>
    <row r="99" ht="14.25" customHeight="1"/>
    <row r="100" ht="14.25" customHeight="1">
      <c r="B100" t="str">
        <v>Alternates</v>
      </c>
    </row>
    <row r="101" ht="14.25" customHeight="1">
      <c r="A101">
        <v>1</v>
      </c>
      <c r="C101" t="str">
        <v>#</v>
      </c>
    </row>
    <row r="102" ht="14.25" customHeight="1">
      <c r="A102">
        <f>A101+1</f>
        <v>2</v>
      </c>
      <c r="C102" t="str">
        <v>#</v>
      </c>
    </row>
    <row r="103" ht="14.25" customHeight="1">
      <c r="A103">
        <f>A102+1</f>
        <v>3</v>
      </c>
      <c r="C103" t="str">
        <v>#</v>
      </c>
    </row>
    <row r="104" ht="14.25" customHeight="1">
      <c r="A104">
        <f>A103+1</f>
        <v>4</v>
      </c>
      <c r="C104" t="str">
        <v>#</v>
      </c>
    </row>
    <row r="105" ht="14.25" customHeight="1">
      <c r="C105" t="str">
        <v>#</v>
      </c>
    </row>
    <row r="106" ht="14.25" customHeight="1">
      <c r="B106" t="str">
        <v>Unit Prices</v>
      </c>
    </row>
    <row r="107" ht="14.25" customHeight="1">
      <c r="A107">
        <v>1</v>
      </c>
      <c r="C107" t="str">
        <v>#</v>
      </c>
    </row>
    <row r="108" ht="14.25" customHeight="1">
      <c r="A108">
        <f>A107+1</f>
        <v>2</v>
      </c>
      <c r="C108" t="str">
        <v>#</v>
      </c>
    </row>
    <row r="109" ht="14.25" customHeight="1">
      <c r="A109">
        <f>A108+1</f>
        <v>3</v>
      </c>
      <c r="C109" t="str">
        <v>#</v>
      </c>
    </row>
    <row r="110" ht="14.25" customHeight="1">
      <c r="A110">
        <f>A109+1</f>
        <v>4</v>
      </c>
      <c r="C110" t="str">
        <v>#</v>
      </c>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32 - PAVERS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SUM(I20:I94,I13:I18)</f>
        <v>0</v>
      </c>
      <c r="K7" t="str">
        <v>Adjustments:</v>
      </c>
      <c r="L7" s="4">
        <f>SUM(L13:L18,L20:L94)</f>
        <v>0</v>
      </c>
      <c r="N7" t="str">
        <v>Adjustments:</v>
      </c>
      <c r="O7" s="4">
        <f>SUM(O13:O18,O20:O94)</f>
        <v>0</v>
      </c>
      <c r="Q7" t="str">
        <v>Adjustments:</v>
      </c>
      <c r="R7" s="4">
        <f>SUM(R13:R18,R20:R94)</f>
        <v>0</v>
      </c>
      <c r="T7" t="str">
        <v>Adjustments:</v>
      </c>
      <c r="U7" s="4">
        <f>SUM(U13:U18,U20:U94)</f>
        <v>0</v>
      </c>
      <c r="W7" t="str">
        <v>Adjustments:</v>
      </c>
      <c r="X7" s="4">
        <f>SUM(X13:X18,X20:X94)</f>
        <v>0</v>
      </c>
      <c r="Z7" t="str">
        <v>Adjustments:</v>
      </c>
      <c r="AA7" s="4">
        <f>SUM(AA13:AA18,AA20:AA94)</f>
        <v>0</v>
      </c>
      <c r="AC7" t="str">
        <v>Adjustments:</v>
      </c>
      <c r="AD7" s="4">
        <f>SUM(AD13:AD18,AD20:AD94)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Furnish and install all paver types (granite, precast concrete, brick, etc) indicated to sizes, dimensions, profiles, lines and grades indicated:</v>
      </c>
      <c r="C43" t="str">
        <v>Y</v>
      </c>
      <c r="I43" s="8">
        <f>H43*F43</f>
        <v>0</v>
      </c>
    </row>
    <row r="44" ht="14.25" customHeight="1">
      <c r="A44">
        <v>3</v>
      </c>
      <c r="B44" t="str">
        <v>[PAV-X:  Type of stone]:  Exterior stone paving (coordinate w/site concrete)</v>
      </c>
      <c r="C44" t="str">
        <v>Y</v>
      </c>
      <c r="I44" s="8">
        <f>H44*F44</f>
        <v>0</v>
      </c>
    </row>
    <row r="45" ht="14.25" customHeight="1">
      <c r="A45">
        <v>4</v>
      </c>
      <c r="B45" t="str">
        <v>[PAV-X:  Type of stone]:  Exterior stone paving (coordinate w/site concrete)</v>
      </c>
      <c r="C45" t="str">
        <v>Y</v>
      </c>
      <c r="I45" s="8">
        <f>H45*F45</f>
        <v>0</v>
      </c>
    </row>
    <row r="46" ht="14.25" customHeight="1">
      <c r="A46">
        <v>5</v>
      </c>
      <c r="B46" t="str">
        <v>[PAV-X:  Type of stone]:  Exterior stone paving (coordinate w/site concrete)</v>
      </c>
      <c r="C46" t="str">
        <v>Y</v>
      </c>
      <c r="I46" s="8">
        <f>H46*F46</f>
        <v>0</v>
      </c>
    </row>
    <row r="47" ht="14.25" customHeight="1">
      <c r="A47">
        <v>6</v>
      </c>
      <c r="B47" t="str">
        <v>Accessories to include metal strips in UNIT PAVERS</v>
      </c>
      <c r="C47" t="str">
        <v>Y</v>
      </c>
      <c r="I47" s="8">
        <f>H47*F47</f>
        <v>0</v>
      </c>
    </row>
    <row r="48" ht="14.25" customHeight="1">
      <c r="A48">
        <v>7</v>
      </c>
      <c r="C48" t="str">
        <v>Y</v>
      </c>
      <c r="I48" s="8">
        <f>H48*F48</f>
        <v>0</v>
      </c>
    </row>
    <row r="49" ht="14.25" customHeight="1">
      <c r="A49">
        <v>8</v>
      </c>
      <c r="B49" t="str">
        <v>STANDARD / GENERAL SCOPE</v>
      </c>
      <c r="C49" t="str">
        <v>Y</v>
      </c>
      <c r="I49" s="8">
        <f>H49*F49</f>
        <v>0</v>
      </c>
    </row>
    <row r="50" ht="14.25" customHeight="1">
      <c r="A50">
        <v>9</v>
      </c>
      <c r="B50" t="str">
        <v>Finish as indicated</v>
      </c>
      <c r="C50" t="str">
        <v>Y</v>
      </c>
      <c r="I50" s="8">
        <f>H50*F50</f>
        <v>0</v>
      </c>
    </row>
    <row r="51" ht="14.25" customHeight="1">
      <c r="A51">
        <v>10</v>
      </c>
      <c r="B51" t="str">
        <v>Sand and/or cement mortar setting beds for paving</v>
      </c>
      <c r="C51" t="str">
        <v>Y</v>
      </c>
      <c r="I51" s="8">
        <f>H51*F51</f>
        <v>0</v>
      </c>
    </row>
    <row r="52" ht="14.25" customHeight="1">
      <c r="A52">
        <v>11</v>
      </c>
      <c r="B52" t="str">
        <v>Grouting of stone joints</v>
      </c>
      <c r="C52" t="str">
        <v>Y</v>
      </c>
      <c r="I52" s="8">
        <f>H52*F52</f>
        <v>0</v>
      </c>
    </row>
    <row r="53" ht="14.25" customHeight="1">
      <c r="A53">
        <v>12</v>
      </c>
      <c r="B53" t="str">
        <v>Field cutting of stone to fit site conditions, or field measurements prior to fab</v>
      </c>
      <c r="C53" t="str">
        <v>Y</v>
      </c>
      <c r="I53" s="8">
        <f>H53*F53</f>
        <v>0</v>
      </c>
    </row>
    <row r="54" ht="14.25" customHeight="1">
      <c r="A54">
        <v>13</v>
      </c>
      <c r="B54" t="str">
        <v>Control joints spaced per spec</v>
      </c>
      <c r="C54" t="str">
        <v>Y</v>
      </c>
      <c r="I54" s="8">
        <f>H54*F54</f>
        <v>0</v>
      </c>
    </row>
    <row r="55" ht="14.25" customHeight="1">
      <c r="A55">
        <v>14</v>
      </c>
      <c r="B55" t="str">
        <v>Provide all tools, equip, hoisting, etc for your work</v>
      </c>
      <c r="C55" t="str">
        <v>Y</v>
      </c>
      <c r="I55" s="8">
        <f>H55*F55</f>
        <v>0</v>
      </c>
    </row>
    <row r="56" ht="14.25" customHeight="1">
      <c r="A56">
        <v>15</v>
      </c>
      <c r="B56" t="str">
        <v>Protect work of other trades from damage by your operations</v>
      </c>
      <c r="C56" t="str">
        <v>Y</v>
      </c>
      <c r="I56" s="8">
        <f>H56*F56</f>
        <v>0</v>
      </c>
    </row>
    <row r="57" ht="14.25" customHeight="1">
      <c r="A57">
        <v>16</v>
      </c>
      <c r="B57" t="str">
        <v>Layout from GC control lines and benchmarks</v>
      </c>
      <c r="C57" t="str">
        <v>Y</v>
      </c>
      <c r="I57" s="8">
        <f>H57*F57</f>
        <v>0</v>
      </c>
    </row>
    <row r="58" ht="14.25" customHeight="1">
      <c r="A58">
        <v>17</v>
      </c>
      <c r="B58" t="str">
        <v>Clean up debris and dispose in MCN dumpster</v>
      </c>
      <c r="C58" t="str">
        <v>Y</v>
      </c>
      <c r="I58" s="8">
        <f>H58*F58</f>
        <v>0</v>
      </c>
    </row>
    <row r="59" ht="14.25" customHeight="1">
      <c r="A59">
        <v>18</v>
      </c>
      <c r="B59" t="str">
        <v>Perform final wash down of stone to leave in clean condition</v>
      </c>
      <c r="C59" t="str">
        <v>Y</v>
      </c>
      <c r="I59" s="8">
        <f>H59*F59</f>
        <v>0</v>
      </c>
    </row>
    <row r="60" ht="14.25" customHeight="1">
      <c r="A60">
        <v>19</v>
      </c>
      <c r="B60" t="str">
        <v>Product data, samples, shop drawings, test reports, certs, etc</v>
      </c>
      <c r="C60" t="str">
        <v>Y</v>
      </c>
      <c r="I60" s="8">
        <f>H60*F60</f>
        <v>0</v>
      </c>
    </row>
    <row r="61" ht="14.25" customHeight="1">
      <c r="A61">
        <v>20</v>
      </c>
      <c r="B61" t="str">
        <v xml:space="preserve">Mock-ups </v>
      </c>
      <c r="C61" t="str">
        <v>Y</v>
      </c>
      <c r="I61" s="8">
        <f>H61*F61</f>
        <v>0</v>
      </c>
    </row>
    <row r="62" ht="14.25" customHeight="1">
      <c r="A62">
        <v>21</v>
      </c>
      <c r="B62" t="str">
        <v>Provide extra stock per specs for each stone type</v>
      </c>
      <c r="C62" t="str">
        <v>Y</v>
      </c>
      <c r="I62" s="8">
        <f>H62*F62</f>
        <v>0</v>
      </c>
    </row>
    <row r="63" ht="14.25" customHeight="1">
      <c r="A63">
        <v>22</v>
      </c>
      <c r="C63" t="str">
        <v>Y</v>
      </c>
      <c r="I63" s="8">
        <f>H63*F63</f>
        <v>0</v>
      </c>
    </row>
    <row r="64" ht="14.25" customHeight="1">
      <c r="A64">
        <v>23</v>
      </c>
      <c r="C64" t="str">
        <v>Y</v>
      </c>
      <c r="I64" s="8">
        <f>H64*F64</f>
        <v>0</v>
      </c>
    </row>
    <row r="65" ht="14.25" customHeight="1">
      <c r="I65" s="8">
        <f>H65*F65</f>
        <v>0</v>
      </c>
    </row>
    <row r="66" ht="14.25" customHeight="1">
      <c r="A66" t="str">
        <v>C</v>
      </c>
      <c r="B66" t="str">
        <v>Exclusions</v>
      </c>
    </row>
    <row r="67" ht="14.25" customHeight="1">
      <c r="A67">
        <v>1</v>
      </c>
      <c r="B67" t="str">
        <v>F&amp;I concrete sub base for granite/unit pavers (By Site Concrete)</v>
      </c>
      <c r="C67" t="str">
        <v>N</v>
      </c>
    </row>
    <row r="68" ht="14.25" customHeight="1">
      <c r="A68">
        <f>A67+1</f>
        <v>2</v>
      </c>
      <c r="C68" t="str">
        <v>N</v>
      </c>
    </row>
    <row r="69" ht="14.25" customHeight="1">
      <c r="A69">
        <f>A68+1</f>
        <v>3</v>
      </c>
      <c r="C69" t="str">
        <v>N</v>
      </c>
    </row>
    <row r="70" ht="14.25" customHeight="1">
      <c r="A70">
        <f>A69+1</f>
        <v>4</v>
      </c>
      <c r="C70" t="str">
        <v>N</v>
      </c>
    </row>
    <row r="71" ht="14.25" customHeight="1">
      <c r="A71">
        <f>A70+1</f>
        <v>5</v>
      </c>
      <c r="C71" t="str">
        <v>N</v>
      </c>
    </row>
    <row r="72" ht="14.25" customHeight="1">
      <c r="A72">
        <f>A71+1</f>
        <v>6</v>
      </c>
      <c r="C72" t="str">
        <v>N</v>
      </c>
    </row>
    <row r="73" ht="14.25" customHeight="1">
      <c r="A73">
        <f>A72+1</f>
        <v>7</v>
      </c>
      <c r="C73" t="str">
        <v>N</v>
      </c>
    </row>
    <row r="74" ht="14.25" customHeight="1">
      <c r="A74">
        <f>A73+1</f>
        <v>8</v>
      </c>
      <c r="C74" t="str">
        <v>N</v>
      </c>
    </row>
    <row r="75" ht="14.25" customHeight="1"/>
    <row r="76" ht="14.25" customHeight="1">
      <c r="A76" t="str">
        <v>D</v>
      </c>
      <c r="B76" t="str">
        <v>Schedule</v>
      </c>
    </row>
    <row r="77" ht="14.25" customHeight="1">
      <c r="A77">
        <v>1</v>
      </c>
      <c r="B77" t="str">
        <v>Meet MCN Schedule</v>
      </c>
      <c r="C77" t="str">
        <v>Y</v>
      </c>
    </row>
    <row r="78" ht="14.25" customHeight="1">
      <c r="A78">
        <f>A77+1</f>
        <v>2</v>
      </c>
      <c r="B78" t="str">
        <v>Advise of Durations</v>
      </c>
    </row>
    <row r="79" ht="14.25" customHeight="1">
      <c r="A79">
        <f>A78+1</f>
        <v>3</v>
      </c>
      <c r="B79" t="str">
        <v>Activity 1</v>
      </c>
      <c r="C79" t="str">
        <v>---&gt;</v>
      </c>
    </row>
    <row r="80" ht="14.25" customHeight="1">
      <c r="A80">
        <f>A79+1</f>
        <v>4</v>
      </c>
      <c r="B80" t="str">
        <v>Activity 2</v>
      </c>
      <c r="C80" t="str">
        <v>---&gt;</v>
      </c>
    </row>
    <row r="81" ht="14.25" customHeight="1">
      <c r="A81">
        <f>A80+1</f>
        <v>5</v>
      </c>
      <c r="B81" t="str">
        <v>Activity 3</v>
      </c>
      <c r="C81" t="str">
        <v>---&gt;</v>
      </c>
    </row>
    <row r="82" ht="14.25" customHeight="1">
      <c r="A82">
        <f>A81+1</f>
        <v>6</v>
      </c>
      <c r="B82" t="str">
        <v>Duration for Submittals and Shop Drawings</v>
      </c>
      <c r="C82" t="str">
        <v>---&gt;</v>
      </c>
    </row>
    <row r="83" ht="14.25" customHeight="1">
      <c r="A83">
        <f>A82+1</f>
        <v>7</v>
      </c>
      <c r="B83" t="str">
        <v>Advise of Lead Times:</v>
      </c>
    </row>
    <row r="84" ht="14.25" customHeight="1">
      <c r="A84">
        <f>A83+1</f>
        <v>8</v>
      </c>
      <c r="B84" t="str">
        <v>Material 1</v>
      </c>
      <c r="C84" t="str">
        <v>---&gt;</v>
      </c>
    </row>
    <row r="85" ht="14.25" customHeight="1">
      <c r="A85">
        <f>A84+1</f>
        <v>9</v>
      </c>
      <c r="B85" t="str">
        <v>Material 2</v>
      </c>
      <c r="C85" t="str">
        <v>---&gt;</v>
      </c>
    </row>
    <row r="86" ht="14.25" customHeight="1">
      <c r="A86">
        <f>A85+1</f>
        <v>10</v>
      </c>
      <c r="B86" t="str">
        <v>Material 3</v>
      </c>
      <c r="C86" t="str">
        <v>---&gt;</v>
      </c>
    </row>
    <row r="87" ht="14.25" customHeight="1"/>
    <row r="88" ht="14.25" customHeight="1"/>
    <row r="89" ht="14.25" customHeight="1">
      <c r="B89" t="str">
        <v>Allowances</v>
      </c>
    </row>
    <row r="90" ht="14.25" customHeight="1">
      <c r="A90">
        <v>1</v>
      </c>
    </row>
    <row r="91" ht="14.25" customHeight="1">
      <c r="A91">
        <f>A90+1</f>
        <v>2</v>
      </c>
    </row>
    <row r="92" ht="14.25" customHeight="1">
      <c r="A92">
        <f>A91+1</f>
        <v>3</v>
      </c>
    </row>
    <row r="93" ht="14.25" customHeight="1">
      <c r="A93">
        <f>A92+1</f>
        <v>4</v>
      </c>
    </row>
    <row r="94" ht="14.25" customHeight="1"/>
    <row r="95" ht="14.25" customHeight="1"/>
    <row r="96" ht="14.25" customHeight="1">
      <c r="B96" t="str">
        <v>Alternates</v>
      </c>
    </row>
    <row r="97" ht="14.25" customHeight="1">
      <c r="A97">
        <v>1</v>
      </c>
      <c r="C97" t="str">
        <v>#</v>
      </c>
    </row>
    <row r="98" ht="14.25" customHeight="1">
      <c r="A98">
        <f>A97+1</f>
        <v>2</v>
      </c>
      <c r="C98" t="str">
        <v>#</v>
      </c>
    </row>
    <row r="99" ht="14.25" customHeight="1">
      <c r="A99">
        <f>A98+1</f>
        <v>3</v>
      </c>
      <c r="C99" t="str">
        <v>#</v>
      </c>
    </row>
    <row r="100" ht="14.25" customHeight="1">
      <c r="A100">
        <f>A99+1</f>
        <v>4</v>
      </c>
      <c r="C100" t="str">
        <v>#</v>
      </c>
    </row>
    <row r="101" ht="14.25" customHeight="1">
      <c r="C101" t="str">
        <v>#</v>
      </c>
    </row>
    <row r="102" ht="14.25" customHeight="1">
      <c r="B102" t="str">
        <v>Unit Prices</v>
      </c>
    </row>
    <row r="103" ht="14.25" customHeight="1">
      <c r="A103">
        <v>1</v>
      </c>
      <c r="C103" t="str">
        <v>#</v>
      </c>
    </row>
    <row r="104" ht="14.25" customHeight="1">
      <c r="A104">
        <f>A103+1</f>
        <v>2</v>
      </c>
      <c r="C104" t="str">
        <v>#</v>
      </c>
    </row>
    <row r="105" ht="14.25" customHeight="1">
      <c r="A105">
        <f>A104+1</f>
        <v>3</v>
      </c>
      <c r="C105" t="str">
        <v>#</v>
      </c>
    </row>
    <row r="106" ht="14.25" customHeight="1">
      <c r="A106">
        <f>A105+1</f>
        <v>4</v>
      </c>
      <c r="C106" t="str">
        <v>#</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hidden="true" level="1" outlineLevel="1"/>
    <col min="7" max="7" customWidth="1" width="5.43" hidden="true" level="1" outlineLevel="1"/>
    <col min="8" max="8" customWidth="1" width="9.14" hidden="true" level="1" outlineLevel="1"/>
    <col min="9" max="9" customWidth="1" width="9.14" hidden="true"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32 - SITE FURNISHINGS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SUM(I20:I89,I13:I18)</f>
        <v>0</v>
      </c>
      <c r="K7" t="str">
        <v>Adjustments:</v>
      </c>
      <c r="L7" s="4">
        <f>SUM(L13:L18,L20:L89)</f>
        <v>0</v>
      </c>
      <c r="N7" t="str">
        <v>Adjustments:</v>
      </c>
      <c r="O7" s="4">
        <f>SUM(O13:O18,O20:O89)</f>
        <v>0</v>
      </c>
      <c r="Q7" t="str">
        <v>Adjustments:</v>
      </c>
      <c r="R7" s="4">
        <f>SUM(R13:R18,R20:R89)</f>
        <v>0</v>
      </c>
      <c r="T7" t="str">
        <v>Adjustments:</v>
      </c>
      <c r="U7" s="4">
        <f>SUM(U13:U18,U20:U89)</f>
        <v>0</v>
      </c>
      <c r="W7" t="str">
        <v>Adjustments:</v>
      </c>
      <c r="X7" s="4">
        <f>SUM(X13:X18,X20:X89)</f>
        <v>0</v>
      </c>
      <c r="Z7" t="str">
        <v>Adjustments:</v>
      </c>
      <c r="AA7" s="4">
        <f>SUM(AA13:AA18,AA20:AA89)</f>
        <v>0</v>
      </c>
      <c r="AC7" t="str">
        <v>Adjustments:</v>
      </c>
      <c r="AD7" s="4">
        <f>SUM(AD13:AD18,AD20:AD89)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 xml:space="preserve">Site Furnishing Scope </v>
      </c>
      <c r="C43" t="str">
        <v>Y</v>
      </c>
      <c r="I43" s="8">
        <f>H43*F43</f>
        <v>0</v>
      </c>
    </row>
    <row r="44" ht="14.25" customHeight="1">
      <c r="A44">
        <v>3</v>
      </c>
      <c r="B44" t="str">
        <v>Bike Racks (Inverted U Bike Racks by Fuction First Inc.) per dwg  L-__ at Street Level,/Courtyard and detail 6_/L-__  …….QTY______EA</v>
      </c>
      <c r="C44" t="str">
        <v>Y</v>
      </c>
      <c r="I44" s="8">
        <f>H44*F44</f>
        <v>0</v>
      </c>
    </row>
    <row r="45" ht="14.25" customHeight="1">
      <c r="A45">
        <v>4</v>
      </c>
      <c r="B45" t="str">
        <v>Benches (6' / 8'  Bench by ______) at Street / courtyard per dwgs L-_ and detail _/L__ …….QTY______EA (Concrete Footing by Conc Site Work Contractor)</v>
      </c>
      <c r="C45" t="str">
        <v>Y</v>
      </c>
      <c r="I45" s="8">
        <f>H45*F45</f>
        <v>0</v>
      </c>
    </row>
    <row r="46" ht="14.25" customHeight="1">
      <c r="A46">
        <v>5</v>
      </c>
      <c r="B46" t="str">
        <v>Fiber Glass - Precast Planters. F&amp;I Glass Fiber and /or Reinforced Conc Planters by ___" Sizes  __" SQ.  __"DIA. and _' X _' as shown on L-__and detail _/L-__. Work also includes …..</v>
      </c>
      <c r="C46" t="str">
        <v>Y</v>
      </c>
      <c r="I46" s="8">
        <f>H46*F46</f>
        <v>0</v>
      </c>
    </row>
    <row r="47" ht="14.25" customHeight="1">
      <c r="A47">
        <v>6</v>
      </c>
      <c r="B47" t="str">
        <v>Tree Grate w/Frame Work per _/L-__and details _/L-__. Work includes F &amp; I Metal Grate &amp; Frame by ….</v>
      </c>
      <c r="C47" t="str">
        <v>Y</v>
      </c>
      <c r="I47" s="8">
        <f>H47*F47</f>
        <v>0</v>
      </c>
    </row>
    <row r="48" ht="14.25" customHeight="1">
      <c r="A48">
        <v>7</v>
      </c>
      <c r="B48" t="str">
        <v>36"Gallon Litter Receptacles per dwg note __/L-__ and detail __/L-__. Includes F&amp;I Victor Stanley type Ironside S-42  Trash Receptacles</v>
      </c>
      <c r="C48" t="str">
        <v>Y</v>
      </c>
      <c r="I48" s="8">
        <f>H48*F48</f>
        <v>0</v>
      </c>
    </row>
    <row r="49" ht="14.25" customHeight="1">
      <c r="A49">
        <v>8</v>
      </c>
      <c r="B49" t="str">
        <v>Metal Edging as required per detail _/L___</v>
      </c>
      <c r="C49" t="str">
        <v>Y</v>
      </c>
      <c r="I49" s="8">
        <f>H49*F49</f>
        <v>0</v>
      </c>
    </row>
    <row r="50" ht="14.25" customHeight="1">
      <c r="A50">
        <v>9</v>
      </c>
      <c r="B50" t="str">
        <v>Supply two extra ___trash receptacles (Specs Sect __/12 ____)</v>
      </c>
      <c r="C50" t="str">
        <v>Y</v>
      </c>
      <c r="I50" s="8">
        <f>H50*F50</f>
        <v>0</v>
      </c>
    </row>
    <row r="51" ht="14.25" customHeight="1">
      <c r="A51">
        <v>10</v>
      </c>
      <c r="C51" t="str">
        <v>Y</v>
      </c>
      <c r="I51" s="8">
        <f>H51*F51</f>
        <v>0</v>
      </c>
    </row>
    <row r="52" ht="14.25" customHeight="1">
      <c r="A52">
        <v>11</v>
      </c>
      <c r="B52" t="str">
        <v>STANDARD / GENERAL SCOPE</v>
      </c>
      <c r="C52" t="str">
        <v>Y</v>
      </c>
      <c r="I52" s="8">
        <f>H52*F52</f>
        <v>0</v>
      </c>
    </row>
    <row r="53" ht="14.25" customHeight="1">
      <c r="A53">
        <v>12</v>
      </c>
      <c r="B53" t="str">
        <v>Include all mat'l, tools, equipment, hoisting/rigging, supervision, etc for this work</v>
      </c>
      <c r="C53" t="str">
        <v>Y</v>
      </c>
      <c r="I53" s="8">
        <f>H53*F53</f>
        <v>0</v>
      </c>
    </row>
    <row r="54" ht="14.25" customHeight="1">
      <c r="A54">
        <v>13</v>
      </c>
      <c r="B54" t="str">
        <v>Layout from GC control lines and benchmarks</v>
      </c>
      <c r="C54" t="str">
        <v>Y</v>
      </c>
      <c r="I54" s="8">
        <f>H54*F54</f>
        <v>0</v>
      </c>
    </row>
    <row r="55" ht="14.25" customHeight="1">
      <c r="A55">
        <v>14</v>
      </c>
      <c r="B55" t="str">
        <v>Clean up to MCN dumpster</v>
      </c>
      <c r="C55" t="str">
        <v>Y</v>
      </c>
      <c r="I55" s="8">
        <f>H55*F55</f>
        <v>0</v>
      </c>
    </row>
    <row r="56" ht="14.25" customHeight="1">
      <c r="A56">
        <v>15</v>
      </c>
      <c r="B56" t="str">
        <v>Shop dwgs, samples, product data, certs, test reports, manuals, etc</v>
      </c>
      <c r="C56" t="str">
        <v>Y</v>
      </c>
      <c r="I56" s="8">
        <f>H56*F56</f>
        <v>0</v>
      </c>
    </row>
    <row r="57" ht="14.25" customHeight="1">
      <c r="A57">
        <v>16</v>
      </c>
      <c r="B57" t="str">
        <v>Warranties per spec</v>
      </c>
      <c r="C57" t="str">
        <v>Y</v>
      </c>
      <c r="I57" s="8">
        <f>H57*F57</f>
        <v>0</v>
      </c>
    </row>
    <row r="58" ht="14.25" customHeight="1">
      <c r="A58">
        <v>17</v>
      </c>
      <c r="C58" t="str">
        <v>Y</v>
      </c>
      <c r="I58" s="8">
        <f>H58*F58</f>
        <v>0</v>
      </c>
    </row>
    <row r="59" ht="14.25" customHeight="1">
      <c r="A59">
        <v>18</v>
      </c>
      <c r="C59" t="str">
        <v>Y</v>
      </c>
      <c r="I59" s="8">
        <f>H59*F59</f>
        <v>0</v>
      </c>
    </row>
    <row r="60" ht="14.25" customHeight="1">
      <c r="I60" s="8">
        <f>H60*F60</f>
        <v>0</v>
      </c>
    </row>
    <row r="61" ht="14.25" customHeight="1">
      <c r="A61" t="str">
        <v>C</v>
      </c>
      <c r="B61" t="str">
        <v>Exclusions</v>
      </c>
    </row>
    <row r="62" ht="14.25" customHeight="1">
      <c r="A62">
        <v>1</v>
      </c>
      <c r="C62" t="str">
        <v>N</v>
      </c>
    </row>
    <row r="63" ht="14.25" customHeight="1">
      <c r="A63">
        <f>A62+1</f>
        <v>2</v>
      </c>
      <c r="C63" t="str">
        <v>N</v>
      </c>
    </row>
    <row r="64" ht="14.25" customHeight="1">
      <c r="A64">
        <f>A63+1</f>
        <v>3</v>
      </c>
      <c r="C64" t="str">
        <v>N</v>
      </c>
    </row>
    <row r="65" ht="14.25" customHeight="1">
      <c r="A65">
        <f>A64+1</f>
        <v>4</v>
      </c>
      <c r="C65" t="str">
        <v>N</v>
      </c>
    </row>
    <row r="66" ht="14.25" customHeight="1">
      <c r="A66">
        <f>A65+1</f>
        <v>5</v>
      </c>
      <c r="C66" t="str">
        <v>N</v>
      </c>
    </row>
    <row r="67" ht="14.25" customHeight="1">
      <c r="A67">
        <f>A66+1</f>
        <v>6</v>
      </c>
      <c r="C67" t="str">
        <v>N</v>
      </c>
    </row>
    <row r="68" ht="14.25" customHeight="1">
      <c r="A68">
        <f>A67+1</f>
        <v>7</v>
      </c>
      <c r="C68" t="str">
        <v>N</v>
      </c>
    </row>
    <row r="69" ht="14.25" customHeight="1">
      <c r="A69">
        <f>A68+1</f>
        <v>8</v>
      </c>
      <c r="C69" t="str">
        <v>N</v>
      </c>
    </row>
    <row r="70" ht="14.25" customHeight="1"/>
    <row r="71" ht="14.25" customHeight="1">
      <c r="A71" t="str">
        <v>D</v>
      </c>
      <c r="B71" t="str">
        <v>Schedule</v>
      </c>
    </row>
    <row r="72" ht="14.25" customHeight="1">
      <c r="A72">
        <v>1</v>
      </c>
      <c r="B72" t="str">
        <v>Meet MCN Schedule</v>
      </c>
      <c r="C72" t="str">
        <v>Y</v>
      </c>
    </row>
    <row r="73" ht="14.25" customHeight="1">
      <c r="A73">
        <f>A72+1</f>
        <v>2</v>
      </c>
      <c r="B73" t="str">
        <v>Advise of Durations</v>
      </c>
    </row>
    <row r="74" ht="14.25" customHeight="1">
      <c r="A74">
        <f>A73+1</f>
        <v>3</v>
      </c>
      <c r="B74" t="str">
        <v>Activity 1</v>
      </c>
      <c r="C74" t="str">
        <v>---&gt;</v>
      </c>
    </row>
    <row r="75" ht="14.25" customHeight="1">
      <c r="A75">
        <f>A74+1</f>
        <v>4</v>
      </c>
      <c r="B75" t="str">
        <v>Activity 2</v>
      </c>
      <c r="C75" t="str">
        <v>---&gt;</v>
      </c>
    </row>
    <row r="76" ht="14.25" customHeight="1">
      <c r="A76">
        <f>A75+1</f>
        <v>5</v>
      </c>
      <c r="B76" t="str">
        <v>Activity 3</v>
      </c>
      <c r="C76" t="str">
        <v>---&gt;</v>
      </c>
    </row>
    <row r="77" ht="14.25" customHeight="1">
      <c r="A77">
        <f>A76+1</f>
        <v>6</v>
      </c>
      <c r="B77" t="str">
        <v>Duration for Submittals and Shop Drawings</v>
      </c>
      <c r="C77" t="str">
        <v>---&gt;</v>
      </c>
    </row>
    <row r="78" ht="14.25" customHeight="1">
      <c r="A78">
        <f>A77+1</f>
        <v>7</v>
      </c>
      <c r="B78" t="str">
        <v>Advise of Lead Times:</v>
      </c>
    </row>
    <row r="79" ht="14.25" customHeight="1">
      <c r="A79">
        <f>A78+1</f>
        <v>8</v>
      </c>
      <c r="B79" t="str">
        <v>Material 1</v>
      </c>
      <c r="C79" t="str">
        <v>---&gt;</v>
      </c>
    </row>
    <row r="80" ht="14.25" customHeight="1">
      <c r="A80">
        <f>A79+1</f>
        <v>9</v>
      </c>
      <c r="B80" t="str">
        <v>Material 2</v>
      </c>
      <c r="C80" t="str">
        <v>---&gt;</v>
      </c>
    </row>
    <row r="81" ht="14.25" customHeight="1">
      <c r="A81">
        <f>A80+1</f>
        <v>10</v>
      </c>
      <c r="B81" t="str">
        <v>Material 3</v>
      </c>
      <c r="C81" t="str">
        <v>---&gt;</v>
      </c>
    </row>
    <row r="82" ht="14.25" customHeight="1"/>
    <row r="83" ht="14.25" customHeight="1"/>
    <row r="84" ht="14.25" customHeight="1">
      <c r="B84" t="str">
        <v>Allowances</v>
      </c>
    </row>
    <row r="85" ht="14.25" customHeight="1">
      <c r="A85">
        <v>1</v>
      </c>
    </row>
    <row r="86" ht="14.25" customHeight="1">
      <c r="A86">
        <f>A85+1</f>
        <v>2</v>
      </c>
    </row>
    <row r="87" ht="14.25" customHeight="1">
      <c r="A87">
        <f>A86+1</f>
        <v>3</v>
      </c>
    </row>
    <row r="88" ht="14.25" customHeight="1">
      <c r="A88">
        <f>A87+1</f>
        <v>4</v>
      </c>
    </row>
    <row r="89" ht="14.25" customHeight="1"/>
    <row r="90" ht="14.25" customHeight="1"/>
    <row r="91" ht="14.25" customHeight="1">
      <c r="B91" t="str">
        <v>Alternates</v>
      </c>
    </row>
    <row r="92" ht="14.25" customHeight="1">
      <c r="A92">
        <v>1</v>
      </c>
      <c r="C92" t="str">
        <v>#</v>
      </c>
    </row>
    <row r="93" ht="14.25" customHeight="1">
      <c r="A93">
        <f>A92+1</f>
        <v>2</v>
      </c>
      <c r="C93" t="str">
        <v>#</v>
      </c>
    </row>
    <row r="94" ht="14.25" customHeight="1">
      <c r="A94">
        <f>A93+1</f>
        <v>3</v>
      </c>
      <c r="C94" t="str">
        <v>#</v>
      </c>
    </row>
    <row r="95" ht="14.25" customHeight="1">
      <c r="A95">
        <f>A94+1</f>
        <v>4</v>
      </c>
      <c r="C95" t="str">
        <v>#</v>
      </c>
    </row>
    <row r="96" ht="14.25" customHeight="1">
      <c r="C96" t="str">
        <v>#</v>
      </c>
    </row>
    <row r="97" ht="14.25" customHeight="1">
      <c r="B97" t="str">
        <v>Unit Prices</v>
      </c>
    </row>
    <row r="98" ht="14.25" customHeight="1">
      <c r="A98">
        <v>1</v>
      </c>
      <c r="C98" t="str">
        <v>#</v>
      </c>
    </row>
    <row r="99" ht="14.25" customHeight="1">
      <c r="A99">
        <f>A98+1</f>
        <v>2</v>
      </c>
      <c r="C99" t="str">
        <v>#</v>
      </c>
    </row>
    <row r="100" ht="14.25" customHeight="1">
      <c r="A100">
        <f>A99+1</f>
        <v>3</v>
      </c>
      <c r="C100" t="str">
        <v>#</v>
      </c>
    </row>
    <row r="101" ht="14.25" customHeight="1">
      <c r="A101">
        <f>A100+1</f>
        <v>4</v>
      </c>
      <c r="C101" t="str">
        <v>#</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02 - ABATEMENT</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SUM(I20:I81,I13:I18)</f>
        <v>0</v>
      </c>
      <c r="K7" t="str">
        <v>Adjustments:</v>
      </c>
      <c r="L7" s="4">
        <f>SUM(L13:L18,L20:L81)</f>
        <v>0</v>
      </c>
      <c r="N7" t="str">
        <v>Adjustments:</v>
      </c>
      <c r="O7" s="4">
        <f>SUM(O13:O18,O20:O81)</f>
        <v>0</v>
      </c>
      <c r="Q7" t="str">
        <v>Adjustments:</v>
      </c>
      <c r="R7" s="4">
        <f>SUM(R13:R18,R20:R81)</f>
        <v>0</v>
      </c>
      <c r="T7" t="str">
        <v>Adjustments:</v>
      </c>
      <c r="U7" s="4">
        <f>SUM(U13:U18,U20:U81)</f>
        <v>0</v>
      </c>
      <c r="W7" t="str">
        <v>Adjustments:</v>
      </c>
      <c r="X7" s="4">
        <f>SUM(X13:X18,X20:X81)</f>
        <v>0</v>
      </c>
      <c r="Z7" t="str">
        <v>Adjustments:</v>
      </c>
      <c r="AA7" s="4">
        <f>SUM(AA13:AA18,AA20:AA81)</f>
        <v>0</v>
      </c>
      <c r="AC7" t="str">
        <v>Adjustments:</v>
      </c>
      <c r="AD7" s="4">
        <f>SUM(AD13:AD18,AD20:AD81)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Scope</v>
      </c>
      <c r="C43" t="str">
        <v>Y</v>
      </c>
      <c r="I43" s="8">
        <f>H43*F43</f>
        <v>0</v>
      </c>
    </row>
    <row r="44" ht="14.25" customHeight="1">
      <c r="A44">
        <f>A43+1</f>
        <v>3</v>
      </c>
      <c r="B44" t="str">
        <v>Scope</v>
      </c>
      <c r="C44" t="str">
        <v>Y</v>
      </c>
      <c r="I44" s="8">
        <f>H44*F44</f>
        <v>0</v>
      </c>
    </row>
    <row r="45" ht="14.25" customHeight="1">
      <c r="A45">
        <f>A44+1</f>
        <v>4</v>
      </c>
      <c r="B45" t="str">
        <v>Scope</v>
      </c>
      <c r="C45" t="str">
        <v>Y</v>
      </c>
      <c r="I45" s="8">
        <f>H45*F45</f>
        <v>0</v>
      </c>
    </row>
    <row r="46" ht="14.25" customHeight="1">
      <c r="A46">
        <f>A45+1</f>
        <v>5</v>
      </c>
      <c r="B46" t="str">
        <v>Scope</v>
      </c>
      <c r="C46" t="str">
        <v>Y</v>
      </c>
      <c r="I46" s="8">
        <f>H46*F46</f>
        <v>0</v>
      </c>
    </row>
    <row r="47" ht="14.25" customHeight="1">
      <c r="A47">
        <f>A46+1</f>
        <v>6</v>
      </c>
      <c r="B47" t="str">
        <v>Scope</v>
      </c>
      <c r="C47" t="str">
        <v>Y</v>
      </c>
      <c r="I47" s="8">
        <f>H47*F47</f>
        <v>0</v>
      </c>
    </row>
    <row r="48" ht="14.25" customHeight="1">
      <c r="A48">
        <f>A47+1</f>
        <v>7</v>
      </c>
      <c r="C48" t="str">
        <v>Y</v>
      </c>
      <c r="I48" s="8">
        <f>H48*F48</f>
        <v>0</v>
      </c>
    </row>
    <row r="49" ht="14.25" customHeight="1">
      <c r="A49">
        <f>A48+1</f>
        <v>8</v>
      </c>
      <c r="B49" t="str">
        <v>STANDARD / GENERAL SCOPE</v>
      </c>
      <c r="C49" t="str">
        <v>Y</v>
      </c>
      <c r="I49" s="8">
        <f>H49*F49</f>
        <v>0</v>
      </c>
    </row>
    <row r="50" ht="14.25" customHeight="1">
      <c r="A50">
        <f>A49+1</f>
        <v>9</v>
      </c>
      <c r="C50" t="str">
        <v>Y</v>
      </c>
      <c r="I50" s="8">
        <f>H50*F50</f>
        <v>0</v>
      </c>
    </row>
    <row r="51" ht="14.25" customHeight="1">
      <c r="A51">
        <f>A50+1</f>
        <v>10</v>
      </c>
      <c r="C51" t="str">
        <v>Y</v>
      </c>
      <c r="I51" s="8">
        <f>H51*F51</f>
        <v>0</v>
      </c>
    </row>
    <row r="52" ht="14.25" customHeight="1">
      <c r="I52" s="8">
        <f>H52*F52</f>
        <v>0</v>
      </c>
    </row>
    <row r="53" ht="14.25" customHeight="1">
      <c r="A53" t="str">
        <v>C</v>
      </c>
      <c r="B53" t="str">
        <v>Exclusions</v>
      </c>
    </row>
    <row r="54" ht="14.25" customHeight="1">
      <c r="A54">
        <v>1</v>
      </c>
      <c r="C54" t="str">
        <v>N</v>
      </c>
    </row>
    <row r="55" ht="14.25" customHeight="1">
      <c r="A55">
        <f>A54+1</f>
        <v>2</v>
      </c>
      <c r="C55" t="str">
        <v>N</v>
      </c>
    </row>
    <row r="56" ht="14.25" customHeight="1">
      <c r="A56">
        <f>A55+1</f>
        <v>3</v>
      </c>
      <c r="C56" t="str">
        <v>N</v>
      </c>
    </row>
    <row r="57" ht="14.25" customHeight="1">
      <c r="A57">
        <f>A56+1</f>
        <v>4</v>
      </c>
      <c r="C57" t="str">
        <v>N</v>
      </c>
    </row>
    <row r="58" ht="14.25" customHeight="1">
      <c r="A58">
        <f>A57+1</f>
        <v>5</v>
      </c>
      <c r="C58" t="str">
        <v>N</v>
      </c>
    </row>
    <row r="59" ht="14.25" customHeight="1">
      <c r="A59">
        <f>A58+1</f>
        <v>6</v>
      </c>
      <c r="C59" t="str">
        <v>N</v>
      </c>
    </row>
    <row r="60" ht="14.25" customHeight="1">
      <c r="A60">
        <f>A59+1</f>
        <v>7</v>
      </c>
      <c r="C60" t="str">
        <v>N</v>
      </c>
    </row>
    <row r="61" ht="14.25" customHeight="1">
      <c r="A61">
        <f>A60+1</f>
        <v>8</v>
      </c>
      <c r="C61" t="str">
        <v>N</v>
      </c>
    </row>
    <row r="62" ht="14.25" customHeight="1"/>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Activity 1</v>
      </c>
      <c r="C66" t="str">
        <v>---&gt;</v>
      </c>
    </row>
    <row r="67" ht="14.25" customHeight="1">
      <c r="A67">
        <f>A66+1</f>
        <v>4</v>
      </c>
      <c r="B67" t="str">
        <v>Activity 2</v>
      </c>
      <c r="C67" t="str">
        <v>---&gt;</v>
      </c>
    </row>
    <row r="68" ht="14.25" customHeight="1">
      <c r="A68">
        <f>A67+1</f>
        <v>5</v>
      </c>
      <c r="B68" t="str">
        <v>Activity 3</v>
      </c>
      <c r="C68" t="str">
        <v>---&gt;</v>
      </c>
    </row>
    <row r="69" ht="14.25" customHeight="1">
      <c r="A69">
        <f>A68+1</f>
        <v>6</v>
      </c>
      <c r="B69" t="str">
        <v>Duration for Submittals and Shop Drawings</v>
      </c>
      <c r="C69" t="str">
        <v>---&gt;</v>
      </c>
    </row>
    <row r="70" ht="14.25" customHeight="1">
      <c r="A70">
        <f>A69+1</f>
        <v>7</v>
      </c>
      <c r="B70" t="str">
        <v>Advise of Lead Times:</v>
      </c>
    </row>
    <row r="71" ht="14.25" customHeight="1">
      <c r="A71">
        <f>A70+1</f>
        <v>8</v>
      </c>
      <c r="B71" t="str">
        <v>Material 1</v>
      </c>
      <c r="C71" t="str">
        <v>---&gt;</v>
      </c>
    </row>
    <row r="72" ht="14.25" customHeight="1">
      <c r="A72">
        <f>A71+1</f>
        <v>9</v>
      </c>
      <c r="B72" t="str">
        <v>Material 2</v>
      </c>
      <c r="C72" t="str">
        <v>---&gt;</v>
      </c>
    </row>
    <row r="73" ht="14.25" customHeight="1">
      <c r="A73">
        <f>A72+1</f>
        <v>10</v>
      </c>
      <c r="B73" t="str">
        <v>Material 3</v>
      </c>
      <c r="C73" t="str">
        <v>---&gt;</v>
      </c>
    </row>
    <row r="74" ht="14.25" customHeight="1"/>
    <row r="75" ht="14.25" customHeight="1"/>
    <row r="76" ht="14.25" customHeight="1">
      <c r="B76" t="str">
        <v>Allowances</v>
      </c>
    </row>
    <row r="77" ht="14.25" customHeight="1">
      <c r="A77">
        <v>1</v>
      </c>
    </row>
    <row r="78" ht="14.25" customHeight="1">
      <c r="A78">
        <f>A77+1</f>
        <v>2</v>
      </c>
    </row>
    <row r="79" ht="14.25" customHeight="1">
      <c r="A79">
        <f>A78+1</f>
        <v>3</v>
      </c>
    </row>
    <row r="80" ht="14.25" customHeight="1">
      <c r="A80">
        <f>A79+1</f>
        <v>4</v>
      </c>
    </row>
    <row r="81" ht="14.25" customHeight="1"/>
    <row r="82" ht="14.25" customHeight="1"/>
    <row r="83" ht="14.25" customHeight="1">
      <c r="B83" t="str">
        <v>Alternates</v>
      </c>
    </row>
    <row r="84" ht="14.25" customHeight="1">
      <c r="A84">
        <v>1</v>
      </c>
      <c r="C84" t="str">
        <v>#</v>
      </c>
    </row>
    <row r="85" ht="14.25" customHeight="1">
      <c r="A85">
        <f>A84+1</f>
        <v>2</v>
      </c>
      <c r="C85" t="str">
        <v>#</v>
      </c>
    </row>
    <row r="86" ht="14.25" customHeight="1">
      <c r="A86">
        <f>A85+1</f>
        <v>3</v>
      </c>
      <c r="C86" t="str">
        <v>#</v>
      </c>
    </row>
    <row r="87" ht="14.25" customHeight="1">
      <c r="A87">
        <f>A86+1</f>
        <v>4</v>
      </c>
      <c r="C87" t="str">
        <v>#</v>
      </c>
    </row>
    <row r="88" ht="14.25" customHeight="1">
      <c r="C88" t="str">
        <v>#</v>
      </c>
    </row>
    <row r="89" ht="14.25" customHeight="1">
      <c r="B89" t="str">
        <v>Unit Prices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12 - RESIDENTIAL CABINETS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SUM(I20:I100,I13:I18)</f>
        <v>0</v>
      </c>
      <c r="K7" t="str">
        <v>Adjustments:</v>
      </c>
      <c r="L7" s="4">
        <f>SUM(L13:L18,L20:L100)</f>
        <v>0</v>
      </c>
      <c r="N7" t="str">
        <v>Adjustments:</v>
      </c>
      <c r="O7" s="4">
        <f>SUM(O13:O18,O20:O100)</f>
        <v>0</v>
      </c>
      <c r="Q7" t="str">
        <v>Adjustments:</v>
      </c>
      <c r="R7" s="4">
        <f>SUM(R13:R18,R20:R100)</f>
        <v>0</v>
      </c>
      <c r="T7" t="str">
        <v>Adjustments:</v>
      </c>
      <c r="U7" s="4">
        <f>SUM(U13:U18,U20:U100)</f>
        <v>0</v>
      </c>
      <c r="W7" t="str">
        <v>Adjustments:</v>
      </c>
      <c r="X7" s="4">
        <f>SUM(X13:X18,X20:X100)</f>
        <v>0</v>
      </c>
      <c r="Z7" t="str">
        <v>Adjustments:</v>
      </c>
      <c r="AA7" s="4">
        <f>SUM(AA13:AA18,AA20:AA100)</f>
        <v>0</v>
      </c>
      <c r="AC7" t="str">
        <v>Adjustments:</v>
      </c>
      <c r="AD7" s="4">
        <f>SUM(AD13:AD18,AD20:AD100)</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Residential Casework</v>
      </c>
      <c r="C43" t="str">
        <v>Y</v>
      </c>
      <c r="I43" s="8">
        <f>H43*F43</f>
        <v>0</v>
      </c>
    </row>
    <row r="44" ht="14.25" customHeight="1">
      <c r="A44">
        <v>3</v>
      </c>
      <c r="B44" t="str">
        <v>Furnish and deliver (FOB jobsite) residential cabinetry for all units:</v>
      </c>
      <c r="C44" t="str">
        <v>Y</v>
      </c>
      <c r="I44" s="8">
        <f>H44*F44</f>
        <v>0</v>
      </c>
    </row>
    <row r="45" ht="14.25" customHeight="1">
      <c r="A45">
        <v>4</v>
      </c>
      <c r="B45" t="str">
        <v>Include unloading and uncrating to units; clean up to MCN dumpster</v>
      </c>
      <c r="C45" t="str">
        <v>Y</v>
      </c>
      <c r="I45" s="8">
        <f>H45*F45</f>
        <v>0</v>
      </c>
    </row>
    <row r="46" ht="14.25" customHeight="1">
      <c r="A46">
        <v>5</v>
      </c>
      <c r="B46" t="str">
        <v>Kitchen base cabinets</v>
      </c>
      <c r="C46" t="str">
        <v>Y</v>
      </c>
      <c r="I46" s="8">
        <f>H46*F46</f>
        <v>0</v>
      </c>
    </row>
    <row r="47" ht="14.25" customHeight="1">
      <c r="A47">
        <v>6</v>
      </c>
      <c r="B47" t="str">
        <v>***[36" or 42"] kitchen wall cabinets***</v>
      </c>
      <c r="C47" t="str">
        <v>Y</v>
      </c>
      <c r="I47" s="8">
        <f>H47*F47</f>
        <v>0</v>
      </c>
    </row>
    <row r="48" ht="14.25" customHeight="1">
      <c r="A48">
        <v>7</v>
      </c>
      <c r="B48" t="str">
        <v>Bathroom base cabinets</v>
      </c>
      <c r="C48" t="str">
        <v>Y</v>
      </c>
      <c r="I48" s="8">
        <f>H48*F48</f>
        <v>0</v>
      </c>
    </row>
    <row r="49" ht="14.25" customHeight="1">
      <c r="A49">
        <v>8</v>
      </c>
      <c r="B49" t="str">
        <v>***Other cabinetry*** (wet bars, pantries, medicine cabinets)</v>
      </c>
      <c r="C49" t="str">
        <v>Y</v>
      </c>
      <c r="I49" s="8">
        <f>H49*F49</f>
        <v>0</v>
      </c>
    </row>
    <row r="50" ht="14.25" customHeight="1">
      <c r="A50">
        <v>9</v>
      </c>
      <c r="B50" t="str">
        <v>***[Custom or standard (3")] cabinet modules</v>
      </c>
      <c r="C50" t="str">
        <v>Y</v>
      </c>
      <c r="I50" s="8">
        <f>H50*F50</f>
        <v>0</v>
      </c>
    </row>
    <row r="51" ht="14.25" customHeight="1">
      <c r="A51">
        <v>10</v>
      </c>
      <c r="B51" t="str">
        <v>***[Framed or frameless] cabinets***</v>
      </c>
      <c r="C51" t="str">
        <v>Y</v>
      </c>
      <c r="I51" s="8">
        <f>H51*F51</f>
        <v>0</v>
      </c>
    </row>
    <row r="52" ht="14.25" customHeight="1">
      <c r="A52">
        <v>11</v>
      </c>
      <c r="B52" t="str">
        <v>***[Full overlay, partial overlay or inset] cabinets &amp; drawer fronts as specified***</v>
      </c>
      <c r="C52" t="str">
        <v>Y</v>
      </c>
      <c r="I52" s="8">
        <f>H52*F52</f>
        <v>0</v>
      </c>
    </row>
    <row r="53" ht="14.25" customHeight="1">
      <c r="A53">
        <v>12</v>
      </c>
      <c r="B53" t="str">
        <v>***[Self closing or soft closing] drawer guides if specified***</v>
      </c>
      <c r="C53" t="str">
        <v>Y</v>
      </c>
      <c r="I53" s="8">
        <f>H53*F53</f>
        <v>0</v>
      </c>
    </row>
    <row r="54" ht="14.25" customHeight="1">
      <c r="A54">
        <v>13</v>
      </c>
      <c r="B54" t="str">
        <v>***Self closing hinges if specified***</v>
      </c>
      <c r="C54" t="str">
        <v>Y</v>
      </c>
      <c r="I54" s="8">
        <f>H54*F54</f>
        <v>0</v>
      </c>
    </row>
    <row r="55" ht="14.25" customHeight="1">
      <c r="A55">
        <v>14</v>
      </c>
      <c r="B55" t="str">
        <v>Allow for phased delivery to jobsite by floor</v>
      </c>
      <c r="C55" t="str">
        <v>Y</v>
      </c>
      <c r="I55" s="8">
        <f>H55*F55</f>
        <v>0</v>
      </c>
    </row>
    <row r="56" ht="14.25" customHeight="1">
      <c r="A56">
        <v>15</v>
      </c>
      <c r="C56" t="str">
        <v>Y</v>
      </c>
      <c r="I56" s="8">
        <f>H56*F56</f>
        <v>0</v>
      </c>
    </row>
    <row r="57" ht="14.25" customHeight="1">
      <c r="A57">
        <v>16</v>
      </c>
      <c r="B57" t="str">
        <v>STANDARD / GENERAL SCOPE</v>
      </c>
      <c r="C57" t="str">
        <v>Y</v>
      </c>
      <c r="I57" s="8">
        <f>H57*F57</f>
        <v>0</v>
      </c>
    </row>
    <row r="58" ht="14.25" customHeight="1">
      <c r="A58">
        <v>17</v>
      </c>
      <c r="B58" t="str">
        <v>Use of specified manufacturers and materials</v>
      </c>
      <c r="C58" t="str">
        <v>Y</v>
      </c>
      <c r="I58" s="8">
        <f>H58*F58</f>
        <v>0</v>
      </c>
    </row>
    <row r="59" ht="14.25" customHeight="1">
      <c r="A59">
        <v>18</v>
      </c>
      <c r="B59" t="str">
        <v>Provide cut-outs/grommets for plumbing/electrical req'ments as needed</v>
      </c>
      <c r="C59" t="str">
        <v>Y</v>
      </c>
      <c r="I59" s="8">
        <f>H59*F59</f>
        <v>0</v>
      </c>
    </row>
    <row r="60" ht="14.25" customHeight="1">
      <c r="A60">
        <v>19</v>
      </c>
      <c r="B60" t="str">
        <v>Include all cabinetry hardware and misc items including glazed panels, keyed locks, pulls, concealed hinges, catches, shelving, etc</v>
      </c>
      <c r="C60" t="str">
        <v>Y</v>
      </c>
      <c r="I60" s="8">
        <f>H60*F60</f>
        <v>0</v>
      </c>
    </row>
    <row r="61" ht="14.25" customHeight="1">
      <c r="A61">
        <v>20</v>
      </c>
      <c r="B61" t="str">
        <v>Include all anchors and fasteners for this work</v>
      </c>
      <c r="C61" t="str">
        <v>Y</v>
      </c>
      <c r="I61" s="8">
        <f>H61*F61</f>
        <v>0</v>
      </c>
    </row>
    <row r="62" ht="14.25" customHeight="1">
      <c r="A62">
        <v>21</v>
      </c>
      <c r="B62" t="str">
        <v>Obtain field measurements prior to fabrication</v>
      </c>
      <c r="C62" t="str">
        <v>Y</v>
      </c>
      <c r="I62" s="8">
        <f>H62*F62</f>
        <v>0</v>
      </c>
    </row>
    <row r="63" ht="14.25" customHeight="1">
      <c r="A63">
        <v>22</v>
      </c>
      <c r="B63" t="str">
        <v>Shop dwgs, samples, product data, certs, etc</v>
      </c>
      <c r="C63" t="str">
        <v>Y</v>
      </c>
      <c r="I63" s="8">
        <f>H63*F63</f>
        <v>0</v>
      </c>
    </row>
    <row r="64" ht="14.25" customHeight="1">
      <c r="A64">
        <v>23</v>
      </c>
      <c r="B64" t="str">
        <v xml:space="preserve"> </v>
      </c>
      <c r="C64" t="str">
        <v>Y</v>
      </c>
      <c r="I64" s="8">
        <f>H64*F64</f>
        <v>0</v>
      </c>
    </row>
    <row r="65" ht="14.25" customHeight="1">
      <c r="A65">
        <v>24</v>
      </c>
      <c r="B65" t="str">
        <v>LEED Issues:</v>
      </c>
      <c r="C65" t="str">
        <v>Y</v>
      </c>
      <c r="I65" s="8">
        <f>H65*F65</f>
        <v>0</v>
      </c>
    </row>
    <row r="66" ht="14.25" customHeight="1">
      <c r="A66">
        <v>25</v>
      </c>
      <c r="B66" t="str">
        <v>FSC-certified lumber and veneers</v>
      </c>
      <c r="C66" t="str">
        <v>Y</v>
      </c>
      <c r="I66" s="8">
        <f>H66*F66</f>
        <v>0</v>
      </c>
    </row>
    <row r="67" ht="14.25" customHeight="1">
      <c r="A67">
        <v>26</v>
      </c>
      <c r="B67" t="str">
        <v>Plywood/substrates free of urea formaldehyde</v>
      </c>
      <c r="C67" t="str">
        <v>Y</v>
      </c>
      <c r="I67" s="8">
        <f>H67*F67</f>
        <v>0</v>
      </c>
    </row>
    <row r="68" ht="14.25" customHeight="1">
      <c r="A68">
        <v>27</v>
      </c>
      <c r="B68" t="str">
        <v>Use of low VOC adhesives, sealants and finishes</v>
      </c>
      <c r="C68" t="str">
        <v>Y</v>
      </c>
      <c r="I68" s="8">
        <f>H68*F68</f>
        <v>0</v>
      </c>
    </row>
    <row r="69" ht="14.25" customHeight="1">
      <c r="A69">
        <v>28</v>
      </c>
      <c r="B69" t="str">
        <v>Sorting of debris for recycling</v>
      </c>
      <c r="C69" t="str">
        <v>Y</v>
      </c>
      <c r="I69" s="8">
        <f>H69*F69</f>
        <v>0</v>
      </c>
    </row>
    <row r="70" ht="14.25" customHeight="1">
      <c r="A70">
        <v>29</v>
      </c>
      <c r="B70" t="str">
        <v>LEED documentation</v>
      </c>
      <c r="C70" t="str">
        <v>Y</v>
      </c>
      <c r="I70" s="8">
        <f>H70*F70</f>
        <v>0</v>
      </c>
    </row>
    <row r="71" ht="14.25" customHeight="1">
      <c r="I71" s="8">
        <f>H71*F71</f>
        <v>0</v>
      </c>
    </row>
    <row r="72" ht="14.25" customHeight="1">
      <c r="A72" t="str">
        <v>C</v>
      </c>
      <c r="B72" t="str">
        <v>Exclusions</v>
      </c>
    </row>
    <row r="73" ht="14.25" customHeight="1">
      <c r="A73">
        <v>1</v>
      </c>
      <c r="B73" t="str">
        <v>Furnishing of stone countertops (provide an add price if quoting)</v>
      </c>
      <c r="C73" t="str">
        <v>N</v>
      </c>
      <c r="D73" t="str">
        <v>by countertops</v>
      </c>
    </row>
    <row r="74" ht="14.25" customHeight="1">
      <c r="A74">
        <f>A73+1</f>
        <v>2</v>
      </c>
      <c r="B74" t="str">
        <v>In-wall blocking</v>
      </c>
      <c r="C74" t="str">
        <v>N</v>
      </c>
      <c r="D74" t="str">
        <v>by carpentry/drywall</v>
      </c>
    </row>
    <row r="75" ht="14.25" customHeight="1">
      <c r="A75">
        <f>A74+1</f>
        <v>3</v>
      </c>
      <c r="B75" t="str">
        <v>Protection of finished work</v>
      </c>
      <c r="C75" t="str">
        <v>N</v>
      </c>
      <c r="D75" t="str">
        <v>by MCN</v>
      </c>
    </row>
    <row r="76" ht="14.25" customHeight="1">
      <c r="A76">
        <f>A75+1</f>
        <v>4</v>
      </c>
      <c r="C76" t="str">
        <v>N</v>
      </c>
    </row>
    <row r="77" ht="14.25" customHeight="1">
      <c r="A77">
        <f>A76+1</f>
        <v>5</v>
      </c>
      <c r="C77" t="str">
        <v>N</v>
      </c>
    </row>
    <row r="78" ht="14.25" customHeight="1">
      <c r="A78">
        <f>A77+1</f>
        <v>6</v>
      </c>
      <c r="C78" t="str">
        <v>N</v>
      </c>
    </row>
    <row r="79" ht="14.25" customHeight="1">
      <c r="A79">
        <f>A78+1</f>
        <v>7</v>
      </c>
      <c r="C79" t="str">
        <v>N</v>
      </c>
    </row>
    <row r="80" ht="14.25" customHeight="1">
      <c r="A80">
        <f>A79+1</f>
        <v>8</v>
      </c>
      <c r="C80" t="str">
        <v>N</v>
      </c>
    </row>
    <row r="81" ht="14.25" customHeight="1"/>
    <row r="82" ht="14.25" customHeight="1">
      <c r="A82" t="str">
        <v>D</v>
      </c>
      <c r="B82" t="str">
        <v>Schedule</v>
      </c>
    </row>
    <row r="83" ht="14.25" customHeight="1">
      <c r="A83">
        <v>1</v>
      </c>
      <c r="B83" t="str">
        <v>Meet MCN Schedule</v>
      </c>
      <c r="C83" t="str">
        <v>Y</v>
      </c>
    </row>
    <row r="84" ht="14.25" customHeight="1">
      <c r="A84">
        <f>A83+1</f>
        <v>2</v>
      </c>
      <c r="B84" t="str">
        <v>Advise of Durations</v>
      </c>
    </row>
    <row r="85" ht="14.25" customHeight="1">
      <c r="A85">
        <f>A84+1</f>
        <v>3</v>
      </c>
      <c r="B85" t="str">
        <v>Activity 1</v>
      </c>
      <c r="C85" t="str">
        <v>---&gt;</v>
      </c>
    </row>
    <row r="86" ht="14.25" customHeight="1">
      <c r="A86">
        <f>A85+1</f>
        <v>4</v>
      </c>
      <c r="B86" t="str">
        <v>Activity 2</v>
      </c>
      <c r="C86" t="str">
        <v>---&gt;</v>
      </c>
    </row>
    <row r="87" ht="14.25" customHeight="1">
      <c r="A87">
        <f>A86+1</f>
        <v>5</v>
      </c>
      <c r="B87" t="str">
        <v>Activity 3</v>
      </c>
      <c r="C87" t="str">
        <v>---&gt;</v>
      </c>
    </row>
    <row r="88" ht="14.25" customHeight="1">
      <c r="A88">
        <f>A87+1</f>
        <v>6</v>
      </c>
      <c r="B88" t="str">
        <v>Duration for Submittals and Shop Drawings</v>
      </c>
      <c r="C88" t="str">
        <v>---&gt;</v>
      </c>
    </row>
    <row r="89" ht="14.25" customHeight="1">
      <c r="A89">
        <f>A88+1</f>
        <v>7</v>
      </c>
      <c r="B89" t="str">
        <v>Advise of Lead Times:</v>
      </c>
    </row>
    <row r="90" ht="14.25" customHeight="1">
      <c r="A90">
        <f>A89+1</f>
        <v>8</v>
      </c>
      <c r="B90" t="str">
        <v>Material 1</v>
      </c>
      <c r="C90" t="str">
        <v>---&gt;</v>
      </c>
    </row>
    <row r="91" ht="14.25" customHeight="1">
      <c r="A91">
        <f>A90+1</f>
        <v>9</v>
      </c>
      <c r="B91" t="str">
        <v>Material 2</v>
      </c>
      <c r="C91" t="str">
        <v>---&gt;</v>
      </c>
    </row>
    <row r="92" ht="14.25" customHeight="1">
      <c r="A92">
        <f>A91+1</f>
        <v>10</v>
      </c>
      <c r="B92" t="str">
        <v>Material 3</v>
      </c>
      <c r="C92" t="str">
        <v>---&gt;</v>
      </c>
    </row>
    <row r="93" ht="14.25" customHeight="1"/>
    <row r="94" ht="14.25" customHeight="1"/>
    <row r="95" ht="14.25" customHeight="1">
      <c r="B95" t="str">
        <v>Allowances</v>
      </c>
    </row>
    <row r="96" ht="14.25" customHeight="1">
      <c r="A96">
        <v>1</v>
      </c>
    </row>
    <row r="97" ht="14.25" customHeight="1">
      <c r="A97">
        <f>A96+1</f>
        <v>2</v>
      </c>
    </row>
    <row r="98" ht="14.25" customHeight="1">
      <c r="A98">
        <f>A97+1</f>
        <v>3</v>
      </c>
    </row>
    <row r="99" ht="14.25" customHeight="1">
      <c r="A99">
        <f>A98+1</f>
        <v>4</v>
      </c>
    </row>
    <row r="100" ht="14.25" customHeight="1"/>
    <row r="101" ht="14.25" customHeight="1"/>
    <row r="102" ht="14.25" customHeight="1">
      <c r="B102" t="str">
        <v>Alternates</v>
      </c>
    </row>
    <row r="103" ht="14.25" customHeight="1">
      <c r="A103">
        <v>1</v>
      </c>
      <c r="B103" t="str">
        <v>Provide an add price to install all cabinetry</v>
      </c>
      <c r="C103" t="str">
        <v>#</v>
      </c>
      <c r="I103" s="8">
        <f>H103*F103</f>
        <v>0</v>
      </c>
    </row>
    <row r="104" ht="14.25" customHeight="1">
      <c r="A104">
        <v>2</v>
      </c>
      <c r="C104" t="str">
        <v>#</v>
      </c>
    </row>
    <row r="105" ht="14.25" customHeight="1">
      <c r="A105">
        <v>3</v>
      </c>
      <c r="C105" t="str">
        <v>#</v>
      </c>
    </row>
    <row r="106" ht="14.25" customHeight="1">
      <c r="A106">
        <v>4</v>
      </c>
      <c r="C106" t="str">
        <v>#</v>
      </c>
    </row>
    <row r="107" ht="14.25" customHeight="1">
      <c r="C107" t="str">
        <v>#</v>
      </c>
    </row>
    <row r="108" ht="14.25" customHeight="1">
      <c r="B108" t="str">
        <v>Unit Prices</v>
      </c>
    </row>
    <row r="109" ht="14.25" customHeight="1">
      <c r="A109">
        <v>1</v>
      </c>
      <c r="C109" t="str">
        <v>#</v>
      </c>
    </row>
    <row r="110" ht="14.25" customHeight="1">
      <c r="A110">
        <f>A109+1</f>
        <v>2</v>
      </c>
      <c r="C110" t="str">
        <v>#</v>
      </c>
    </row>
    <row r="111" ht="14.25" customHeight="1">
      <c r="A111">
        <f>A110+1</f>
        <v>3</v>
      </c>
      <c r="C111" t="str">
        <v>#</v>
      </c>
    </row>
    <row r="112" ht="14.25" customHeight="1">
      <c r="A112">
        <f>A111+1</f>
        <v>4</v>
      </c>
      <c r="C112" t="str">
        <v>#</v>
      </c>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12 - COUNTERTOPS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SUM(I20:I87,I13:I18)</f>
        <v>0</v>
      </c>
      <c r="K7" t="str">
        <v>Adjustments:</v>
      </c>
      <c r="L7" s="4">
        <f>SUM(L13:L18,L20:L87)</f>
        <v>0</v>
      </c>
      <c r="N7" t="str">
        <v>Adjustments:</v>
      </c>
      <c r="O7" s="4">
        <f>SUM(O13:O18,O20:O87)</f>
        <v>0</v>
      </c>
      <c r="Q7" t="str">
        <v>Adjustments:</v>
      </c>
      <c r="R7" s="4">
        <f>SUM(R13:R18,R20:R87)</f>
        <v>0</v>
      </c>
      <c r="T7" t="str">
        <v>Adjustments:</v>
      </c>
      <c r="U7" s="4">
        <f>SUM(U13:U18,U20:U87)</f>
        <v>0</v>
      </c>
      <c r="W7" t="str">
        <v>Adjustments:</v>
      </c>
      <c r="X7" s="4">
        <f>SUM(X13:X18,X20:X87)</f>
        <v>0</v>
      </c>
      <c r="Z7" t="str">
        <v>Adjustments:</v>
      </c>
      <c r="AA7" s="4">
        <f>SUM(AA13:AA18,AA20:AA87)</f>
        <v>0</v>
      </c>
      <c r="AC7" t="str">
        <v>Adjustments:</v>
      </c>
      <c r="AD7" s="4">
        <f>SUM(AD13:AD18,AD20:AD87)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Residential Countertops</v>
      </c>
      <c r="C43" t="str">
        <v>Y</v>
      </c>
      <c r="I43" s="8">
        <f>H43*F43</f>
        <v>0</v>
      </c>
    </row>
    <row r="44" ht="14.25" customHeight="1">
      <c r="A44">
        <v>3</v>
      </c>
      <c r="B44" t="str">
        <v>[2cm or 3cm] countertops at Unit kitchens at non-MPDU Units [granite, quartz, corian, other]</v>
      </c>
      <c r="C44" t="str">
        <v>Y</v>
      </c>
      <c r="I44" s="8">
        <f>H44*F44</f>
        <v>0</v>
      </c>
    </row>
    <row r="45" ht="14.25" customHeight="1">
      <c r="A45">
        <v>4</v>
      </c>
      <c r="B45" t="str">
        <v>**2cm countertops may require plywood substrate **</v>
      </c>
      <c r="C45" t="str">
        <v>Y</v>
      </c>
      <c r="I45" s="8">
        <f>H45*F45</f>
        <v>0</v>
      </c>
    </row>
    <row r="46" ht="14.25" customHeight="1">
      <c r="A46">
        <v>5</v>
      </c>
      <c r="B46" t="str">
        <v>**List scheduled material &amp; color**</v>
      </c>
      <c r="C46" t="str">
        <v>Y</v>
      </c>
      <c r="I46" s="8">
        <f>H46*F46</f>
        <v>0</v>
      </c>
    </row>
    <row r="47" ht="14.25" customHeight="1">
      <c r="A47">
        <v>6</v>
      </c>
      <c r="B47" t="str">
        <v>[2cm or 3 cm] countertops at Unit bathroom vanities at non-MPDU Units [granite, quartz, corian, other]</v>
      </c>
      <c r="C47" t="str">
        <v>Y</v>
      </c>
      <c r="I47" s="8">
        <f>H47*F47</f>
        <v>0</v>
      </c>
    </row>
    <row r="48" ht="14.25" customHeight="1">
      <c r="A48">
        <v>7</v>
      </c>
      <c r="B48" t="str">
        <v>**List scheduled material &amp; color**</v>
      </c>
      <c r="C48" t="str">
        <v>Y</v>
      </c>
      <c r="I48" s="8">
        <f>H48*F48</f>
        <v>0</v>
      </c>
    </row>
    <row r="49" ht="14.25" customHeight="1">
      <c r="A49">
        <v>8</v>
      </c>
      <c r="B49" t="str">
        <v>Countertops at MPDU units [granite, quartz, plam, cultured marble, other]</v>
      </c>
      <c r="C49" t="str">
        <v>Y</v>
      </c>
      <c r="I49" s="8">
        <f>H49*F49</f>
        <v>0</v>
      </c>
    </row>
    <row r="50" ht="14.25" customHeight="1">
      <c r="A50">
        <v>9</v>
      </c>
      <c r="B50" t="str">
        <v>**If plam the countertops will be provided by CABINETS**</v>
      </c>
      <c r="C50" t="str">
        <v>Y</v>
      </c>
      <c r="I50" s="8">
        <f>H50*F50</f>
        <v>0</v>
      </c>
    </row>
    <row r="51" ht="14.25" customHeight="1">
      <c r="A51">
        <v>10</v>
      </c>
      <c r="B51" t="str">
        <v>**List scheduled material &amp; color**</v>
      </c>
      <c r="C51" t="str">
        <v>Y</v>
      </c>
      <c r="I51" s="8">
        <f>H51*F51</f>
        <v>0</v>
      </c>
    </row>
    <row r="52" ht="14.25" customHeight="1">
      <c r="A52">
        <v>11</v>
      </c>
      <c r="B52" t="str">
        <v>Furnish sinks at countertops - provide manuf, model and size - Provide BREAKOUT COST</v>
      </c>
      <c r="C52" t="str">
        <v>Y</v>
      </c>
      <c r="I52" s="8">
        <f>H52*F52</f>
        <v>0</v>
      </c>
    </row>
    <row r="53" ht="14.25" customHeight="1">
      <c r="A53">
        <v>12</v>
      </c>
      <c r="B53" t="str">
        <v>Install sinks at countertops - Provide BREAKOUT COST</v>
      </c>
      <c r="C53" t="str">
        <v>Y</v>
      </c>
      <c r="I53" s="8">
        <f>H53*F53</f>
        <v>0</v>
      </c>
    </row>
    <row r="54" ht="14.25" customHeight="1">
      <c r="A54">
        <v>13</v>
      </c>
      <c r="B54" t="str">
        <v>Provide premium (if applicable) to Install sinks if not provided by this contract</v>
      </c>
      <c r="C54" t="str">
        <v>Y</v>
      </c>
      <c r="I54" s="8">
        <f>H54*F54</f>
        <v>0</v>
      </c>
    </row>
    <row r="55" ht="14.25" customHeight="1">
      <c r="A55">
        <v>14</v>
      </c>
      <c r="C55" t="str">
        <v>Y</v>
      </c>
      <c r="I55" s="8">
        <f>H55*F55</f>
        <v>0</v>
      </c>
    </row>
    <row r="56" ht="14.25" customHeight="1">
      <c r="A56">
        <v>15</v>
      </c>
      <c r="B56" t="str">
        <v>STANDARD / GENERAL SCOPE</v>
      </c>
      <c r="C56" t="str">
        <v>Y</v>
      </c>
      <c r="I56" s="8">
        <f>H56*F56</f>
        <v>0</v>
      </c>
    </row>
    <row r="57" ht="14.25" customHeight="1">
      <c r="A57">
        <v>16</v>
      </c>
      <c r="B57" t="str">
        <v>Shop dwgs, samples, product data, certs, test reports, etc</v>
      </c>
      <c r="C57" t="str">
        <v>Y</v>
      </c>
      <c r="I57" s="8">
        <f>H57*F57</f>
        <v>0</v>
      </c>
    </row>
    <row r="58" ht="14.25" customHeight="1">
      <c r="I58" s="8">
        <f>H58*F58</f>
        <v>0</v>
      </c>
    </row>
    <row r="59" ht="14.25" customHeight="1">
      <c r="A59" t="str">
        <v>C</v>
      </c>
      <c r="B59" t="str">
        <v>Exclusions</v>
      </c>
    </row>
    <row r="60" ht="14.25" customHeight="1">
      <c r="A60">
        <v>1</v>
      </c>
      <c r="B60" t="str">
        <v>Wood blocking and plywood</v>
      </c>
      <c r="C60" t="str">
        <v>N</v>
      </c>
      <c r="D60" t="str">
        <v>by carpentry</v>
      </c>
    </row>
    <row r="61" ht="14.25" customHeight="1">
      <c r="A61">
        <f>A60+1</f>
        <v>2</v>
      </c>
      <c r="C61" t="str">
        <v>N</v>
      </c>
    </row>
    <row r="62" ht="14.25" customHeight="1">
      <c r="A62">
        <f>A61+1</f>
        <v>3</v>
      </c>
      <c r="C62" t="str">
        <v>N</v>
      </c>
    </row>
    <row r="63" ht="14.25" customHeight="1">
      <c r="A63">
        <f>A62+1</f>
        <v>4</v>
      </c>
      <c r="C63" t="str">
        <v>N</v>
      </c>
    </row>
    <row r="64" ht="14.25" customHeight="1">
      <c r="A64">
        <f>A63+1</f>
        <v>5</v>
      </c>
      <c r="C64" t="str">
        <v>N</v>
      </c>
    </row>
    <row r="65" ht="14.25" customHeight="1">
      <c r="A65">
        <f>A64+1</f>
        <v>6</v>
      </c>
      <c r="C65" t="str">
        <v>N</v>
      </c>
    </row>
    <row r="66" ht="14.25" customHeight="1">
      <c r="A66">
        <f>A65+1</f>
        <v>7</v>
      </c>
      <c r="C66" t="str">
        <v>N</v>
      </c>
    </row>
    <row r="67" ht="14.25" customHeight="1">
      <c r="A67">
        <f>A66+1</f>
        <v>8</v>
      </c>
      <c r="C67" t="str">
        <v>N</v>
      </c>
    </row>
    <row r="68" ht="14.25" customHeight="1"/>
    <row r="69" ht="14.25" customHeight="1">
      <c r="A69" t="str">
        <v>D</v>
      </c>
      <c r="B69" t="str">
        <v>Schedule</v>
      </c>
    </row>
    <row r="70" ht="14.25" customHeight="1">
      <c r="A70">
        <v>1</v>
      </c>
      <c r="B70" t="str">
        <v>Meet MCN Schedule</v>
      </c>
      <c r="C70" t="str">
        <v>Y</v>
      </c>
    </row>
    <row r="71" ht="14.25" customHeight="1">
      <c r="A71">
        <f>A70+1</f>
        <v>2</v>
      </c>
      <c r="B71" t="str">
        <v>Advise of Durations</v>
      </c>
    </row>
    <row r="72" ht="14.25" customHeight="1">
      <c r="A72">
        <f>A71+1</f>
        <v>3</v>
      </c>
      <c r="B72" t="str">
        <v>Activity 1</v>
      </c>
      <c r="C72" t="str">
        <v>---&gt;</v>
      </c>
    </row>
    <row r="73" ht="14.25" customHeight="1">
      <c r="A73">
        <f>A72+1</f>
        <v>4</v>
      </c>
      <c r="B73" t="str">
        <v>Activity 2</v>
      </c>
      <c r="C73" t="str">
        <v>---&gt;</v>
      </c>
    </row>
    <row r="74" ht="14.25" customHeight="1">
      <c r="A74">
        <f>A73+1</f>
        <v>5</v>
      </c>
      <c r="B74" t="str">
        <v>Activity 3</v>
      </c>
      <c r="C74" t="str">
        <v>---&gt;</v>
      </c>
    </row>
    <row r="75" ht="14.25" customHeight="1">
      <c r="A75">
        <f>A74+1</f>
        <v>6</v>
      </c>
      <c r="B75" t="str">
        <v>Duration for Submittals and Shop Drawings</v>
      </c>
      <c r="C75" t="str">
        <v>---&gt;</v>
      </c>
    </row>
    <row r="76" ht="14.25" customHeight="1">
      <c r="A76">
        <f>A75+1</f>
        <v>7</v>
      </c>
      <c r="B76" t="str">
        <v>Advise of Lead Times:</v>
      </c>
    </row>
    <row r="77" ht="14.25" customHeight="1">
      <c r="A77">
        <f>A76+1</f>
        <v>8</v>
      </c>
      <c r="B77" t="str">
        <v>Material 1</v>
      </c>
      <c r="C77" t="str">
        <v>---&gt;</v>
      </c>
    </row>
    <row r="78" ht="14.25" customHeight="1">
      <c r="A78">
        <f>A77+1</f>
        <v>9</v>
      </c>
      <c r="B78" t="str">
        <v>Material 2</v>
      </c>
      <c r="C78" t="str">
        <v>---&gt;</v>
      </c>
    </row>
    <row r="79" ht="14.25" customHeight="1">
      <c r="A79">
        <f>A78+1</f>
        <v>10</v>
      </c>
      <c r="B79" t="str">
        <v>Material 3</v>
      </c>
      <c r="C79" t="str">
        <v>---&gt;</v>
      </c>
    </row>
    <row r="80" ht="14.25" customHeight="1"/>
    <row r="81" ht="14.25" customHeight="1"/>
    <row r="82" ht="14.25" customHeight="1">
      <c r="B82" t="str">
        <v>Allowances</v>
      </c>
    </row>
    <row r="83" ht="14.25" customHeight="1">
      <c r="A83">
        <v>1</v>
      </c>
    </row>
    <row r="84" ht="14.25" customHeight="1">
      <c r="A84">
        <f>A83+1</f>
        <v>2</v>
      </c>
    </row>
    <row r="85" ht="14.25" customHeight="1">
      <c r="A85">
        <f>A84+1</f>
        <v>3</v>
      </c>
    </row>
    <row r="86" ht="14.25" customHeight="1">
      <c r="A86">
        <f>A85+1</f>
        <v>4</v>
      </c>
    </row>
    <row r="87" ht="14.25" customHeight="1"/>
    <row r="88" ht="14.25" customHeight="1"/>
    <row r="89" ht="14.25" customHeight="1">
      <c r="B89" t="str">
        <v>Alternates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c r="C94" t="str">
        <v>#</v>
      </c>
    </row>
    <row r="95" ht="14.25" customHeight="1">
      <c r="B95" t="str">
        <v>Unit Prices</v>
      </c>
    </row>
    <row r="96" ht="14.25" customHeight="1">
      <c r="A96">
        <v>1</v>
      </c>
      <c r="C96" t="str">
        <v>#</v>
      </c>
    </row>
    <row r="97" ht="14.25" customHeight="1">
      <c r="A97">
        <f>A96+1</f>
        <v>2</v>
      </c>
      <c r="C97" t="str">
        <v>#</v>
      </c>
    </row>
    <row r="98" ht="14.25" customHeight="1">
      <c r="A98">
        <f>A97+1</f>
        <v>3</v>
      </c>
      <c r="C98" t="str">
        <v>#</v>
      </c>
    </row>
    <row r="99" ht="14.25" customHeight="1">
      <c r="A99">
        <f>A98+1</f>
        <v>4</v>
      </c>
      <c r="C99" t="str">
        <v>#</v>
      </c>
    </row>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12 - WINDOW TREATMENTS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SUM(I20:I85,I13:I18)</f>
        <v>0</v>
      </c>
      <c r="K7" t="str">
        <v>Adjustments:</v>
      </c>
      <c r="L7" s="4">
        <f>SUM(L13:L18,L20:L85)</f>
        <v>0</v>
      </c>
      <c r="N7" t="str">
        <v>Adjustments:</v>
      </c>
      <c r="O7" s="4">
        <f>SUM(O13:O18,O20:O85)</f>
        <v>0</v>
      </c>
      <c r="Q7" t="str">
        <v>Adjustments:</v>
      </c>
      <c r="R7" s="4">
        <f>SUM(R13:R18,R20:R85)</f>
        <v>0</v>
      </c>
      <c r="T7" t="str">
        <v>Adjustments:</v>
      </c>
      <c r="U7" s="4">
        <f>SUM(U13:U18,U20:U85)</f>
        <v>0</v>
      </c>
      <c r="W7" t="str">
        <v>Adjustments:</v>
      </c>
      <c r="X7" s="4">
        <f>SUM(X13:X18,X20:X85)</f>
        <v>0</v>
      </c>
      <c r="Z7" t="str">
        <v>Adjustments:</v>
      </c>
      <c r="AA7" s="4">
        <f>SUM(AA13:AA18,AA20:AA85)</f>
        <v>0</v>
      </c>
      <c r="AC7" t="str">
        <v>Adjustments:</v>
      </c>
      <c r="AD7" s="4">
        <f>SUM(AD13:AD18,AD20:AD85)</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Horizontal Louver Blinds</v>
      </c>
      <c r="C43" t="str">
        <v>Y</v>
      </c>
      <c r="I43" s="8">
        <f>H43*F43</f>
        <v>0</v>
      </c>
    </row>
    <row r="44" ht="14.25" customHeight="1">
      <c r="A44">
        <v>3</v>
      </c>
      <c r="B44" t="str">
        <v>Furnish and install [describe] HORIZONTAL blinds at all window and pation doors of residential units.</v>
      </c>
      <c r="C44" t="str">
        <v>Y</v>
      </c>
      <c r="I44" s="8">
        <f>H44*F44</f>
        <v>0</v>
      </c>
    </row>
    <row r="45" ht="14.25" customHeight="1">
      <c r="A45">
        <v>4</v>
      </c>
      <c r="B45" t="str">
        <v>Furnish and install [describe] VERTICAL blinds at all sliding doors of residential units.</v>
      </c>
      <c r="C45" t="str">
        <v>Y</v>
      </c>
      <c r="I45" s="8">
        <f>H45*F45</f>
        <v>0</v>
      </c>
    </row>
    <row r="46" ht="14.25" customHeight="1">
      <c r="A46">
        <v>5</v>
      </c>
      <c r="B46" t="str">
        <v>Attach head channel to [window mullion/blind pocket]</v>
      </c>
      <c r="C46" t="str">
        <v>Y</v>
      </c>
      <c r="I46" s="8">
        <f>H46*F46</f>
        <v>0</v>
      </c>
    </row>
    <row r="47" ht="14.25" customHeight="1">
      <c r="A47">
        <v>6</v>
      </c>
      <c r="B47" t="str">
        <v>Do not provide blinds at windows facing [Main Lobby, Retail space]</v>
      </c>
      <c r="C47" t="str">
        <v>Y</v>
      </c>
      <c r="I47" s="8">
        <f>H47*F47</f>
        <v>0</v>
      </c>
    </row>
    <row r="48" ht="14.25" customHeight="1">
      <c r="A48">
        <v>7</v>
      </c>
      <c r="B48" t="str">
        <v>Accessories to include lift cord, tilting rod, mounting brackets, anchors, etc.</v>
      </c>
      <c r="C48" t="str">
        <v>Y</v>
      </c>
      <c r="I48" s="8">
        <f>H48*F48</f>
        <v>0</v>
      </c>
    </row>
    <row r="49" ht="14.25" customHeight="1">
      <c r="A49">
        <v>8</v>
      </c>
      <c r="B49" t="str">
        <v>Include extra stock</v>
      </c>
      <c r="C49" t="str">
        <v>Y</v>
      </c>
      <c r="I49" s="8">
        <f>H49*F49</f>
        <v>0</v>
      </c>
    </row>
    <row r="50" ht="14.25" customHeight="1">
      <c r="A50">
        <v>9</v>
      </c>
      <c r="C50" t="str">
        <v>Y</v>
      </c>
      <c r="I50" s="8">
        <f>H50*F50</f>
        <v>0</v>
      </c>
    </row>
    <row r="51" ht="14.25" customHeight="1">
      <c r="A51">
        <v>10</v>
      </c>
      <c r="B51" t="str">
        <v>STANDARD / GENERAL SCOPE</v>
      </c>
      <c r="C51" t="str">
        <v>Y</v>
      </c>
      <c r="I51" s="8">
        <f>H51*F51</f>
        <v>0</v>
      </c>
    </row>
    <row r="52" ht="14.25" customHeight="1">
      <c r="A52">
        <v>11</v>
      </c>
      <c r="B52" t="str">
        <v>Include all mat'l, labor, tools, equipment, hoisting, supervision, etc for your work</v>
      </c>
      <c r="C52" t="str">
        <v>Y</v>
      </c>
      <c r="I52" s="8">
        <f>H52*F52</f>
        <v>0</v>
      </c>
    </row>
    <row r="53" ht="14.25" customHeight="1">
      <c r="A53">
        <v>12</v>
      </c>
      <c r="B53" t="str">
        <v>Assume free use of GC's material hoist</v>
      </c>
      <c r="C53" t="str">
        <v>Y</v>
      </c>
      <c r="I53" s="8">
        <f>H53*F53</f>
        <v>0</v>
      </c>
    </row>
    <row r="54" ht="14.25" customHeight="1">
      <c r="A54">
        <v>13</v>
      </c>
      <c r="B54" t="str">
        <v>Clean up to MCN dumpster</v>
      </c>
      <c r="C54" t="str">
        <v>Y</v>
      </c>
      <c r="I54" s="8">
        <f>H54*F54</f>
        <v>0</v>
      </c>
    </row>
    <row r="55" ht="14.25" customHeight="1">
      <c r="A55">
        <v>14</v>
      </c>
      <c r="B55" t="str">
        <v>Shop dwgs, samples, product data, etc</v>
      </c>
      <c r="C55" t="str">
        <v>Y</v>
      </c>
      <c r="I55" s="8">
        <f>H55*F55</f>
        <v>0</v>
      </c>
    </row>
    <row r="56" ht="14.25" customHeight="1">
      <c r="I56" s="8">
        <f>H56*F56</f>
        <v>0</v>
      </c>
    </row>
    <row r="57" ht="14.25" customHeight="1">
      <c r="A57" t="str">
        <v>C</v>
      </c>
      <c r="B57" t="str">
        <v>Exclusions</v>
      </c>
    </row>
    <row r="58" ht="14.25" customHeight="1">
      <c r="A58">
        <v>1</v>
      </c>
      <c r="B58" t="str">
        <v>Aluminum blind pocket extrusions</v>
      </c>
      <c r="C58" t="str">
        <v>N</v>
      </c>
      <c r="D58" t="str">
        <v>by glass/glazing</v>
      </c>
    </row>
    <row r="59" ht="14.25" customHeight="1">
      <c r="A59">
        <f>A58+1</f>
        <v>2</v>
      </c>
      <c r="C59" t="str">
        <v>N</v>
      </c>
    </row>
    <row r="60" ht="14.25" customHeight="1">
      <c r="A60">
        <f>A59+1</f>
        <v>3</v>
      </c>
      <c r="C60" t="str">
        <v>N</v>
      </c>
    </row>
    <row r="61" ht="14.25" customHeight="1">
      <c r="A61">
        <f>A60+1</f>
        <v>4</v>
      </c>
      <c r="C61" t="str">
        <v>N</v>
      </c>
    </row>
    <row r="62" ht="14.25" customHeight="1">
      <c r="A62">
        <f>A61+1</f>
        <v>5</v>
      </c>
      <c r="C62" t="str">
        <v>N</v>
      </c>
    </row>
    <row r="63" ht="14.25" customHeight="1">
      <c r="A63">
        <f>A62+1</f>
        <v>6</v>
      </c>
      <c r="C63" t="str">
        <v>N</v>
      </c>
    </row>
    <row r="64" ht="14.25" customHeight="1">
      <c r="A64">
        <f>A63+1</f>
        <v>7</v>
      </c>
      <c r="C64" t="str">
        <v>N</v>
      </c>
    </row>
    <row r="65" ht="14.25" customHeight="1">
      <c r="A65">
        <f>A64+1</f>
        <v>8</v>
      </c>
      <c r="C65" t="str">
        <v>N</v>
      </c>
    </row>
    <row r="66" ht="14.25" customHeight="1"/>
    <row r="67" ht="14.25" customHeight="1">
      <c r="A67" t="str">
        <v>D</v>
      </c>
      <c r="B67" t="str">
        <v>Schedule</v>
      </c>
    </row>
    <row r="68" ht="14.25" customHeight="1">
      <c r="A68">
        <v>1</v>
      </c>
      <c r="B68" t="str">
        <v>Meet MCN Schedule</v>
      </c>
      <c r="C68" t="str">
        <v>Y</v>
      </c>
    </row>
    <row r="69" ht="14.25" customHeight="1">
      <c r="A69">
        <f>A68+1</f>
        <v>2</v>
      </c>
      <c r="B69" t="str">
        <v>Advise of Durations</v>
      </c>
    </row>
    <row r="70" ht="14.25" customHeight="1">
      <c r="A70">
        <f>A69+1</f>
        <v>3</v>
      </c>
      <c r="B70" t="str">
        <v>Activity 1</v>
      </c>
      <c r="C70" t="str">
        <v>---&gt;</v>
      </c>
    </row>
    <row r="71" ht="14.25" customHeight="1">
      <c r="A71">
        <f>A70+1</f>
        <v>4</v>
      </c>
      <c r="B71" t="str">
        <v>Activity 2</v>
      </c>
      <c r="C71" t="str">
        <v>---&gt;</v>
      </c>
    </row>
    <row r="72" ht="14.25" customHeight="1">
      <c r="A72">
        <f>A71+1</f>
        <v>5</v>
      </c>
      <c r="B72" t="str">
        <v>Activity 3</v>
      </c>
      <c r="C72" t="str">
        <v>---&gt;</v>
      </c>
    </row>
    <row r="73" ht="14.25" customHeight="1">
      <c r="A73">
        <f>A72+1</f>
        <v>6</v>
      </c>
      <c r="B73" t="str">
        <v>Duration for Submittals and Shop Drawings</v>
      </c>
      <c r="C73" t="str">
        <v>---&gt;</v>
      </c>
    </row>
    <row r="74" ht="14.25" customHeight="1">
      <c r="A74">
        <f>A73+1</f>
        <v>7</v>
      </c>
      <c r="B74" t="str">
        <v>Advise of Lead Times:</v>
      </c>
    </row>
    <row r="75" ht="14.25" customHeight="1">
      <c r="A75">
        <f>A74+1</f>
        <v>8</v>
      </c>
      <c r="B75" t="str">
        <v>Material 1</v>
      </c>
      <c r="C75" t="str">
        <v>---&gt;</v>
      </c>
    </row>
    <row r="76" ht="14.25" customHeight="1">
      <c r="A76">
        <f>A75+1</f>
        <v>9</v>
      </c>
      <c r="B76" t="str">
        <v>Material 2</v>
      </c>
      <c r="C76" t="str">
        <v>---&gt;</v>
      </c>
    </row>
    <row r="77" ht="14.25" customHeight="1">
      <c r="A77">
        <f>A76+1</f>
        <v>10</v>
      </c>
      <c r="B77" t="str">
        <v>Material 3</v>
      </c>
      <c r="C77" t="str">
        <v>---&gt;</v>
      </c>
    </row>
    <row r="78" ht="14.25" customHeight="1"/>
    <row r="79" ht="14.25" customHeight="1"/>
    <row r="80" ht="14.25" customHeight="1">
      <c r="B80" t="str">
        <v>Allowances</v>
      </c>
    </row>
    <row r="81" ht="14.25" customHeight="1">
      <c r="A81">
        <v>1</v>
      </c>
    </row>
    <row r="82" ht="14.25" customHeight="1">
      <c r="A82">
        <f>A81+1</f>
        <v>2</v>
      </c>
    </row>
    <row r="83" ht="14.25" customHeight="1">
      <c r="A83">
        <f>A82+1</f>
        <v>3</v>
      </c>
    </row>
    <row r="84" ht="14.25" customHeight="1">
      <c r="A84">
        <f>A83+1</f>
        <v>4</v>
      </c>
    </row>
    <row r="85" ht="14.25" customHeight="1"/>
    <row r="86" ht="14.25" customHeight="1"/>
    <row r="87" ht="14.25" customHeight="1">
      <c r="B87" t="str">
        <v>Alternates</v>
      </c>
    </row>
    <row r="88" ht="14.25" customHeight="1">
      <c r="A88">
        <v>1</v>
      </c>
      <c r="C88" t="str">
        <v>#</v>
      </c>
    </row>
    <row r="89" ht="14.25" customHeight="1">
      <c r="A89">
        <f>A88+1</f>
        <v>2</v>
      </c>
      <c r="C89" t="str">
        <v>#</v>
      </c>
    </row>
    <row r="90" ht="14.25" customHeight="1">
      <c r="A90">
        <f>A89+1</f>
        <v>3</v>
      </c>
      <c r="C90" t="str">
        <v>#</v>
      </c>
    </row>
    <row r="91" ht="14.25" customHeight="1">
      <c r="A91">
        <f>A90+1</f>
        <v>4</v>
      </c>
      <c r="C91" t="str">
        <v>#</v>
      </c>
    </row>
    <row r="92" ht="14.25" customHeight="1">
      <c r="C92" t="str">
        <v>#</v>
      </c>
    </row>
    <row r="93" ht="14.25" customHeight="1">
      <c r="B93" t="str">
        <v>Unit Prices</v>
      </c>
    </row>
    <row r="94" ht="14.25" customHeight="1">
      <c r="A94">
        <v>1</v>
      </c>
      <c r="C94" t="str">
        <v>#</v>
      </c>
    </row>
    <row r="95" ht="14.25" customHeight="1">
      <c r="A95">
        <f>A94+1</f>
        <v>2</v>
      </c>
      <c r="C95" t="str">
        <v>#</v>
      </c>
    </row>
    <row r="96" ht="14.25" customHeight="1">
      <c r="A96">
        <f>A95+1</f>
        <v>3</v>
      </c>
      <c r="C96" t="str">
        <v>#</v>
      </c>
    </row>
    <row r="97" ht="14.25" customHeight="1">
      <c r="A97">
        <f>A96+1</f>
        <v>4</v>
      </c>
      <c r="C97" t="str">
        <v>#</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31 - SUPPORT OF EXCAVATION</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SUM(I20:I99,I13:I18)</f>
        <v>0</v>
      </c>
      <c r="K7" t="str">
        <v>Adjustments:</v>
      </c>
      <c r="L7" s="4">
        <f>SUM(L13:L18,L20:L99)</f>
        <v>0</v>
      </c>
      <c r="N7" t="str">
        <v>Adjustments:</v>
      </c>
      <c r="O7" s="4">
        <f>SUM(O13:O18,O20:O99)</f>
        <v>0</v>
      </c>
      <c r="Q7" t="str">
        <v>Adjustments:</v>
      </c>
      <c r="R7" s="4">
        <f>SUM(R13:R18,R20:R99)</f>
        <v>0</v>
      </c>
      <c r="T7" t="str">
        <v>Adjustments:</v>
      </c>
      <c r="U7" s="4">
        <f>SUM(U13:U18,U20:U99)</f>
        <v>0</v>
      </c>
      <c r="W7" t="str">
        <v>Adjustments:</v>
      </c>
      <c r="X7" s="4">
        <f>SUM(X13:X18,X20:X99)</f>
        <v>0</v>
      </c>
      <c r="Z7" t="str">
        <v>Adjustments:</v>
      </c>
      <c r="AA7" s="4">
        <f>SUM(AA13:AA18,AA20:AA99)</f>
        <v>0</v>
      </c>
      <c r="AC7" t="str">
        <v>Adjustments:</v>
      </c>
      <c r="AD7" s="4">
        <f>SUM(AD13:AD18,AD20:AD99)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[Full height, on-line or Partial height, off-line] sheeting &amp; shoring at perimeter of basement foundation walls</v>
      </c>
      <c r="C43" t="str">
        <v>Y</v>
      </c>
      <c r="I43" s="8">
        <f>H43*F43</f>
        <v>0</v>
      </c>
    </row>
    <row r="44" ht="14.25" customHeight="1">
      <c r="A44">
        <v>3</v>
      </c>
      <c r="B44" t="str">
        <v>Design and engineering of system to meet 20H,  25H or 30H loading</v>
      </c>
      <c r="C44" t="str">
        <v>Y</v>
      </c>
      <c r="I44" s="8">
        <f>H44*F44</f>
        <v>0</v>
      </c>
    </row>
    <row r="45" ht="14.25" customHeight="1">
      <c r="A45">
        <v>4</v>
      </c>
      <c r="B45" t="str">
        <v>Include all driven soldier piles to a min. depth of 10' below bottom of footing</v>
      </c>
      <c r="C45" t="str">
        <v>Y</v>
      </c>
      <c r="I45" s="8">
        <f>H45*F45</f>
        <v>0</v>
      </c>
    </row>
    <row r="46" ht="14.25" customHeight="1">
      <c r="A46">
        <v>5</v>
      </c>
      <c r="B46" t="str">
        <v>Include all lagging to slab subgrade</v>
      </c>
      <c r="C46" t="str">
        <v>Y</v>
      </c>
      <c r="I46" s="8">
        <f>H46*F46</f>
        <v>0</v>
      </c>
    </row>
    <row r="47" ht="14.25" customHeight="1">
      <c r="A47">
        <v>6</v>
      </c>
      <c r="B47" t="str">
        <v>Hand excavate from soldier pile flange to install lagging</v>
      </c>
      <c r="C47" t="str">
        <v>Y</v>
      </c>
      <c r="I47" s="8">
        <f>H47*F47</f>
        <v>0</v>
      </c>
    </row>
    <row r="48" ht="14.25" customHeight="1">
      <c r="A48">
        <v>7</v>
      </c>
      <c r="B48" t="str">
        <v>Include tie-back operation; drilling, grouting and stressing</v>
      </c>
      <c r="C48" t="str">
        <v>Y</v>
      </c>
      <c r="I48" s="8">
        <f>H48*F48</f>
        <v>0</v>
      </c>
    </row>
    <row r="49" ht="14.25" customHeight="1">
      <c r="A49">
        <v>8</v>
      </c>
      <c r="B49" t="str">
        <v>Assume 40' bench provided by excavator for tie back installation at each level</v>
      </c>
      <c r="C49" t="str">
        <v>Y</v>
      </c>
      <c r="I49" s="8">
        <f>H49*F49</f>
        <v>0</v>
      </c>
    </row>
    <row r="50" ht="14.25" customHeight="1">
      <c r="A50">
        <v>9</v>
      </c>
      <c r="B50" t="str">
        <v>Include all internal rakers, corner &amp; crosslot bracing necessary</v>
      </c>
      <c r="C50" t="str">
        <v>Y</v>
      </c>
      <c r="I50" s="8">
        <f>H50*F50</f>
        <v>0</v>
      </c>
    </row>
    <row r="51" ht="14.25" customHeight="1">
      <c r="A51">
        <v>10</v>
      </c>
      <c r="B51" t="str">
        <v>Include heel blocks necessary for rakers; excavation by others (provide Spoil Conc Heel Footing Qty_______CY</v>
      </c>
      <c r="C51" t="str">
        <v>Y</v>
      </c>
      <c r="I51" s="8">
        <f>H51*F51</f>
        <v>0</v>
      </c>
    </row>
    <row r="52" ht="14.25" customHeight="1">
      <c r="A52">
        <v>11</v>
      </c>
      <c r="B52" t="str">
        <v>Remobilize after foundation walls are poured to remove all tie-back anchors and bracings; cut off all tie backs not cast into the wall</v>
      </c>
      <c r="C52" t="str">
        <v>Y</v>
      </c>
      <c r="I52" s="8">
        <f>H52*F52</f>
        <v>0</v>
      </c>
    </row>
    <row r="53" ht="14.25" customHeight="1">
      <c r="A53">
        <v>12</v>
      </c>
      <c r="B53" t="str">
        <v>Remobilize and remove top 4' of soldier beams &amp; lagging; excavation by other</v>
      </c>
      <c r="C53" t="str">
        <v>Y</v>
      </c>
      <c r="I53" s="8">
        <f>H53*F53</f>
        <v>0</v>
      </c>
    </row>
    <row r="54" ht="14.25" customHeight="1">
      <c r="A54">
        <v>13</v>
      </c>
      <c r="B54" t="str">
        <v>Provide [underpinning/bracket piling) of adjacent buildings [identify locations</v>
      </c>
      <c r="C54" t="str">
        <v>Y</v>
      </c>
      <c r="I54" s="8">
        <f>H54*F54</f>
        <v>0</v>
      </c>
    </row>
    <row r="55" ht="14.25" customHeight="1">
      <c r="A55">
        <v>14</v>
      </c>
      <c r="B55" t="str">
        <v>Include hand excavated underpinning pits and lagging Provide Qty          CY of Spoils</v>
      </c>
      <c r="C55" t="str">
        <v>Y</v>
      </c>
      <c r="I55" s="8">
        <f>H55*F55</f>
        <v>0</v>
      </c>
    </row>
    <row r="56" ht="14.25" customHeight="1">
      <c r="A56">
        <v>15</v>
      </c>
      <c r="B56" t="str">
        <v>Include grouting of underpinning to existing foundation</v>
      </c>
      <c r="C56" t="str">
        <v>Y</v>
      </c>
      <c r="I56" s="8">
        <f>H56*F56</f>
        <v>0</v>
      </c>
    </row>
    <row r="57" ht="14.25" customHeight="1">
      <c r="A57">
        <v>16</v>
      </c>
      <c r="B57" t="str">
        <v>Include regular monitoring of all vertical and lateral movements of sheeting; submit records for review</v>
      </c>
      <c r="C57" t="str">
        <v>Y</v>
      </c>
      <c r="I57" s="8">
        <f>H57*F57</f>
        <v>0</v>
      </c>
    </row>
    <row r="58" ht="14.25" customHeight="1">
      <c r="A58">
        <v>17</v>
      </c>
      <c r="B58" t="str">
        <v>Include perimeter safety rail of angle iron and cable with top lagging board raised to serve as a toe board</v>
      </c>
      <c r="C58" t="str">
        <v>Y</v>
      </c>
      <c r="I58" s="8">
        <f>H58*F58</f>
        <v>0</v>
      </c>
    </row>
    <row r="59" ht="14.25" customHeight="1">
      <c r="A59">
        <v>18</v>
      </c>
      <c r="C59" t="str">
        <v>Y</v>
      </c>
      <c r="I59" s="8">
        <f>H59*F59</f>
        <v>0</v>
      </c>
    </row>
    <row r="60" ht="14.25" customHeight="1">
      <c r="A60">
        <v>19</v>
      </c>
      <c r="B60" t="str">
        <v>STANDARD / GENERAL SCOPE</v>
      </c>
      <c r="C60" t="str">
        <v>Y</v>
      </c>
      <c r="I60" s="8">
        <f>H60*F60</f>
        <v>0</v>
      </c>
    </row>
    <row r="61" ht="14.25" customHeight="1">
      <c r="A61">
        <v>20</v>
      </c>
      <c r="B61" t="str">
        <v>Advise of underpinning/tie back spoil quantity to be disposed of by others</v>
      </c>
      <c r="C61" t="str">
        <v>Y</v>
      </c>
      <c r="I61" s="8">
        <f>H61*F61</f>
        <v>0</v>
      </c>
    </row>
    <row r="62" ht="14.25" customHeight="1">
      <c r="A62">
        <v>21</v>
      </c>
      <c r="B62" t="str">
        <v>Advise of number of concrete wall &amp; floor penetrations to be infilled due to rakers</v>
      </c>
      <c r="C62" t="str">
        <v>Y</v>
      </c>
      <c r="I62" s="8">
        <f>H62*F62</f>
        <v>0</v>
      </c>
    </row>
    <row r="63" ht="14.25" customHeight="1">
      <c r="A63">
        <v>22</v>
      </c>
      <c r="B63" t="str">
        <v>Acknowledge Geo-tech report dated [XX/XX/XX]; incorporate data into pricing</v>
      </c>
      <c r="C63" t="str">
        <v>Y</v>
      </c>
      <c r="I63" s="8">
        <f>H63*F63</f>
        <v>0</v>
      </c>
    </row>
    <row r="64" ht="14.25" customHeight="1">
      <c r="A64">
        <v>23</v>
      </c>
      <c r="B64" t="str">
        <v>Sheeting and Shoring Permit drawings with design engineering/calcs by PE</v>
      </c>
      <c r="C64" t="str">
        <v>Y</v>
      </c>
      <c r="I64" s="8">
        <f>H64*F64</f>
        <v>0</v>
      </c>
    </row>
    <row r="65" ht="14.25" customHeight="1">
      <c r="A65">
        <v>24</v>
      </c>
      <c r="B65" t="str">
        <v>On-line sheeting pile location tolerance of 0" to -3" from outside face of wall.</v>
      </c>
      <c r="C65" t="str">
        <v>Y</v>
      </c>
      <c r="I65" s="8">
        <f>H65*F65</f>
        <v>0</v>
      </c>
    </row>
    <row r="66" ht="30.75" customHeight="1">
      <c r="A66">
        <v>25</v>
      </c>
      <c r="B66" t="str">
        <v>If soldier beam encroaches on wall, sheeting contractor shall block back lagging to allowa full wall thickness between soldier piles at no additional cost</v>
      </c>
      <c r="C66" t="str">
        <v>Y</v>
      </c>
      <c r="I66" s="8">
        <f>H66*F66</f>
        <v>0</v>
      </c>
    </row>
    <row r="67" ht="14.25" customHeight="1">
      <c r="A67">
        <v>26</v>
      </c>
      <c r="B67" t="str">
        <v>Allow for thickness of waterproofing drainage material</v>
      </c>
      <c r="C67" t="str">
        <v>Y</v>
      </c>
      <c r="I67" s="8">
        <f>H67*F67</f>
        <v>0</v>
      </c>
    </row>
    <row r="68" ht="33" customHeight="1">
      <c r="A68">
        <v>27</v>
      </c>
      <c r="B68" t="str">
        <v>Ensure no excessive gaps between lagging or abnormal transitions between pile flange and lagging that might void the waterproofing warranty</v>
      </c>
      <c r="C68" t="str">
        <v>Y</v>
      </c>
      <c r="I68" s="8">
        <f>H68*F68</f>
        <v>0</v>
      </c>
    </row>
    <row r="69" ht="14.25" customHeight="1">
      <c r="A69">
        <v>28</v>
      </c>
      <c r="B69" t="str">
        <v>Coordinate with excavator for ramp installation, relocation and remov</v>
      </c>
      <c r="C69" t="str">
        <v>Y</v>
      </c>
      <c r="I69" s="8">
        <f>H69*F69</f>
        <v>0</v>
      </c>
    </row>
    <row r="70" ht="14.25" customHeight="1">
      <c r="A70">
        <v>29</v>
      </c>
      <c r="B70" t="str">
        <v>Include test pits as necessary for your work</v>
      </c>
      <c r="C70" t="str">
        <v>Y</v>
      </c>
      <c r="I70" s="8">
        <f>H70*F70</f>
        <v>0</v>
      </c>
    </row>
    <row r="71" ht="14.25" customHeight="1">
      <c r="A71">
        <v>30</v>
      </c>
      <c r="B71" t="str">
        <v>Include performance tests on tie-backs as specified</v>
      </c>
      <c r="C71" t="str">
        <v>Y</v>
      </c>
      <c r="I71" s="8">
        <f>H71*F71</f>
        <v>0</v>
      </c>
    </row>
    <row r="72" ht="31.5" customHeight="1">
      <c r="A72">
        <v>31</v>
      </c>
      <c r="B72" t="str">
        <v>Verify that adjacent existing structures and utilities are not in conflict with proposed sheeting/tie-back</v>
      </c>
      <c r="C72" t="str">
        <v>Y</v>
      </c>
      <c r="I72" s="8">
        <f>H72*F72</f>
        <v>0</v>
      </c>
    </row>
    <row r="73" ht="14.25" customHeight="1">
      <c r="A73">
        <v>32</v>
      </c>
      <c r="B73" t="str">
        <v>Notify MCN of any surveying or utility work required before sheeting operation</v>
      </c>
      <c r="C73" t="str">
        <v>Y</v>
      </c>
      <c r="I73" s="8">
        <f>H73*F73</f>
        <v>0</v>
      </c>
    </row>
    <row r="74" ht="14.25" customHeight="1">
      <c r="A74">
        <v>33</v>
      </c>
      <c r="B74" t="str">
        <v>Provide all equipment, material, labor, tools, supervision, etc</v>
      </c>
      <c r="C74" t="str">
        <v>Y</v>
      </c>
      <c r="I74" s="8">
        <f>H74*F74</f>
        <v>0</v>
      </c>
    </row>
    <row r="75" ht="14.25" customHeight="1">
      <c r="I75" s="8">
        <f>H75*F75</f>
        <v>0</v>
      </c>
    </row>
    <row r="76" ht="14.25" customHeight="1">
      <c r="A76" t="str">
        <v>C</v>
      </c>
      <c r="B76" t="str">
        <v>Exclusions</v>
      </c>
    </row>
    <row r="77" ht="14.25" customHeight="1">
      <c r="A77">
        <v>1</v>
      </c>
      <c r="B77" t="str">
        <v>Field engineering, surveying and cut sheet</v>
      </c>
      <c r="C77" t="str">
        <v>N</v>
      </c>
      <c r="D77" t="str">
        <v>By surveying</v>
      </c>
    </row>
    <row r="78" ht="14.25" customHeight="1">
      <c r="A78">
        <v>2</v>
      </c>
      <c r="B78" t="str">
        <v>Spoil removal from underpinning and tie-back drillin</v>
      </c>
      <c r="C78" t="str">
        <v>N</v>
      </c>
      <c r="D78" t="str">
        <v>By earthwork</v>
      </c>
    </row>
    <row r="79" ht="14.25" customHeight="1">
      <c r="A79">
        <v>3</v>
      </c>
      <c r="B79" t="str">
        <v>Sheeting/Shoring Monitoring</v>
      </c>
      <c r="C79" t="str">
        <v>N</v>
      </c>
      <c r="D79" t="str">
        <v>By Surveying</v>
      </c>
    </row>
    <row r="80" ht="14.25" customHeight="1"/>
    <row r="81" ht="14.25" customHeight="1">
      <c r="A81" t="str">
        <v>D</v>
      </c>
      <c r="B81" t="str">
        <v>Schedule</v>
      </c>
    </row>
    <row r="82" ht="14.25" customHeight="1">
      <c r="A82">
        <v>1</v>
      </c>
      <c r="B82" t="str">
        <v>Meet MCN Schedule</v>
      </c>
      <c r="C82" t="str">
        <v>Y</v>
      </c>
    </row>
    <row r="83" ht="14.25" customHeight="1">
      <c r="A83">
        <f>A82+1</f>
        <v>2</v>
      </c>
      <c r="B83" t="str">
        <v>Advise of Durations</v>
      </c>
    </row>
    <row r="84" ht="14.25" customHeight="1">
      <c r="A84">
        <f>A83+1</f>
        <v>3</v>
      </c>
      <c r="B84" t="str">
        <v>Activity 1</v>
      </c>
      <c r="C84" t="str">
        <v>---&gt;</v>
      </c>
    </row>
    <row r="85" ht="14.25" customHeight="1">
      <c r="A85">
        <f>A84+1</f>
        <v>4</v>
      </c>
      <c r="B85" t="str">
        <v>Activity 2</v>
      </c>
      <c r="C85" t="str">
        <v>---&gt;</v>
      </c>
    </row>
    <row r="86" ht="14.25" customHeight="1">
      <c r="A86">
        <f>A85+1</f>
        <v>5</v>
      </c>
      <c r="B86" t="str">
        <v>Activity 3</v>
      </c>
      <c r="C86" t="str">
        <v>---&gt;</v>
      </c>
    </row>
    <row r="87" ht="14.25" customHeight="1">
      <c r="A87">
        <f>A86+1</f>
        <v>6</v>
      </c>
      <c r="B87" t="str">
        <v>Duration for Submittals and Shop Drawings</v>
      </c>
      <c r="C87" t="str">
        <v>---&gt;</v>
      </c>
    </row>
    <row r="88" ht="14.25" customHeight="1">
      <c r="A88">
        <f>A87+1</f>
        <v>7</v>
      </c>
      <c r="B88" t="str">
        <v>Advise of Lead Times:</v>
      </c>
    </row>
    <row r="89" ht="14.25" customHeight="1">
      <c r="A89">
        <f>A88+1</f>
        <v>8</v>
      </c>
      <c r="B89" t="str">
        <v>Material 1</v>
      </c>
      <c r="C89" t="str">
        <v>---&gt;</v>
      </c>
    </row>
    <row r="90" ht="14.25" customHeight="1">
      <c r="A90">
        <f>A89+1</f>
        <v>9</v>
      </c>
      <c r="B90" t="str">
        <v>Material 2</v>
      </c>
      <c r="C90" t="str">
        <v>---&gt;</v>
      </c>
    </row>
    <row r="91" ht="14.25" customHeight="1">
      <c r="A91">
        <f>A90+1</f>
        <v>10</v>
      </c>
      <c r="B91" t="str">
        <v>Material 3</v>
      </c>
      <c r="C91" t="str">
        <v>---&gt;</v>
      </c>
    </row>
    <row r="92" ht="14.25" customHeight="1"/>
    <row r="93" ht="14.25" customHeight="1"/>
    <row r="94" ht="14.25" customHeight="1">
      <c r="B94" t="str">
        <v>Allowances</v>
      </c>
    </row>
    <row r="95" ht="14.25" customHeight="1">
      <c r="A95">
        <v>1</v>
      </c>
    </row>
    <row r="96" ht="14.25" customHeight="1">
      <c r="A96">
        <f>A95+1</f>
        <v>2</v>
      </c>
    </row>
    <row r="97" ht="14.25" customHeight="1">
      <c r="A97">
        <f>A96+1</f>
        <v>3</v>
      </c>
    </row>
    <row r="98" ht="14.25" customHeight="1">
      <c r="A98">
        <f>A97+1</f>
        <v>4</v>
      </c>
    </row>
    <row r="99" ht="14.25" customHeight="1"/>
    <row r="100" ht="14.25" customHeight="1"/>
    <row r="101" ht="14.25" customHeight="1">
      <c r="B101" t="str">
        <v>Alternates</v>
      </c>
    </row>
    <row r="102" ht="14.25" customHeight="1">
      <c r="A102">
        <v>1</v>
      </c>
      <c r="C102" t="str">
        <v>#</v>
      </c>
    </row>
    <row r="103" ht="14.25" customHeight="1">
      <c r="A103">
        <f>A102+1</f>
        <v>2</v>
      </c>
      <c r="C103" t="str">
        <v>#</v>
      </c>
    </row>
    <row r="104" ht="14.25" customHeight="1">
      <c r="A104">
        <f>A103+1</f>
        <v>3</v>
      </c>
      <c r="C104" t="str">
        <v>#</v>
      </c>
    </row>
    <row r="105" ht="14.25" customHeight="1">
      <c r="A105">
        <f>A104+1</f>
        <v>4</v>
      </c>
      <c r="C105" t="str">
        <v>#</v>
      </c>
    </row>
    <row r="106" ht="14.25" customHeight="1">
      <c r="C106" t="str">
        <v>#</v>
      </c>
    </row>
    <row r="107" ht="14.25" customHeight="1">
      <c r="B107" t="str">
        <v>Unit Prices</v>
      </c>
    </row>
    <row r="108" ht="14.25" customHeight="1">
      <c r="A108">
        <v>1</v>
      </c>
      <c r="C108" t="str">
        <v>#</v>
      </c>
    </row>
    <row r="109" ht="14.25" customHeight="1">
      <c r="A109">
        <f>A108+1</f>
        <v>2</v>
      </c>
      <c r="C109" t="str">
        <v>#</v>
      </c>
    </row>
    <row r="110" ht="14.25" customHeight="1">
      <c r="A110">
        <f>A109+1</f>
        <v>3</v>
      </c>
      <c r="C110" t="str">
        <v>#</v>
      </c>
    </row>
    <row r="111" ht="14.25" customHeight="1">
      <c r="A111">
        <f>A110+1</f>
        <v>4</v>
      </c>
      <c r="C111" t="str">
        <v>#</v>
      </c>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7.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09 - TERRAZZO</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SUM(I20:I90,I13:I18)</f>
        <v>0</v>
      </c>
      <c r="K7" t="str">
        <v>Adjustments:</v>
      </c>
      <c r="L7" s="4">
        <f>SUM(L13:L18,L20:L90)</f>
        <v>0</v>
      </c>
      <c r="N7" t="str">
        <v>Adjustments:</v>
      </c>
      <c r="O7" s="4">
        <f>SUM(O13:O18,O20:O90)</f>
        <v>0</v>
      </c>
      <c r="Q7" t="str">
        <v>Adjustments:</v>
      </c>
      <c r="R7" s="4">
        <f>SUM(R13:R18,R20:R90)</f>
        <v>0</v>
      </c>
      <c r="T7" t="str">
        <v>Adjustments:</v>
      </c>
      <c r="U7" s="4">
        <f>SUM(U13:U18,U20:U90)</f>
        <v>0</v>
      </c>
      <c r="W7" t="str">
        <v>Adjustments:</v>
      </c>
      <c r="X7" s="4">
        <f>SUM(X13:X18,X20:X90)</f>
        <v>0</v>
      </c>
      <c r="Z7" t="str">
        <v>Adjustments:</v>
      </c>
      <c r="AA7" s="4">
        <f>SUM(AA13:AA18,AA20:AA90)</f>
        <v>0</v>
      </c>
      <c r="AC7" t="str">
        <v>Adjustments:</v>
      </c>
      <c r="AD7" s="4">
        <f>SUM(AD13:AD18,AD20:AD90)</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Terrazzo</v>
      </c>
      <c r="C43" t="str">
        <v>Y</v>
      </c>
      <c r="I43" s="8">
        <f>H43*F43</f>
        <v>0</v>
      </c>
    </row>
    <row r="44" ht="14.25" customHeight="1">
      <c r="A44">
        <v>3</v>
      </c>
      <c r="B44" t="str">
        <v>Furnish and install portland cement terrazzo flooring shown on the plans and Finish Schedule</v>
      </c>
      <c r="C44" t="str">
        <v>Y</v>
      </c>
      <c r="I44" s="8">
        <f>H44*F44</f>
        <v>0</v>
      </c>
    </row>
    <row r="45" ht="14.25" customHeight="1">
      <c r="A45">
        <v>4</v>
      </c>
      <c r="B45" t="str">
        <v>Mix to include stone chips and coloring additives as specified</v>
      </c>
      <c r="C45" t="str">
        <v>Y</v>
      </c>
      <c r="I45" s="8">
        <f>H45*F45</f>
        <v>0</v>
      </c>
    </row>
    <row r="46" ht="14.25" customHeight="1">
      <c r="A46">
        <v>5</v>
      </c>
      <c r="B46" t="str">
        <v>Include sand setting bed, isolation membrane and concrete underbed with wire mesh reinforcing</v>
      </c>
      <c r="C46" t="str">
        <v>Y</v>
      </c>
      <c r="I46" s="8">
        <f>H46*F46</f>
        <v>0</v>
      </c>
    </row>
    <row r="47" ht="14.25" customHeight="1">
      <c r="A47">
        <v>6</v>
      </c>
      <c r="B47" t="str">
        <v>Include zinc divider strips anchored to underbed &amp; set to the finish floor elevation</v>
      </c>
      <c r="C47" t="str">
        <v>Y</v>
      </c>
      <c r="I47" s="8">
        <f>H47*F47</f>
        <v>0</v>
      </c>
    </row>
    <row r="48" ht="14.25" customHeight="1">
      <c r="A48">
        <v>7</v>
      </c>
      <c r="B48" t="str">
        <v>Include all troweling, rolling and finishing of terrazzo (including add'l chips)</v>
      </c>
      <c r="C48" t="str">
        <v>Y</v>
      </c>
      <c r="I48" s="8">
        <f>H48*F48</f>
        <v>0</v>
      </c>
    </row>
    <row r="49" ht="14.25" customHeight="1">
      <c r="A49">
        <v>8</v>
      </c>
      <c r="B49" t="str">
        <v>Include curing compound</v>
      </c>
      <c r="C49" t="str">
        <v>Y</v>
      </c>
      <c r="I49" s="8">
        <f>H49*F49</f>
        <v>0</v>
      </c>
    </row>
    <row r="50" ht="14.25" customHeight="1">
      <c r="A50">
        <v>9</v>
      </c>
      <c r="B50" t="str">
        <v xml:space="preserve">Include floor sealer </v>
      </c>
      <c r="C50" t="str">
        <v>Y</v>
      </c>
      <c r="I50" s="8">
        <f>H50*F50</f>
        <v>0</v>
      </c>
    </row>
    <row r="51" ht="14.25" customHeight="1">
      <c r="A51">
        <v>10</v>
      </c>
      <c r="C51" t="str">
        <v>Y</v>
      </c>
      <c r="I51" s="8">
        <f>H51*F51</f>
        <v>0</v>
      </c>
    </row>
    <row r="52" ht="14.25" customHeight="1">
      <c r="A52">
        <v>11</v>
      </c>
      <c r="B52" t="str">
        <v>STANDARD / GENERAL SCOPE</v>
      </c>
      <c r="C52" t="str">
        <v>Y</v>
      </c>
      <c r="I52" s="8">
        <f>H52*F52</f>
        <v>0</v>
      </c>
    </row>
    <row r="53" ht="14.25" customHeight="1">
      <c r="A53">
        <v>12</v>
      </c>
      <c r="B53" t="str">
        <v>Include all material, tools, equipment, hoisting, supervision, etc for this work</v>
      </c>
      <c r="C53" t="str">
        <v>Y</v>
      </c>
      <c r="I53" s="8">
        <f>H53*F53</f>
        <v>0</v>
      </c>
    </row>
    <row r="54" ht="14.25" customHeight="1">
      <c r="A54">
        <v>13</v>
      </c>
      <c r="B54" t="str">
        <v>Include minor surface prep</v>
      </c>
      <c r="C54" t="str">
        <v>Y</v>
      </c>
      <c r="I54" s="8">
        <f>H54*F54</f>
        <v>0</v>
      </c>
    </row>
    <row r="55" ht="14.25" customHeight="1">
      <c r="A55">
        <v>14</v>
      </c>
      <c r="B55" t="str">
        <v>Clean terrazzo after installation</v>
      </c>
      <c r="C55" t="str">
        <v>Y</v>
      </c>
      <c r="I55" s="8">
        <f>H55*F55</f>
        <v>0</v>
      </c>
    </row>
    <row r="56" ht="14.25" customHeight="1">
      <c r="A56">
        <v>15</v>
      </c>
      <c r="B56" t="str">
        <v>Include Kraft paper floor protection after installation</v>
      </c>
      <c r="C56" t="str">
        <v>Y</v>
      </c>
      <c r="I56" s="8">
        <f>H56*F56</f>
        <v>0</v>
      </c>
    </row>
    <row r="57" ht="14.25" customHeight="1">
      <c r="A57">
        <v>16</v>
      </c>
      <c r="B57" t="str">
        <v>Layout from GC control lines and benchmarks</v>
      </c>
      <c r="C57" t="str">
        <v>Y</v>
      </c>
      <c r="I57" s="8">
        <f>H57*F57</f>
        <v>0</v>
      </c>
    </row>
    <row r="58" ht="14.25" customHeight="1">
      <c r="A58">
        <v>17</v>
      </c>
      <c r="B58" t="str">
        <v>Clean up to MCN dumpster</v>
      </c>
      <c r="C58" t="str">
        <v>Y</v>
      </c>
      <c r="I58" s="8">
        <f>H58*F58</f>
        <v>0</v>
      </c>
    </row>
    <row r="59" ht="14.25" customHeight="1">
      <c r="A59">
        <v>18</v>
      </c>
      <c r="B59" t="str">
        <v>Shop dwgs, samples, product data, certs, etc</v>
      </c>
      <c r="C59" t="str">
        <v>Y</v>
      </c>
      <c r="I59" s="8">
        <f>H59*F59</f>
        <v>0</v>
      </c>
    </row>
    <row r="60" ht="14.25" customHeight="1">
      <c r="A60">
        <v>19</v>
      </c>
      <c r="B60" t="str">
        <v>Mock-up per spec</v>
      </c>
      <c r="C60" t="str">
        <v>Y</v>
      </c>
      <c r="I60" s="8">
        <f>H60*F60</f>
        <v>0</v>
      </c>
    </row>
    <row r="61" ht="14.25" customHeight="1">
      <c r="I61" s="8">
        <f>H61*F61</f>
        <v>0</v>
      </c>
    </row>
    <row r="62" ht="14.25" customHeight="1">
      <c r="A62" t="str">
        <v>C</v>
      </c>
      <c r="B62" t="str">
        <v>Exclusions</v>
      </c>
    </row>
    <row r="63" ht="14.25" customHeight="1">
      <c r="A63">
        <v>1</v>
      </c>
      <c r="C63" t="str">
        <v>N</v>
      </c>
    </row>
    <row r="64" ht="14.25" customHeight="1">
      <c r="A64">
        <f>A63+1</f>
        <v>2</v>
      </c>
      <c r="C64" t="str">
        <v>N</v>
      </c>
    </row>
    <row r="65" ht="14.25" customHeight="1">
      <c r="A65">
        <f>A64+1</f>
        <v>3</v>
      </c>
      <c r="C65" t="str">
        <v>N</v>
      </c>
    </row>
    <row r="66" ht="14.25" customHeight="1">
      <c r="A66">
        <f>A65+1</f>
        <v>4</v>
      </c>
      <c r="C66" t="str">
        <v>N</v>
      </c>
    </row>
    <row r="67" ht="14.25" customHeight="1">
      <c r="A67">
        <f>A66+1</f>
        <v>5</v>
      </c>
      <c r="C67" t="str">
        <v>N</v>
      </c>
    </row>
    <row r="68" ht="14.25" customHeight="1">
      <c r="A68">
        <f>A67+1</f>
        <v>6</v>
      </c>
      <c r="C68" t="str">
        <v>N</v>
      </c>
    </row>
    <row r="69" ht="14.25" customHeight="1">
      <c r="A69">
        <f>A68+1</f>
        <v>7</v>
      </c>
      <c r="C69" t="str">
        <v>N</v>
      </c>
    </row>
    <row r="70" ht="14.25" customHeight="1">
      <c r="A70">
        <f>A69+1</f>
        <v>8</v>
      </c>
      <c r="C70" t="str">
        <v>N</v>
      </c>
    </row>
    <row r="71" ht="14.25" customHeight="1"/>
    <row r="72" ht="14.25" customHeight="1">
      <c r="A72" t="str">
        <v>D</v>
      </c>
      <c r="B72" t="str">
        <v>Schedule</v>
      </c>
    </row>
    <row r="73" ht="14.25" customHeight="1">
      <c r="A73">
        <v>1</v>
      </c>
      <c r="B73" t="str">
        <v>Meet MCN Schedule</v>
      </c>
      <c r="C73" t="str">
        <v>Y</v>
      </c>
    </row>
    <row r="74" ht="14.25" customHeight="1">
      <c r="A74">
        <f>A73+1</f>
        <v>2</v>
      </c>
      <c r="B74" t="str">
        <v>Advise of Durations</v>
      </c>
    </row>
    <row r="75" ht="14.25" customHeight="1">
      <c r="A75">
        <f>A74+1</f>
        <v>3</v>
      </c>
      <c r="B75" t="str">
        <v>Activity 1</v>
      </c>
      <c r="C75" t="str">
        <v>---&gt;</v>
      </c>
    </row>
    <row r="76" ht="14.25" customHeight="1">
      <c r="A76">
        <f>A75+1</f>
        <v>4</v>
      </c>
      <c r="B76" t="str">
        <v>Activity 2</v>
      </c>
      <c r="C76" t="str">
        <v>---&gt;</v>
      </c>
    </row>
    <row r="77" ht="14.25" customHeight="1">
      <c r="A77">
        <f>A76+1</f>
        <v>5</v>
      </c>
      <c r="B77" t="str">
        <v>Activity 3</v>
      </c>
      <c r="C77" t="str">
        <v>---&gt;</v>
      </c>
    </row>
    <row r="78" ht="14.25" customHeight="1">
      <c r="A78">
        <f>A77+1</f>
        <v>6</v>
      </c>
      <c r="B78" t="str">
        <v>Duration for Submittals and Shop Drawings</v>
      </c>
      <c r="C78" t="str">
        <v>---&gt;</v>
      </c>
    </row>
    <row r="79" ht="14.25" customHeight="1">
      <c r="A79">
        <f>A78+1</f>
        <v>7</v>
      </c>
      <c r="B79" t="str">
        <v>Advise of Lead Times:</v>
      </c>
    </row>
    <row r="80" ht="14.25" customHeight="1">
      <c r="A80">
        <f>A79+1</f>
        <v>8</v>
      </c>
      <c r="B80" t="str">
        <v>Material 1</v>
      </c>
      <c r="C80" t="str">
        <v>---&gt;</v>
      </c>
    </row>
    <row r="81" ht="14.25" customHeight="1">
      <c r="A81">
        <f>A80+1</f>
        <v>9</v>
      </c>
      <c r="B81" t="str">
        <v>Material 2</v>
      </c>
      <c r="C81" t="str">
        <v>---&gt;</v>
      </c>
    </row>
    <row r="82" ht="14.25" customHeight="1">
      <c r="A82">
        <f>A81+1</f>
        <v>10</v>
      </c>
      <c r="B82" t="str">
        <v>Material 3</v>
      </c>
      <c r="C82" t="str">
        <v>---&gt;</v>
      </c>
    </row>
    <row r="83" ht="14.25" customHeight="1"/>
    <row r="84" ht="14.25" customHeight="1"/>
    <row r="85" ht="14.25" customHeight="1">
      <c r="B85" t="str">
        <v>Allowances</v>
      </c>
    </row>
    <row r="86" ht="14.25" customHeight="1">
      <c r="A86">
        <v>1</v>
      </c>
    </row>
    <row r="87" ht="14.25" customHeight="1">
      <c r="A87">
        <f>A86+1</f>
        <v>2</v>
      </c>
    </row>
    <row r="88" ht="14.25" customHeight="1">
      <c r="A88">
        <f>A87+1</f>
        <v>3</v>
      </c>
    </row>
    <row r="89" ht="14.25" customHeight="1">
      <c r="A89">
        <f>A88+1</f>
        <v>4</v>
      </c>
    </row>
    <row r="90" ht="14.25" customHeight="1"/>
    <row r="91" ht="14.25" customHeight="1"/>
    <row r="92" ht="14.25" customHeight="1">
      <c r="B92" t="str">
        <v>Alternates</v>
      </c>
    </row>
    <row r="93" ht="14.25" customHeight="1">
      <c r="A93">
        <v>1</v>
      </c>
      <c r="C93" t="str">
        <v>#</v>
      </c>
    </row>
    <row r="94" ht="14.25" customHeight="1">
      <c r="A94">
        <f>A93+1</f>
        <v>2</v>
      </c>
      <c r="C94" t="str">
        <v>#</v>
      </c>
    </row>
    <row r="95" ht="14.25" customHeight="1">
      <c r="A95">
        <f>A94+1</f>
        <v>3</v>
      </c>
      <c r="C95" t="str">
        <v>#</v>
      </c>
    </row>
    <row r="96" ht="14.25" customHeight="1">
      <c r="A96">
        <f>A95+1</f>
        <v>4</v>
      </c>
      <c r="C96" t="str">
        <v>#</v>
      </c>
    </row>
    <row r="97" ht="14.25" customHeight="1">
      <c r="C97" t="str">
        <v>#</v>
      </c>
    </row>
    <row r="98" ht="14.25" customHeight="1">
      <c r="B98" t="str">
        <v>Unit Prices</v>
      </c>
    </row>
    <row r="99" ht="14.25" customHeight="1">
      <c r="A99">
        <v>1</v>
      </c>
      <c r="C99" t="str">
        <v>#</v>
      </c>
    </row>
    <row r="100" ht="14.25" customHeight="1">
      <c r="A100">
        <f>A99+1</f>
        <v>2</v>
      </c>
      <c r="C100" t="str">
        <v>#</v>
      </c>
    </row>
    <row r="101" ht="14.25" customHeight="1">
      <c r="A101">
        <f>A100+1</f>
        <v>3</v>
      </c>
      <c r="C101" t="str">
        <v>#</v>
      </c>
    </row>
    <row r="102" ht="14.25" customHeight="1">
      <c r="A102">
        <f>A101+1</f>
        <v>4</v>
      </c>
      <c r="C102" t="str">
        <v>#</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8.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10 - TOILET ACCESSORIES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SUM(I20:I117,I13:I18)</f>
        <v>0</v>
      </c>
      <c r="K7" t="str">
        <v>Adjustments:</v>
      </c>
      <c r="L7" s="4">
        <f>SUM(L13:L18,L20:L117)</f>
        <v>0</v>
      </c>
      <c r="N7" t="str">
        <v>Adjustments:</v>
      </c>
      <c r="O7" s="4">
        <f>SUM(O13:O18,O20:O117)</f>
        <v>0</v>
      </c>
      <c r="Q7" t="str">
        <v>Adjustments:</v>
      </c>
      <c r="R7" s="4">
        <f>SUM(R13:R18,R20:R117)</f>
        <v>0</v>
      </c>
      <c r="T7" t="str">
        <v>Adjustments:</v>
      </c>
      <c r="U7" s="4">
        <f>SUM(U13:U18,U20:U117)</f>
        <v>0</v>
      </c>
      <c r="W7" t="str">
        <v>Adjustments:</v>
      </c>
      <c r="X7" s="4">
        <f>SUM(X13:X18,X20:X117)</f>
        <v>0</v>
      </c>
      <c r="Z7" t="str">
        <v>Adjustments:</v>
      </c>
      <c r="AA7" s="4">
        <f>SUM(AA13:AA18,AA20:AA117)</f>
        <v>0</v>
      </c>
      <c r="AC7" t="str">
        <v>Adjustments:</v>
      </c>
      <c r="AD7" s="4">
        <f>SUM(AD13:AD18,AD20:AD117)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Toilet Accessories</v>
      </c>
      <c r="C43" t="str">
        <v>Y</v>
      </c>
      <c r="I43" s="8">
        <f>H43*F43</f>
        <v>0</v>
      </c>
    </row>
    <row r="44" ht="14.25" customHeight="1">
      <c r="A44">
        <v>3</v>
      </c>
      <c r="B44" t="str">
        <v>Furnish and Install the following toilet accessories:</v>
      </c>
      <c r="C44" t="str">
        <v>Y</v>
      </c>
      <c r="I44" s="8">
        <f>H44*F44</f>
        <v>0</v>
      </c>
    </row>
    <row r="45" ht="14.25" customHeight="1">
      <c r="A45">
        <v>4</v>
      </c>
      <c r="B45" t="str">
        <v>RESIDENTIAL TOILET ACCESSORIES</v>
      </c>
      <c r="C45" t="str">
        <v>Y</v>
      </c>
      <c r="I45" s="8">
        <f>H45*F45</f>
        <v>0</v>
      </c>
    </row>
    <row r="46" ht="14.25" customHeight="1">
      <c r="A46">
        <v>5</v>
      </c>
      <c r="B46" t="str">
        <v>Toilet tissue dispensers [verify quantities]</v>
      </c>
      <c r="C46" t="str">
        <v>Y</v>
      </c>
      <c r="I46" s="8">
        <f>H46*F46</f>
        <v>0</v>
      </c>
    </row>
    <row r="47" ht="14.25" customHeight="1">
      <c r="A47">
        <v>6</v>
      </c>
      <c r="B47" t="str">
        <v>Combination towel dispenser/waste receptacles [verify quantities]</v>
      </c>
      <c r="C47" t="str">
        <v>Y</v>
      </c>
      <c r="I47" s="8">
        <f>H47*F47</f>
        <v>0</v>
      </c>
    </row>
    <row r="48" ht="14.25" customHeight="1">
      <c r="A48">
        <v>7</v>
      </c>
      <c r="B48" t="str">
        <v>36" Grab Bars [verify quantities]</v>
      </c>
      <c r="C48" t="str">
        <v>Y</v>
      </c>
      <c r="I48" s="8">
        <f>H48*F48</f>
        <v>0</v>
      </c>
    </row>
    <row r="49" ht="14.25" customHeight="1">
      <c r="A49">
        <v>8</v>
      </c>
      <c r="B49" t="str">
        <v>42" Grab Bars [verify quantities]</v>
      </c>
      <c r="C49" t="str">
        <v>Y</v>
      </c>
      <c r="I49" s="8">
        <f>H49*F49</f>
        <v>0</v>
      </c>
    </row>
    <row r="50" ht="14.25" customHeight="1">
      <c r="A50">
        <v>9</v>
      </c>
      <c r="B50" t="str">
        <v>Sanitary napkin dispensers [verify quantities]</v>
      </c>
      <c r="C50" t="str">
        <v>Y</v>
      </c>
      <c r="I50" s="8">
        <f>H50*F50</f>
        <v>0</v>
      </c>
    </row>
    <row r="51" ht="14.25" customHeight="1">
      <c r="A51">
        <v>10</v>
      </c>
      <c r="B51" t="str">
        <v>Sanitary napkin disposal units [verify quantities]</v>
      </c>
      <c r="C51" t="str">
        <v>Y</v>
      </c>
      <c r="I51" s="8">
        <f>H51*F51</f>
        <v>0</v>
      </c>
    </row>
    <row r="52" ht="14.25" customHeight="1">
      <c r="A52">
        <v>11</v>
      </c>
      <c r="B52" t="str">
        <v>Utility shelf [verify quantities]</v>
      </c>
      <c r="C52" t="str">
        <v>Y</v>
      </c>
      <c r="I52" s="8">
        <f>H52*F52</f>
        <v>0</v>
      </c>
    </row>
    <row r="53" ht="14.25" customHeight="1">
      <c r="A53">
        <v>12</v>
      </c>
      <c r="B53" t="str">
        <v>Stainless steel-framed mirrors [verify quantities]</v>
      </c>
      <c r="C53" t="str">
        <v>Y</v>
      </c>
      <c r="I53" s="8">
        <f>H53*F53</f>
        <v>0</v>
      </c>
    </row>
    <row r="54" ht="14.25" customHeight="1">
      <c r="A54">
        <v>13</v>
      </c>
      <c r="B54" t="str">
        <v>Soap dispensers [verify quantities]</v>
      </c>
      <c r="C54" t="str">
        <v>Y</v>
      </c>
      <c r="I54" s="8">
        <f>H54*F54</f>
        <v>0</v>
      </c>
    </row>
    <row r="55" ht="14.25" customHeight="1">
      <c r="A55">
        <v>14</v>
      </c>
      <c r="B55" t="str">
        <v>Seat cover dispensers [verify quantities]</v>
      </c>
      <c r="C55" t="str">
        <v>Y</v>
      </c>
      <c r="I55" s="8">
        <f>H55*F55</f>
        <v>0</v>
      </c>
    </row>
    <row r="56" ht="14.25" customHeight="1">
      <c r="A56">
        <v>15</v>
      </c>
      <c r="B56" t="str">
        <v>Robe hooks [verify quantities]</v>
      </c>
      <c r="C56" t="str">
        <v>Y</v>
      </c>
      <c r="I56" s="8">
        <f>H56*F56</f>
        <v>0</v>
      </c>
    </row>
    <row r="57" ht="14.25" customHeight="1">
      <c r="A57">
        <v>16</v>
      </c>
      <c r="B57" t="str">
        <v>Mop and broom holder with shelf [verify quantities]</v>
      </c>
      <c r="C57" t="str">
        <v>Y</v>
      </c>
      <c r="I57" s="8">
        <f>H57*F57</f>
        <v>0</v>
      </c>
    </row>
    <row r="58" ht="14.25" customHeight="1">
      <c r="A58">
        <v>17</v>
      </c>
      <c r="B58" t="str">
        <v>Shower curtain and rod [verify quantities]</v>
      </c>
      <c r="C58" t="str">
        <v>Y</v>
      </c>
      <c r="I58" s="8">
        <f>H58*F58</f>
        <v>0</v>
      </c>
    </row>
    <row r="59" ht="14.25" customHeight="1">
      <c r="A59">
        <v>18</v>
      </c>
      <c r="B59" t="str">
        <v>Soap dish [verify quantities]</v>
      </c>
      <c r="C59" t="str">
        <v>Y</v>
      </c>
      <c r="I59" s="8">
        <f>H59*F59</f>
        <v>0</v>
      </c>
    </row>
    <row r="60" ht="14.25" customHeight="1">
      <c r="A60">
        <v>19</v>
      </c>
      <c r="B60" t="str">
        <v>Shower Rod [verify quantities]</v>
      </c>
      <c r="C60" t="str">
        <v>Y</v>
      </c>
      <c r="I60" s="8">
        <f>H60*F60</f>
        <v>0</v>
      </c>
    </row>
    <row r="61" ht="14.25" customHeight="1">
      <c r="A61">
        <v>20</v>
      </c>
      <c r="B61" t="str">
        <v>Towel bar [verify quantities]</v>
      </c>
      <c r="C61" t="str">
        <v>Y</v>
      </c>
      <c r="I61" s="8">
        <f>H61*F61</f>
        <v>0</v>
      </c>
    </row>
    <row r="62" ht="14.25" customHeight="1">
      <c r="A62">
        <v>21</v>
      </c>
      <c r="B62" t="str">
        <v>***Other toilet accessories***</v>
      </c>
      <c r="C62" t="str">
        <v>Y</v>
      </c>
      <c r="I62" s="8">
        <f>H62*F62</f>
        <v>0</v>
      </c>
    </row>
    <row r="63" ht="14.25" customHeight="1">
      <c r="A63">
        <v>22</v>
      </c>
      <c r="B63" t="str">
        <v>***Other toilet accessories***</v>
      </c>
      <c r="C63" t="str">
        <v>Y</v>
      </c>
      <c r="I63" s="8">
        <f>H63*F63</f>
        <v>0</v>
      </c>
    </row>
    <row r="64" ht="14.25" customHeight="1">
      <c r="A64">
        <v>23</v>
      </c>
      <c r="B64" t="str">
        <v>PUBLIC TOILET ROOM ACCESSORIES</v>
      </c>
      <c r="C64" t="str">
        <v>Y</v>
      </c>
      <c r="I64" s="8">
        <f>H64*F64</f>
        <v>0</v>
      </c>
    </row>
    <row r="65" ht="14.25" customHeight="1">
      <c r="A65">
        <v>24</v>
      </c>
      <c r="B65" t="str">
        <v>Toilet tissue dispensers [verify quantities]</v>
      </c>
      <c r="C65" t="str">
        <v>Y</v>
      </c>
      <c r="I65" s="8">
        <f>H65*F65</f>
        <v>0</v>
      </c>
    </row>
    <row r="66" ht="14.25" customHeight="1">
      <c r="A66">
        <v>25</v>
      </c>
      <c r="B66" t="str">
        <v>Combination towel dispenser/waste receptacles [verify quantities]</v>
      </c>
      <c r="C66" t="str">
        <v>Y</v>
      </c>
      <c r="I66" s="8">
        <f>H66*F66</f>
        <v>0</v>
      </c>
    </row>
    <row r="67" ht="14.25" customHeight="1">
      <c r="A67">
        <v>26</v>
      </c>
      <c r="B67" t="str">
        <v>Paper towel dispensers [verify quantities]</v>
      </c>
      <c r="C67" t="str">
        <v>Y</v>
      </c>
      <c r="I67" s="8">
        <f>H67*F67</f>
        <v>0</v>
      </c>
    </row>
    <row r="68" ht="14.25" customHeight="1">
      <c r="A68">
        <v>27</v>
      </c>
      <c r="B68" t="str">
        <v>36" Grab Bars [verify quantities]</v>
      </c>
      <c r="C68" t="str">
        <v>Y</v>
      </c>
      <c r="I68" s="8">
        <f>H68*F68</f>
        <v>0</v>
      </c>
    </row>
    <row r="69" ht="14.25" customHeight="1">
      <c r="A69">
        <v>28</v>
      </c>
      <c r="B69" t="str">
        <v>42" Grab Bars [verify quantities]</v>
      </c>
      <c r="C69" t="str">
        <v>Y</v>
      </c>
      <c r="I69" s="8">
        <f>H69*F69</f>
        <v>0</v>
      </c>
    </row>
    <row r="70" ht="14.25" customHeight="1">
      <c r="A70">
        <v>29</v>
      </c>
      <c r="B70" t="str">
        <v>Sanitary napkin dispensers [verify quantities]</v>
      </c>
      <c r="C70" t="str">
        <v>Y</v>
      </c>
      <c r="I70" s="8">
        <f>H70*F70</f>
        <v>0</v>
      </c>
    </row>
    <row r="71" ht="14.25" customHeight="1">
      <c r="A71">
        <v>30</v>
      </c>
      <c r="B71" t="str">
        <v>Sanitary napkin disposal units [verify quantities]</v>
      </c>
      <c r="C71" t="str">
        <v>Y</v>
      </c>
      <c r="I71" s="8">
        <f>H71*F71</f>
        <v>0</v>
      </c>
    </row>
    <row r="72" ht="14.25" customHeight="1">
      <c r="A72">
        <v>31</v>
      </c>
      <c r="B72" t="str">
        <v>Utility shelf [verify quantities]</v>
      </c>
      <c r="C72" t="str">
        <v>Y</v>
      </c>
      <c r="I72" s="8">
        <f>H72*F72</f>
        <v>0</v>
      </c>
    </row>
    <row r="73" ht="14.25" customHeight="1">
      <c r="A73">
        <v>32</v>
      </c>
      <c r="B73" t="str">
        <v>Stainless steel-framed mirrors [verify quantities]</v>
      </c>
      <c r="C73" t="str">
        <v>Y</v>
      </c>
      <c r="I73" s="8">
        <f>H73*F73</f>
        <v>0</v>
      </c>
    </row>
    <row r="74" ht="14.25" customHeight="1">
      <c r="A74">
        <v>33</v>
      </c>
      <c r="B74" t="str">
        <v>Soap dispensers [verify quantities]</v>
      </c>
      <c r="C74" t="str">
        <v>Y</v>
      </c>
      <c r="I74" s="8">
        <f>H74*F74</f>
        <v>0</v>
      </c>
    </row>
    <row r="75" ht="14.25" customHeight="1">
      <c r="A75">
        <v>34</v>
      </c>
      <c r="B75" t="str">
        <v>Seat cover dispensers [verify quantities]</v>
      </c>
      <c r="C75" t="str">
        <v>Y</v>
      </c>
      <c r="I75" s="8">
        <f>H75*F75</f>
        <v>0</v>
      </c>
    </row>
    <row r="76" ht="14.25" customHeight="1">
      <c r="A76">
        <v>35</v>
      </c>
      <c r="B76" t="str">
        <v>Robe hooks [verify quantities]</v>
      </c>
      <c r="C76" t="str">
        <v>Y</v>
      </c>
      <c r="I76" s="8">
        <f>H76*F76</f>
        <v>0</v>
      </c>
    </row>
    <row r="77" ht="14.25" customHeight="1">
      <c r="A77">
        <v>36</v>
      </c>
      <c r="B77" t="str">
        <v>Mop and broom holder with shelf [verify quantities]</v>
      </c>
      <c r="C77" t="str">
        <v>Y</v>
      </c>
      <c r="I77" s="8">
        <f>H77*F77</f>
        <v>0</v>
      </c>
    </row>
    <row r="78" ht="14.25" customHeight="1">
      <c r="A78">
        <v>37</v>
      </c>
      <c r="B78" t="str">
        <v>Shower curtain and rod [verify quantities]</v>
      </c>
      <c r="C78" t="str">
        <v>Y</v>
      </c>
      <c r="I78" s="8">
        <f>H78*F78</f>
        <v>0</v>
      </c>
    </row>
    <row r="79" ht="14.25" customHeight="1">
      <c r="A79">
        <v>38</v>
      </c>
      <c r="B79" t="str">
        <v>***Other toilet accessories***</v>
      </c>
      <c r="C79" t="str">
        <v>Y</v>
      </c>
      <c r="I79" s="8">
        <f>H79*F79</f>
        <v>0</v>
      </c>
    </row>
    <row r="80" ht="14.25" customHeight="1">
      <c r="A80">
        <v>39</v>
      </c>
      <c r="B80" t="str">
        <v>***Other toilet accessories***</v>
      </c>
      <c r="C80" t="str">
        <v>Y</v>
      </c>
      <c r="I80" s="8">
        <f>H80*F80</f>
        <v>0</v>
      </c>
    </row>
    <row r="81" ht="14.25" customHeight="1">
      <c r="A81">
        <v>40</v>
      </c>
      <c r="B81" t="str">
        <v>Include all mounting anchors, fasteners, keys, etc</v>
      </c>
      <c r="C81" t="str">
        <v>Y</v>
      </c>
      <c r="I81" s="8">
        <f>H81*F81</f>
        <v>0</v>
      </c>
    </row>
    <row r="82" ht="14.25" customHeight="1">
      <c r="A82">
        <v>41</v>
      </c>
      <c r="C82" t="str">
        <v>Y</v>
      </c>
      <c r="I82" s="8">
        <f>H82*F82</f>
        <v>0</v>
      </c>
    </row>
    <row r="83" ht="14.25" customHeight="1">
      <c r="A83">
        <v>42</v>
      </c>
      <c r="B83" t="str">
        <v>STANDARD / GENERAL SCOPE</v>
      </c>
      <c r="C83" t="str">
        <v>Y</v>
      </c>
      <c r="I83" s="8">
        <f>H83*F83</f>
        <v>0</v>
      </c>
    </row>
    <row r="84" ht="14.25" customHeight="1">
      <c r="A84">
        <v>43</v>
      </c>
      <c r="B84" t="str">
        <v>Include all mat'l, labor, tools, equipment, hoisting, supervision, etc for your work</v>
      </c>
      <c r="C84" t="str">
        <v>Y</v>
      </c>
      <c r="I84" s="8">
        <f>H84*F84</f>
        <v>0</v>
      </c>
    </row>
    <row r="85" ht="14.25" customHeight="1">
      <c r="A85">
        <v>44</v>
      </c>
      <c r="B85" t="str">
        <v>Assume free use of GC's material hoist</v>
      </c>
      <c r="C85" t="str">
        <v>Y</v>
      </c>
      <c r="I85" s="8">
        <f>H85*F85</f>
        <v>0</v>
      </c>
    </row>
    <row r="86" ht="14.25" customHeight="1">
      <c r="A86">
        <v>45</v>
      </c>
      <c r="B86" t="str">
        <v>Clean up to MCN dumpster</v>
      </c>
      <c r="C86" t="str">
        <v>Y</v>
      </c>
      <c r="I86" s="8">
        <f>H86*F86</f>
        <v>0</v>
      </c>
    </row>
    <row r="87" ht="14.25" customHeight="1">
      <c r="A87">
        <v>46</v>
      </c>
      <c r="B87" t="str">
        <v>Shop dwgs, samples, product data, etc</v>
      </c>
      <c r="C87" t="str">
        <v>Y</v>
      </c>
      <c r="I87" s="8">
        <f>H87*F87</f>
        <v>0</v>
      </c>
    </row>
    <row r="88" ht="14.25" customHeight="1">
      <c r="I88" s="8">
        <f>H88*F88</f>
        <v>0</v>
      </c>
    </row>
    <row r="89" ht="14.25" customHeight="1">
      <c r="A89" t="str">
        <v>C</v>
      </c>
      <c r="B89" t="str">
        <v>Exclusions</v>
      </c>
    </row>
    <row r="90" ht="14.25" customHeight="1">
      <c r="A90">
        <v>1</v>
      </c>
      <c r="C90" t="str">
        <v>N</v>
      </c>
    </row>
    <row r="91" ht="14.25" customHeight="1">
      <c r="A91">
        <f>A90+1</f>
        <v>2</v>
      </c>
      <c r="C91" t="str">
        <v>N</v>
      </c>
    </row>
    <row r="92" ht="14.25" customHeight="1">
      <c r="A92">
        <f>A91+1</f>
        <v>3</v>
      </c>
      <c r="C92" t="str">
        <v>N</v>
      </c>
    </row>
    <row r="93" ht="14.25" customHeight="1">
      <c r="A93">
        <f>A92+1</f>
        <v>4</v>
      </c>
      <c r="C93" t="str">
        <v>N</v>
      </c>
    </row>
    <row r="94" ht="14.25" customHeight="1">
      <c r="A94">
        <f>A93+1</f>
        <v>5</v>
      </c>
      <c r="C94" t="str">
        <v>N</v>
      </c>
    </row>
    <row r="95" ht="14.25" customHeight="1">
      <c r="A95">
        <f>A94+1</f>
        <v>6</v>
      </c>
      <c r="C95" t="str">
        <v>N</v>
      </c>
    </row>
    <row r="96" ht="14.25" customHeight="1">
      <c r="A96">
        <f>A95+1</f>
        <v>7</v>
      </c>
      <c r="C96" t="str">
        <v>N</v>
      </c>
    </row>
    <row r="97" ht="14.25" customHeight="1">
      <c r="A97">
        <f>A96+1</f>
        <v>8</v>
      </c>
      <c r="C97" t="str">
        <v>N</v>
      </c>
    </row>
    <row r="98" ht="14.25" customHeight="1"/>
    <row r="99" ht="14.25" customHeight="1">
      <c r="A99" t="str">
        <v>D</v>
      </c>
      <c r="B99" t="str">
        <v>Schedule</v>
      </c>
    </row>
    <row r="100" ht="14.25" customHeight="1">
      <c r="A100">
        <v>1</v>
      </c>
      <c r="B100" t="str">
        <v>Meet MCN Schedule</v>
      </c>
      <c r="C100" t="str">
        <v>Y</v>
      </c>
    </row>
    <row r="101" ht="14.25" customHeight="1">
      <c r="A101">
        <f>A100+1</f>
        <v>2</v>
      </c>
      <c r="B101" t="str">
        <v>Advise of Durations</v>
      </c>
    </row>
    <row r="102" ht="14.25" customHeight="1">
      <c r="A102">
        <f>A101+1</f>
        <v>3</v>
      </c>
      <c r="B102" t="str">
        <v>Activity 1</v>
      </c>
      <c r="C102" t="str">
        <v>---&gt;</v>
      </c>
    </row>
    <row r="103" ht="14.25" customHeight="1">
      <c r="A103">
        <f>A102+1</f>
        <v>4</v>
      </c>
      <c r="B103" t="str">
        <v>Activity 2</v>
      </c>
      <c r="C103" t="str">
        <v>---&gt;</v>
      </c>
    </row>
    <row r="104" ht="14.25" customHeight="1">
      <c r="A104">
        <f>A103+1</f>
        <v>5</v>
      </c>
      <c r="B104" t="str">
        <v>Activity 3</v>
      </c>
      <c r="C104" t="str">
        <v>---&gt;</v>
      </c>
    </row>
    <row r="105" ht="14.25" customHeight="1">
      <c r="A105">
        <f>A104+1</f>
        <v>6</v>
      </c>
      <c r="B105" t="str">
        <v>Duration for Submittals and Shop Drawings</v>
      </c>
      <c r="C105" t="str">
        <v>---&gt;</v>
      </c>
    </row>
    <row r="106" ht="14.25" customHeight="1">
      <c r="A106">
        <f>A105+1</f>
        <v>7</v>
      </c>
      <c r="B106" t="str">
        <v>Advise of Lead Times:</v>
      </c>
    </row>
    <row r="107" ht="14.25" customHeight="1">
      <c r="A107">
        <f>A106+1</f>
        <v>8</v>
      </c>
      <c r="B107" t="str">
        <v>Material 1</v>
      </c>
      <c r="C107" t="str">
        <v>---&gt;</v>
      </c>
    </row>
    <row r="108" ht="14.25" customHeight="1">
      <c r="A108">
        <f>A107+1</f>
        <v>9</v>
      </c>
      <c r="B108" t="str">
        <v>Material 2</v>
      </c>
      <c r="C108" t="str">
        <v>---&gt;</v>
      </c>
    </row>
    <row r="109" ht="14.25" customHeight="1">
      <c r="A109">
        <f>A108+1</f>
        <v>10</v>
      </c>
      <c r="B109" t="str">
        <v>Material 3</v>
      </c>
      <c r="C109" t="str">
        <v>---&gt;</v>
      </c>
    </row>
    <row r="110" ht="14.25" customHeight="1"/>
    <row r="111" ht="14.25" customHeight="1"/>
    <row r="112" ht="14.25" customHeight="1">
      <c r="B112" t="str">
        <v>Allowances</v>
      </c>
    </row>
    <row r="113" ht="14.25" customHeight="1">
      <c r="A113">
        <v>1</v>
      </c>
    </row>
    <row r="114" ht="14.25" customHeight="1">
      <c r="A114">
        <f>A113+1</f>
        <v>2</v>
      </c>
    </row>
    <row r="115" ht="14.25" customHeight="1">
      <c r="A115">
        <f>A114+1</f>
        <v>3</v>
      </c>
    </row>
    <row r="116" ht="14.25" customHeight="1">
      <c r="A116">
        <f>A115+1</f>
        <v>4</v>
      </c>
    </row>
    <row r="117" ht="14.25" customHeight="1"/>
    <row r="118" ht="14.25" customHeight="1"/>
    <row r="119" ht="14.25" customHeight="1">
      <c r="B119" t="str">
        <v>Alternates</v>
      </c>
    </row>
    <row r="120" ht="14.25" customHeight="1">
      <c r="A120">
        <v>1</v>
      </c>
      <c r="C120" t="str">
        <v>#</v>
      </c>
    </row>
    <row r="121" ht="14.25" customHeight="1">
      <c r="A121">
        <f>A120+1</f>
        <v>2</v>
      </c>
      <c r="C121" t="str">
        <v>#</v>
      </c>
    </row>
    <row r="122" ht="14.25" customHeight="1">
      <c r="A122">
        <f>A121+1</f>
        <v>3</v>
      </c>
      <c r="C122" t="str">
        <v>#</v>
      </c>
    </row>
    <row r="123" ht="14.25" customHeight="1">
      <c r="A123">
        <f>A122+1</f>
        <v>4</v>
      </c>
      <c r="C123" t="str">
        <v>#</v>
      </c>
    </row>
    <row r="124" ht="14.25" customHeight="1">
      <c r="C124" t="str">
        <v>#</v>
      </c>
    </row>
    <row r="125" ht="14.25" customHeight="1">
      <c r="B125" t="str">
        <v>Unit Prices</v>
      </c>
    </row>
    <row r="126" ht="14.25" customHeight="1">
      <c r="A126">
        <v>1</v>
      </c>
      <c r="C126" t="str">
        <v>#</v>
      </c>
    </row>
    <row r="127" ht="14.25" customHeight="1">
      <c r="A127">
        <f>A126+1</f>
        <v>2</v>
      </c>
      <c r="C127" t="str">
        <v>#</v>
      </c>
    </row>
    <row r="128" ht="14.25" customHeight="1">
      <c r="A128">
        <f>A127+1</f>
        <v>3</v>
      </c>
      <c r="C128" t="str">
        <v>#</v>
      </c>
    </row>
    <row r="129" ht="14.25" customHeight="1">
      <c r="A129">
        <f>A128+1</f>
        <v>4</v>
      </c>
      <c r="C129" t="str">
        <v>#</v>
      </c>
    </row>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6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10 - TOILET PARTITIONS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SUM(I20:I84,I13:I18)</f>
        <v>0</v>
      </c>
      <c r="K7" t="str">
        <v>Adjustments:</v>
      </c>
      <c r="L7" s="4">
        <f>SUM(L13:L18,L20:L84)</f>
        <v>0</v>
      </c>
      <c r="N7" t="str">
        <v>Adjustments:</v>
      </c>
      <c r="O7" s="4">
        <f>SUM(O13:O18,O20:O84)</f>
        <v>0</v>
      </c>
      <c r="Q7" t="str">
        <v>Adjustments:</v>
      </c>
      <c r="R7" s="4">
        <f>SUM(R13:R18,R20:R84)</f>
        <v>0</v>
      </c>
      <c r="T7" t="str">
        <v>Adjustments:</v>
      </c>
      <c r="U7" s="4">
        <f>SUM(U13:U18,U20:U84)</f>
        <v>0</v>
      </c>
      <c r="W7" t="str">
        <v>Adjustments:</v>
      </c>
      <c r="X7" s="4">
        <f>SUM(X13:X18,X20:X84)</f>
        <v>0</v>
      </c>
      <c r="Z7" t="str">
        <v>Adjustments:</v>
      </c>
      <c r="AA7" s="4">
        <f>SUM(AA13:AA18,AA20:AA84)</f>
        <v>0</v>
      </c>
      <c r="AC7" t="str">
        <v>Adjustments:</v>
      </c>
      <c r="AD7" s="4">
        <f>SUM(AD13:AD18,AD20:AD84)</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Toilet Partitions</v>
      </c>
      <c r="C43" t="str">
        <v>Y</v>
      </c>
      <c r="I43" s="8">
        <f>H43*F43</f>
        <v>0</v>
      </c>
    </row>
    <row r="44" ht="14.25" customHeight="1">
      <c r="A44">
        <v>3</v>
      </c>
      <c r="B44" t="str">
        <v>Furnish and Install all [ceiling/floor]-mounted, [steel/stainless steel/phenolic] toilet partitions and wall-mounted urinal screens</v>
      </c>
      <c r="C44" t="str">
        <v>Y</v>
      </c>
      <c r="I44" s="8">
        <f>H44*F44</f>
        <v>0</v>
      </c>
    </row>
    <row r="45" ht="14.25" customHeight="1">
      <c r="A45">
        <v>4</v>
      </c>
      <c r="B45" t="str">
        <v>***List specific locations***</v>
      </c>
      <c r="C45" t="str">
        <v>Y</v>
      </c>
      <c r="I45" s="8">
        <f>H45*F45</f>
        <v>0</v>
      </c>
    </row>
    <row r="46" ht="14.25" customHeight="1">
      <c r="A46">
        <v>5</v>
      </c>
      <c r="B46" t="str">
        <v>Include all brackets, fittings, trim pieces, door hardware, coat hooks, mounting hardware, fasteners, etc</v>
      </c>
      <c r="C46" t="str">
        <v>Y</v>
      </c>
      <c r="I46" s="8">
        <f>H46*F46</f>
        <v>0</v>
      </c>
    </row>
    <row r="47" ht="14.25" customHeight="1">
      <c r="A47">
        <v>6</v>
      </c>
      <c r="B47" t="str">
        <v>Color and finish as specified</v>
      </c>
      <c r="C47" t="str">
        <v>Y</v>
      </c>
      <c r="I47" s="8">
        <f>H47*F47</f>
        <v>0</v>
      </c>
    </row>
    <row r="48" ht="14.25" customHeight="1">
      <c r="A48">
        <v>7</v>
      </c>
      <c r="B48" t="str">
        <v>Perform necessary adjustments</v>
      </c>
      <c r="C48" t="str">
        <v>Y</v>
      </c>
      <c r="I48" s="8">
        <f>H48*F48</f>
        <v>0</v>
      </c>
    </row>
    <row r="49" ht="14.25" customHeight="1">
      <c r="A49">
        <v>8</v>
      </c>
      <c r="C49" t="str">
        <v>Y</v>
      </c>
      <c r="I49" s="8">
        <f>H49*F49</f>
        <v>0</v>
      </c>
    </row>
    <row r="50" ht="14.25" customHeight="1">
      <c r="A50">
        <v>9</v>
      </c>
      <c r="B50" t="str">
        <v>STANDARD / GENERAL SCOPE</v>
      </c>
      <c r="C50" t="str">
        <v>Y</v>
      </c>
      <c r="I50" s="8">
        <f>H50*F50</f>
        <v>0</v>
      </c>
    </row>
    <row r="51" ht="14.25" customHeight="1">
      <c r="A51">
        <v>10</v>
      </c>
      <c r="B51" t="str">
        <v>Include all mat'l, labor, tools, equipment, hoisting, supervision, etc for your work</v>
      </c>
      <c r="C51" t="str">
        <v>Y</v>
      </c>
      <c r="I51" s="8">
        <f>H51*F51</f>
        <v>0</v>
      </c>
    </row>
    <row r="52" ht="14.25" customHeight="1">
      <c r="A52">
        <v>11</v>
      </c>
      <c r="B52" t="str">
        <v>Assume free use of GC's material hoist</v>
      </c>
      <c r="C52" t="str">
        <v>Y</v>
      </c>
      <c r="I52" s="8">
        <f>H52*F52</f>
        <v>0</v>
      </c>
    </row>
    <row r="53" ht="14.25" customHeight="1">
      <c r="A53">
        <v>12</v>
      </c>
      <c r="B53" t="str">
        <v>Clean up to MCN dumpster</v>
      </c>
      <c r="C53" t="str">
        <v>Y</v>
      </c>
      <c r="I53" s="8">
        <f>H53*F53</f>
        <v>0</v>
      </c>
    </row>
    <row r="54" ht="14.25" customHeight="1">
      <c r="A54">
        <v>13</v>
      </c>
      <c r="B54" t="str">
        <v>Shop dwgs, samples, product data, etc</v>
      </c>
      <c r="C54" t="str">
        <v>Y</v>
      </c>
      <c r="I54" s="8">
        <f>H54*F54</f>
        <v>0</v>
      </c>
    </row>
    <row r="55" ht="14.25" customHeight="1">
      <c r="I55" s="8">
        <f>H55*F55</f>
        <v>0</v>
      </c>
    </row>
    <row r="56" ht="14.25" customHeight="1">
      <c r="A56" t="str">
        <v>C</v>
      </c>
      <c r="B56" t="str">
        <v>Exclusions</v>
      </c>
    </row>
    <row r="57" ht="14.25" customHeight="1">
      <c r="A57">
        <v>1</v>
      </c>
      <c r="B57" t="str">
        <v>Overhead support bracing and/or structure</v>
      </c>
      <c r="C57" t="str">
        <v>N</v>
      </c>
      <c r="D57" t="str">
        <v>by misc metals</v>
      </c>
    </row>
    <row r="58" ht="14.25" customHeight="1">
      <c r="A58">
        <f>A57+1</f>
        <v>2</v>
      </c>
      <c r="C58" t="str">
        <v>N</v>
      </c>
    </row>
    <row r="59" ht="14.25" customHeight="1">
      <c r="A59">
        <f>A58+1</f>
        <v>3</v>
      </c>
      <c r="C59" t="str">
        <v>N</v>
      </c>
    </row>
    <row r="60" ht="14.25" customHeight="1">
      <c r="A60">
        <f>A59+1</f>
        <v>4</v>
      </c>
      <c r="C60" t="str">
        <v>N</v>
      </c>
    </row>
    <row r="61" ht="14.25" customHeight="1">
      <c r="A61">
        <f>A60+1</f>
        <v>5</v>
      </c>
      <c r="C61" t="str">
        <v>N</v>
      </c>
    </row>
    <row r="62" ht="14.25" customHeight="1">
      <c r="A62">
        <f>A61+1</f>
        <v>6</v>
      </c>
      <c r="C62" t="str">
        <v>N</v>
      </c>
    </row>
    <row r="63" ht="14.25" customHeight="1">
      <c r="A63">
        <f>A62+1</f>
        <v>7</v>
      </c>
      <c r="C63" t="str">
        <v>N</v>
      </c>
    </row>
    <row r="64" ht="14.25" customHeight="1">
      <c r="A64">
        <f>A63+1</f>
        <v>8</v>
      </c>
      <c r="C64" t="str">
        <v>N</v>
      </c>
    </row>
    <row r="65" ht="14.25" customHeight="1"/>
    <row r="66" ht="14.25" customHeight="1">
      <c r="A66" t="str">
        <v>D</v>
      </c>
      <c r="B66" t="str">
        <v>Schedule</v>
      </c>
    </row>
    <row r="67" ht="14.25" customHeight="1">
      <c r="A67">
        <v>1</v>
      </c>
      <c r="B67" t="str">
        <v>Meet MCN Schedule</v>
      </c>
      <c r="C67" t="str">
        <v>Y</v>
      </c>
    </row>
    <row r="68" ht="14.25" customHeight="1">
      <c r="A68">
        <f>A67+1</f>
        <v>2</v>
      </c>
      <c r="B68" t="str">
        <v>Advise of Durations</v>
      </c>
    </row>
    <row r="69" ht="14.25" customHeight="1">
      <c r="A69">
        <f>A68+1</f>
        <v>3</v>
      </c>
      <c r="B69" t="str">
        <v>Activity 1</v>
      </c>
      <c r="C69" t="str">
        <v>---&gt;</v>
      </c>
    </row>
    <row r="70" ht="14.25" customHeight="1">
      <c r="A70">
        <f>A69+1</f>
        <v>4</v>
      </c>
      <c r="B70" t="str">
        <v>Activity 2</v>
      </c>
      <c r="C70" t="str">
        <v>---&gt;</v>
      </c>
    </row>
    <row r="71" ht="14.25" customHeight="1">
      <c r="A71">
        <f>A70+1</f>
        <v>5</v>
      </c>
      <c r="B71" t="str">
        <v>Activity 3</v>
      </c>
      <c r="C71" t="str">
        <v>---&gt;</v>
      </c>
    </row>
    <row r="72" ht="14.25" customHeight="1">
      <c r="A72">
        <f>A71+1</f>
        <v>6</v>
      </c>
      <c r="B72" t="str">
        <v>Duration for Submittals and Shop Drawings</v>
      </c>
      <c r="C72" t="str">
        <v>---&gt;</v>
      </c>
    </row>
    <row r="73" ht="14.25" customHeight="1">
      <c r="A73">
        <f>A72+1</f>
        <v>7</v>
      </c>
      <c r="B73" t="str">
        <v>Advise of Lead Times:</v>
      </c>
    </row>
    <row r="74" ht="14.25" customHeight="1">
      <c r="A74">
        <f>A73+1</f>
        <v>8</v>
      </c>
      <c r="B74" t="str">
        <v>Material 1</v>
      </c>
      <c r="C74" t="str">
        <v>---&gt;</v>
      </c>
    </row>
    <row r="75" ht="14.25" customHeight="1">
      <c r="A75">
        <f>A74+1</f>
        <v>9</v>
      </c>
      <c r="B75" t="str">
        <v>Material 2</v>
      </c>
      <c r="C75" t="str">
        <v>---&gt;</v>
      </c>
    </row>
    <row r="76" ht="14.25" customHeight="1">
      <c r="A76">
        <f>A75+1</f>
        <v>10</v>
      </c>
      <c r="B76" t="str">
        <v>Material 3</v>
      </c>
      <c r="C76" t="str">
        <v>---&gt;</v>
      </c>
    </row>
    <row r="77" ht="14.25" customHeight="1"/>
    <row r="78" ht="14.25" customHeight="1"/>
    <row r="79" ht="14.25" customHeight="1">
      <c r="B79" t="str">
        <v>Allowances</v>
      </c>
    </row>
    <row r="80" ht="14.25" customHeight="1">
      <c r="A80">
        <v>1</v>
      </c>
    </row>
    <row r="81" ht="14.25" customHeight="1">
      <c r="A81">
        <f>A80+1</f>
        <v>2</v>
      </c>
    </row>
    <row r="82" ht="14.25" customHeight="1">
      <c r="A82">
        <f>A81+1</f>
        <v>3</v>
      </c>
    </row>
    <row r="83" ht="14.25" customHeight="1">
      <c r="A83">
        <f>A82+1</f>
        <v>4</v>
      </c>
    </row>
    <row r="84" ht="14.25" customHeight="1"/>
    <row r="85" ht="14.25" customHeight="1"/>
    <row r="86" ht="14.25" customHeight="1">
      <c r="B86" t="str">
        <v>Alternates</v>
      </c>
    </row>
    <row r="87" ht="14.25" customHeight="1">
      <c r="A87">
        <v>1</v>
      </c>
      <c r="C87" t="str">
        <v>#</v>
      </c>
    </row>
    <row r="88" ht="14.25" customHeight="1">
      <c r="A88">
        <f>A87+1</f>
        <v>2</v>
      </c>
      <c r="C88" t="str">
        <v>#</v>
      </c>
    </row>
    <row r="89" ht="14.25" customHeight="1">
      <c r="A89">
        <f>A88+1</f>
        <v>3</v>
      </c>
      <c r="C89" t="str">
        <v>#</v>
      </c>
    </row>
    <row r="90" ht="14.25" customHeight="1">
      <c r="A90">
        <f>A89+1</f>
        <v>4</v>
      </c>
      <c r="C90" t="str">
        <v>#</v>
      </c>
    </row>
    <row r="91" ht="14.25" customHeight="1">
      <c r="C91" t="str">
        <v>#</v>
      </c>
    </row>
    <row r="92" ht="14.25" customHeight="1">
      <c r="B92" t="str">
        <v>Unit Prices</v>
      </c>
    </row>
    <row r="93" ht="14.25" customHeight="1">
      <c r="A93">
        <v>1</v>
      </c>
      <c r="C93" t="str">
        <v>#</v>
      </c>
    </row>
    <row r="94" ht="14.25" customHeight="1">
      <c r="A94">
        <f>A93+1</f>
        <v>2</v>
      </c>
      <c r="C94" t="str">
        <v>#</v>
      </c>
    </row>
    <row r="95" ht="14.25" customHeight="1">
      <c r="A95">
        <f>A94+1</f>
        <v>3</v>
      </c>
      <c r="C95" t="str">
        <v>#</v>
      </c>
    </row>
    <row r="96" ht="14.25" customHeight="1">
      <c r="A96">
        <f>A95+1</f>
        <v>4</v>
      </c>
      <c r="C96" t="str">
        <v>#</v>
      </c>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0.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10 - LOCKERS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SUM(I20:I83,I13:I18)</f>
        <v>0</v>
      </c>
      <c r="K7" t="str">
        <v>Adjustments:</v>
      </c>
      <c r="L7" s="4">
        <f>SUM(L13:L18,L20:L83)</f>
        <v>0</v>
      </c>
      <c r="N7" t="str">
        <v>Adjustments:</v>
      </c>
      <c r="O7" s="4">
        <f>SUM(O13:O18,O20:O83)</f>
        <v>0</v>
      </c>
      <c r="Q7" t="str">
        <v>Adjustments:</v>
      </c>
      <c r="R7" s="4">
        <f>SUM(R13:R18,R20:R83)</f>
        <v>0</v>
      </c>
      <c r="T7" t="str">
        <v>Adjustments:</v>
      </c>
      <c r="U7" s="4">
        <f>SUM(U13:U18,U20:U83)</f>
        <v>0</v>
      </c>
      <c r="W7" t="str">
        <v>Adjustments:</v>
      </c>
      <c r="X7" s="4">
        <f>SUM(X13:X18,X20:X83)</f>
        <v>0</v>
      </c>
      <c r="Z7" t="str">
        <v>Adjustments:</v>
      </c>
      <c r="AA7" s="4">
        <f>SUM(AA13:AA18,AA20:AA83)</f>
        <v>0</v>
      </c>
      <c r="AC7" t="str">
        <v>Adjustments:</v>
      </c>
      <c r="AD7" s="4">
        <f>SUM(AD13:AD18,AD20:AD83)</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Lockers</v>
      </c>
      <c r="C43" t="str">
        <v>Y</v>
      </c>
      <c r="I43" s="8">
        <f>H43*F43</f>
        <v>0</v>
      </c>
    </row>
    <row r="44" ht="14.25" customHeight="1">
      <c r="A44">
        <v>3</v>
      </c>
      <c r="B44" t="str">
        <v>Furnish &amp; install [qty, x-tier, size, baked enamel steel] lockers as indicated in Locker Rooms</v>
      </c>
      <c r="C44" t="str">
        <v>Y</v>
      </c>
      <c r="I44" s="8">
        <f>H44*F44</f>
        <v>0</v>
      </c>
    </row>
    <row r="45" ht="14.25" customHeight="1">
      <c r="A45">
        <v>4</v>
      </c>
      <c r="B45" t="str">
        <v>Include louvered vents, hinges, door handles/latches, ID plates, hooks, coat rods, shelves, sloping tops, trim, filler panels, anchors, fasteners and other related accessories</v>
      </c>
      <c r="C45" t="str">
        <v>Y</v>
      </c>
      <c r="I45" s="8">
        <f>H45*F45</f>
        <v>0</v>
      </c>
    </row>
    <row r="46" ht="14.25" customHeight="1">
      <c r="A46">
        <v>5</v>
      </c>
      <c r="B46" t="str">
        <v>Furnish &amp; install [laminated maple] locker benches on steel pedestals</v>
      </c>
      <c r="C46" t="str">
        <v>Y</v>
      </c>
      <c r="I46" s="8">
        <f>H46*F46</f>
        <v>0</v>
      </c>
    </row>
    <row r="47" ht="14.25" customHeight="1">
      <c r="A47">
        <v>6</v>
      </c>
      <c r="B47" t="str">
        <v>Include clear sealer finish with lacquer coat on top surface</v>
      </c>
      <c r="C47" t="str">
        <v>Y</v>
      </c>
      <c r="I47" s="8">
        <f>H47*F47</f>
        <v>0</v>
      </c>
    </row>
    <row r="48" ht="14.25" customHeight="1">
      <c r="A48">
        <v>7</v>
      </c>
      <c r="C48" t="str">
        <v>Y</v>
      </c>
      <c r="I48" s="8">
        <f>H48*F48</f>
        <v>0</v>
      </c>
    </row>
    <row r="49" ht="14.25" customHeight="1">
      <c r="A49">
        <v>8</v>
      </c>
      <c r="B49" t="str">
        <v>STANDARD / GENERAL SCOPE</v>
      </c>
      <c r="C49" t="str">
        <v>Y</v>
      </c>
      <c r="I49" s="8">
        <f>H49*F49</f>
        <v>0</v>
      </c>
    </row>
    <row r="50" ht="14.25" customHeight="1">
      <c r="A50">
        <v>9</v>
      </c>
      <c r="B50" t="str">
        <v>Include all mat'l, labor, tools, equipment, hoisting, supervision, etc for your work</v>
      </c>
      <c r="C50" t="str">
        <v>Y</v>
      </c>
      <c r="I50" s="8">
        <f>H50*F50</f>
        <v>0</v>
      </c>
    </row>
    <row r="51" ht="14.25" customHeight="1">
      <c r="A51">
        <v>10</v>
      </c>
      <c r="B51" t="str">
        <v>Assume free use of GC's material hoist</v>
      </c>
      <c r="C51" t="str">
        <v>Y</v>
      </c>
      <c r="I51" s="8">
        <f>H51*F51</f>
        <v>0</v>
      </c>
    </row>
    <row r="52" ht="14.25" customHeight="1">
      <c r="A52">
        <v>11</v>
      </c>
      <c r="B52" t="str">
        <v>Clean up to MCN dumpster</v>
      </c>
      <c r="C52" t="str">
        <v>Y</v>
      </c>
      <c r="I52" s="8">
        <f>H52*F52</f>
        <v>0</v>
      </c>
    </row>
    <row r="53" ht="14.25" customHeight="1">
      <c r="A53">
        <v>12</v>
      </c>
      <c r="B53" t="str">
        <v>Shop dwgs, samples, product data, etc</v>
      </c>
      <c r="C53" t="str">
        <v>Y</v>
      </c>
      <c r="I53" s="8">
        <f>H53*F53</f>
        <v>0</v>
      </c>
    </row>
    <row r="54" ht="14.25" customHeight="1">
      <c r="I54" s="8">
        <f>H54*F54</f>
        <v>0</v>
      </c>
    </row>
    <row r="55" ht="14.25" customHeight="1">
      <c r="A55" t="str">
        <v>C</v>
      </c>
      <c r="B55" t="str">
        <v>Exclusions</v>
      </c>
    </row>
    <row r="56" ht="14.25" customHeight="1">
      <c r="A56">
        <v>1</v>
      </c>
      <c r="C56" t="str">
        <v>N</v>
      </c>
    </row>
    <row r="57" ht="14.25" customHeight="1">
      <c r="A57">
        <f>A56+1</f>
        <v>2</v>
      </c>
      <c r="C57" t="str">
        <v>N</v>
      </c>
    </row>
    <row r="58" ht="14.25" customHeight="1">
      <c r="A58">
        <f>A57+1</f>
        <v>3</v>
      </c>
      <c r="C58" t="str">
        <v>N</v>
      </c>
    </row>
    <row r="59" ht="14.25" customHeight="1">
      <c r="A59">
        <f>A58+1</f>
        <v>4</v>
      </c>
      <c r="C59" t="str">
        <v>N</v>
      </c>
    </row>
    <row r="60" ht="14.25" customHeight="1">
      <c r="A60">
        <f>A59+1</f>
        <v>5</v>
      </c>
      <c r="C60" t="str">
        <v>N</v>
      </c>
    </row>
    <row r="61" ht="14.25" customHeight="1">
      <c r="A61">
        <f>A60+1</f>
        <v>6</v>
      </c>
      <c r="C61" t="str">
        <v>N</v>
      </c>
    </row>
    <row r="62" ht="14.25" customHeight="1">
      <c r="A62">
        <f>A61+1</f>
        <v>7</v>
      </c>
      <c r="C62" t="str">
        <v>N</v>
      </c>
    </row>
    <row r="63" ht="14.25" customHeight="1">
      <c r="A63">
        <f>A62+1</f>
        <v>8</v>
      </c>
      <c r="C63" t="str">
        <v>N</v>
      </c>
    </row>
    <row r="64" ht="14.25" customHeight="1"/>
    <row r="65" ht="14.25" customHeight="1">
      <c r="A65" t="str">
        <v>D</v>
      </c>
      <c r="B65" t="str">
        <v>Schedule</v>
      </c>
    </row>
    <row r="66" ht="14.25" customHeight="1">
      <c r="A66">
        <v>1</v>
      </c>
      <c r="B66" t="str">
        <v>Meet MCN Schedule</v>
      </c>
      <c r="C66" t="str">
        <v>Y</v>
      </c>
    </row>
    <row r="67" ht="14.25" customHeight="1">
      <c r="A67">
        <f>A66+1</f>
        <v>2</v>
      </c>
      <c r="B67" t="str">
        <v>Advise of Durations</v>
      </c>
    </row>
    <row r="68" ht="14.25" customHeight="1">
      <c r="A68">
        <f>A67+1</f>
        <v>3</v>
      </c>
      <c r="B68" t="str">
        <v>Activity 1</v>
      </c>
      <c r="C68" t="str">
        <v>---&gt;</v>
      </c>
    </row>
    <row r="69" ht="14.25" customHeight="1">
      <c r="A69">
        <f>A68+1</f>
        <v>4</v>
      </c>
      <c r="B69" t="str">
        <v>Activity 2</v>
      </c>
      <c r="C69" t="str">
        <v>---&gt;</v>
      </c>
    </row>
    <row r="70" ht="14.25" customHeight="1">
      <c r="A70">
        <f>A69+1</f>
        <v>5</v>
      </c>
      <c r="B70" t="str">
        <v>Activity 3</v>
      </c>
      <c r="C70" t="str">
        <v>---&gt;</v>
      </c>
    </row>
    <row r="71" ht="14.25" customHeight="1">
      <c r="A71">
        <f>A70+1</f>
        <v>6</v>
      </c>
      <c r="B71" t="str">
        <v>Duration for Submittals and Shop Drawings</v>
      </c>
      <c r="C71" t="str">
        <v>---&gt;</v>
      </c>
    </row>
    <row r="72" ht="14.25" customHeight="1">
      <c r="A72">
        <f>A71+1</f>
        <v>7</v>
      </c>
      <c r="B72" t="str">
        <v>Advise of Lead Times:</v>
      </c>
    </row>
    <row r="73" ht="14.25" customHeight="1">
      <c r="A73">
        <f>A72+1</f>
        <v>8</v>
      </c>
      <c r="B73" t="str">
        <v>Material 1</v>
      </c>
      <c r="C73" t="str">
        <v>---&gt;</v>
      </c>
    </row>
    <row r="74" ht="14.25" customHeight="1">
      <c r="A74">
        <f>A73+1</f>
        <v>9</v>
      </c>
      <c r="B74" t="str">
        <v>Material 2</v>
      </c>
      <c r="C74" t="str">
        <v>---&gt;</v>
      </c>
    </row>
    <row r="75" ht="14.25" customHeight="1">
      <c r="A75">
        <f>A74+1</f>
        <v>10</v>
      </c>
      <c r="B75" t="str">
        <v>Material 3</v>
      </c>
      <c r="C75" t="str">
        <v>---&gt;</v>
      </c>
    </row>
    <row r="76" ht="14.25" customHeight="1"/>
    <row r="77" ht="14.25" customHeight="1"/>
    <row r="78" ht="14.25" customHeight="1">
      <c r="B78" t="str">
        <v>Allowances</v>
      </c>
    </row>
    <row r="79" ht="14.25" customHeight="1">
      <c r="A79">
        <v>1</v>
      </c>
    </row>
    <row r="80" ht="14.25" customHeight="1">
      <c r="A80">
        <f>A79+1</f>
        <v>2</v>
      </c>
    </row>
    <row r="81" ht="14.25" customHeight="1">
      <c r="A81">
        <f>A80+1</f>
        <v>3</v>
      </c>
    </row>
    <row r="82" ht="14.25" customHeight="1">
      <c r="A82">
        <f>A81+1</f>
        <v>4</v>
      </c>
    </row>
    <row r="83" ht="14.25" customHeight="1"/>
    <row r="84" ht="14.25" customHeight="1"/>
    <row r="85" ht="14.25" customHeight="1">
      <c r="B85" t="str">
        <v>Alternates</v>
      </c>
    </row>
    <row r="86" ht="14.25" customHeight="1">
      <c r="A86">
        <v>1</v>
      </c>
      <c r="C86" t="str">
        <v>#</v>
      </c>
    </row>
    <row r="87" ht="14.25" customHeight="1">
      <c r="A87">
        <f>A86+1</f>
        <v>2</v>
      </c>
      <c r="C87" t="str">
        <v>#</v>
      </c>
    </row>
    <row r="88" ht="14.25" customHeight="1">
      <c r="A88">
        <f>A87+1</f>
        <v>3</v>
      </c>
      <c r="C88" t="str">
        <v>#</v>
      </c>
    </row>
    <row r="89" ht="14.25" customHeight="1">
      <c r="A89">
        <f>A88+1</f>
        <v>4</v>
      </c>
      <c r="C89" t="str">
        <v>#</v>
      </c>
    </row>
    <row r="90" ht="14.25" customHeight="1">
      <c r="C90" t="str">
        <v>#</v>
      </c>
    </row>
    <row r="91" ht="14.25" customHeight="1">
      <c r="B91" t="str">
        <v>Unit Prices</v>
      </c>
    </row>
    <row r="92" ht="14.25" customHeight="1">
      <c r="A92">
        <v>1</v>
      </c>
      <c r="C92" t="str">
        <v>#</v>
      </c>
    </row>
    <row r="93" ht="14.25" customHeight="1">
      <c r="A93">
        <f>A92+1</f>
        <v>2</v>
      </c>
      <c r="C93" t="str">
        <v>#</v>
      </c>
    </row>
    <row r="94" ht="14.25" customHeight="1">
      <c r="A94">
        <f>A93+1</f>
        <v>3</v>
      </c>
      <c r="C94" t="str">
        <v>#</v>
      </c>
    </row>
    <row r="95" ht="14.25" customHeight="1">
      <c r="A95">
        <f>A94+1</f>
        <v>4</v>
      </c>
      <c r="C95" t="str">
        <v>#</v>
      </c>
    </row>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1.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06 - WOOD FRAMING</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SUM(I20:I127,I13:I18)</f>
        <v>0</v>
      </c>
      <c r="K7" t="str">
        <v>Adjustments:</v>
      </c>
      <c r="L7" s="4">
        <f>SUM(L13:L18,L20:L127)</f>
        <v>0</v>
      </c>
      <c r="N7" t="str">
        <v>Adjustments:</v>
      </c>
      <c r="O7" s="4">
        <f>SUM(O13:O18,O20:O127)</f>
        <v>0</v>
      </c>
      <c r="Q7" t="str">
        <v>Adjustments:</v>
      </c>
      <c r="R7" s="4">
        <f>SUM(R13:R18,R20:R127)</f>
        <v>0</v>
      </c>
      <c r="T7" t="str">
        <v>Adjustments:</v>
      </c>
      <c r="U7" s="4">
        <f>SUM(U13:U18,U20:U127)</f>
        <v>0</v>
      </c>
      <c r="W7" t="str">
        <v>Adjustments:</v>
      </c>
      <c r="X7" s="4">
        <f>SUM(X13:X18,X20:X127)</f>
        <v>0</v>
      </c>
      <c r="Z7" t="str">
        <v>Adjustments:</v>
      </c>
      <c r="AA7" s="4">
        <f>SUM(AA13:AA18,AA20:AA127)</f>
        <v>0</v>
      </c>
      <c r="AC7" t="str">
        <v>Adjustments:</v>
      </c>
      <c r="AD7" s="4">
        <f>SUM(AD13:AD18,AD20:AD127)</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All items are Furnished and Installed Unless Noted Otherwise</v>
      </c>
      <c r="C43" t="str">
        <v>Y</v>
      </c>
      <c r="I43" s="8">
        <f>H43*F43</f>
        <v>0</v>
      </c>
    </row>
    <row r="44" ht="14.25" customHeight="1">
      <c r="A44">
        <v>3</v>
      </c>
      <c r="B44" t="str">
        <v>Wood framing as required for a complete and structurally sound building (including roof, exterior wall, and floor sheathing)</v>
      </c>
      <c r="C44" t="str">
        <v>Y</v>
      </c>
      <c r="I44" s="8">
        <f>H44*F44</f>
        <v>0</v>
      </c>
    </row>
    <row r="45" ht="14.25" customHeight="1">
      <c r="A45">
        <v>4</v>
      </c>
      <c r="B45" t="str">
        <v>PROVIDE BREAKOUT PRICING TO FURNISH ALL LOOSE LUMBER MATERIAL ONLY</v>
      </c>
      <c r="C45" t="str">
        <v>Y</v>
      </c>
      <c r="I45" s="8">
        <f>H45*F45</f>
        <v>0</v>
      </c>
    </row>
    <row r="46" ht="14.25" customHeight="1">
      <c r="A46">
        <v>5</v>
      </c>
      <c r="B46" t="str">
        <v xml:space="preserve">Floor, corridor and roof trusses </v>
      </c>
      <c r="C46" t="str">
        <v>Y</v>
      </c>
      <c r="I46" s="8">
        <f>H46*F46</f>
        <v>0</v>
      </c>
    </row>
    <row r="47" ht="14.25" customHeight="1">
      <c r="A47">
        <v>6</v>
      </c>
      <c r="B47" t="str">
        <v>Shear panels, shear blocking, and shear trusses as indicated</v>
      </c>
      <c r="C47" t="str">
        <v>Y</v>
      </c>
      <c r="I47" s="8">
        <f>H47*F47</f>
        <v>0</v>
      </c>
    </row>
    <row r="48" ht="14.25" customHeight="1">
      <c r="A48">
        <v>7</v>
      </c>
      <c r="B48" t="str">
        <v>Draftstopping - [detail material and where to provide]</v>
      </c>
      <c r="C48" t="str">
        <v>Y</v>
      </c>
      <c r="I48" s="8">
        <f>H48*F48</f>
        <v>0</v>
      </c>
    </row>
    <row r="49" ht="14.25" customHeight="1">
      <c r="A49">
        <v>8</v>
      </c>
      <c r="B49" t="str">
        <v>Install all access doors in draftstopping (Furnished by others)</v>
      </c>
      <c r="C49" t="str">
        <v>Y</v>
      </c>
      <c r="I49" s="8">
        <f>H49*F49</f>
        <v>0</v>
      </c>
    </row>
    <row r="50" ht="14.25" customHeight="1">
      <c r="A50">
        <v>9</v>
      </c>
      <c r="B50" t="str">
        <v>Fasteners &amp; hardware (except hardware cast in concrete)</v>
      </c>
      <c r="C50" t="str">
        <v>Y</v>
      </c>
      <c r="I50" s="8">
        <f>H50*F50</f>
        <v>0</v>
      </c>
    </row>
    <row r="51" ht="14.25" customHeight="1">
      <c r="A51">
        <v>10</v>
      </c>
      <c r="B51" t="str">
        <v>All metal connectors &amp; fasteners in contact with pressure treated wood shall be hot-dipped galvanized</v>
      </c>
      <c r="C51" t="str">
        <v>Y</v>
      </c>
      <c r="I51" s="8">
        <f>H51*F51</f>
        <v>0</v>
      </c>
    </row>
    <row r="52" ht="14.25" customHeight="1">
      <c r="A52">
        <v>11</v>
      </c>
      <c r="B52" t="str">
        <v>Furnish and install all flashings and sill pans intetgral with framing  [provide detail reference or description of location]</v>
      </c>
      <c r="C52" t="str">
        <v>Y</v>
      </c>
      <c r="I52" s="8">
        <f>H52*F52</f>
        <v>0</v>
      </c>
    </row>
    <row r="53" ht="14.25" customHeight="1">
      <c r="A53">
        <v>12</v>
      </c>
      <c r="B53" t="str">
        <v>Furnish and install sill sealer beneath the bottom plate on all perimeter walls</v>
      </c>
      <c r="C53" t="str">
        <v>Y</v>
      </c>
      <c r="I53" s="8">
        <f>H53*F53</f>
        <v>0</v>
      </c>
    </row>
    <row r="54" ht="14.25" customHeight="1">
      <c r="A54">
        <v>13</v>
      </c>
      <c r="B54" t="str">
        <v>Install all steel beams, steel columns, and microlam beams</v>
      </c>
      <c r="C54" t="str">
        <v>Y</v>
      </c>
      <c r="I54" s="8">
        <f>H54*F54</f>
        <v>0</v>
      </c>
    </row>
    <row r="55" ht="14.25" customHeight="1">
      <c r="A55">
        <v>14</v>
      </c>
      <c r="B55" t="str">
        <v>Housewrap (Tyvek) on exterior walls to be installed per manufacturer’s instructions. If wind pulls wrap off, the framer is to re-install at his expense for both labor and materials to wrap windows per manufacturer and field manager’s instructions as to be water tight. No wood shall be exposed</v>
      </c>
      <c r="C55" t="str">
        <v>Y</v>
      </c>
      <c r="I55" s="8">
        <f>H55*F55</f>
        <v>0</v>
      </c>
    </row>
    <row r="56" ht="14.25" customHeight="1">
      <c r="A56">
        <v>15</v>
      </c>
      <c r="B56" t="str">
        <v>Furnish and install self-adhered membrane flashing at window &amp; door perimeters</v>
      </c>
      <c r="C56" t="str">
        <v>Y</v>
      </c>
      <c r="I56" s="8">
        <f>H56*F56</f>
        <v>0</v>
      </c>
    </row>
    <row r="57" ht="14.25" customHeight="1">
      <c r="A57">
        <v>16</v>
      </c>
      <c r="B57" t="str">
        <v xml:space="preserve">Install all windows (Furnished by others) </v>
      </c>
      <c r="C57" t="str">
        <v>Y</v>
      </c>
      <c r="I57" s="8">
        <f>H57*F57</f>
        <v>0</v>
      </c>
    </row>
    <row r="58" ht="14.25" customHeight="1">
      <c r="A58">
        <v>17</v>
      </c>
      <c r="B58" t="str">
        <v xml:space="preserve">  - Furnish and install sill flashing for windows</v>
      </c>
      <c r="C58" t="str">
        <v>Y</v>
      </c>
      <c r="I58" s="8">
        <f>H58*F58</f>
        <v>0</v>
      </c>
    </row>
    <row r="59" ht="14.25" customHeight="1">
      <c r="A59">
        <v>18</v>
      </c>
      <c r="B59" t="str">
        <v>Install all exterior doors/frames including sliders (Furnished by others)</v>
      </c>
      <c r="C59" t="str">
        <v>Y</v>
      </c>
      <c r="I59" s="8">
        <f>H59*F59</f>
        <v>0</v>
      </c>
    </row>
    <row r="60" ht="14.25" customHeight="1">
      <c r="A60">
        <v>19</v>
      </c>
      <c r="B60" t="str">
        <v>Install brick ties (furnished by others)(Screws provided by the carpenter)</v>
      </c>
      <c r="C60" t="str">
        <v>Y</v>
      </c>
      <c r="I60" s="8">
        <f>H60*F60</f>
        <v>0</v>
      </c>
    </row>
    <row r="61" ht="14.25" customHeight="1">
      <c r="A61">
        <v>20</v>
      </c>
      <c r="B61" t="str">
        <v>Furnish and install all caulking for your installations</v>
      </c>
      <c r="C61" t="str">
        <v>Y</v>
      </c>
      <c r="I61" s="8">
        <f>H61*F61</f>
        <v>0</v>
      </c>
    </row>
    <row r="62" ht="14.25" customHeight="1">
      <c r="A62">
        <v>21</v>
      </c>
      <c r="B62" t="str">
        <v>All blocking, bracing, and bridging at roof offsets and for nailing siding and step flashing</v>
      </c>
      <c r="C62" t="str">
        <v>Y</v>
      </c>
      <c r="I62" s="8">
        <f>H62*F62</f>
        <v>0</v>
      </c>
    </row>
    <row r="63" ht="14.25" customHeight="1">
      <c r="A63">
        <v>22</v>
      </c>
      <c r="B63" t="str">
        <v>All blocking / framing for all trey ceilings, vaulted ceilings, and cathedral ceilings</v>
      </c>
      <c r="C63" t="str">
        <v>Y</v>
      </c>
      <c r="I63" s="8">
        <f>H63*F63</f>
        <v>0</v>
      </c>
    </row>
    <row r="64" ht="14.25" customHeight="1">
      <c r="A64">
        <v>23</v>
      </c>
      <c r="B64" t="str">
        <v>All in-wall blocking for stair rails, wall mounted cabinets / millwork and toilet accessories</v>
      </c>
      <c r="C64" t="str">
        <v>Y</v>
      </c>
      <c r="I64" s="8">
        <f>H64*F64</f>
        <v>0</v>
      </c>
    </row>
    <row r="65" ht="14.25" customHeight="1">
      <c r="A65">
        <v>24</v>
      </c>
      <c r="B65" t="str">
        <v>All blocking / framing for medicine cabinets, attic fans, attic access, attic stairs, and skylights where necessary</v>
      </c>
      <c r="C65" t="str">
        <v>Y</v>
      </c>
      <c r="I65" s="8">
        <f>H65*F65</f>
        <v>0</v>
      </c>
    </row>
    <row r="66" ht="14.25" customHeight="1">
      <c r="A66">
        <v>25</v>
      </c>
      <c r="B66" t="str">
        <v>All blocking / framing necessary for the proper installation and functioning of the plumbing, electrical, and HVAC systems and fixtures</v>
      </c>
      <c r="C66" t="str">
        <v>Y</v>
      </c>
      <c r="I66" s="8">
        <f>H66*F66</f>
        <v>0</v>
      </c>
    </row>
    <row r="67" ht="14.25" customHeight="1">
      <c r="A67">
        <v>26</v>
      </c>
      <c r="B67" t="str">
        <v>Install all wood framed stair components</v>
      </c>
      <c r="C67" t="str">
        <v>Y</v>
      </c>
      <c r="I67" s="8">
        <f>H67*F67</f>
        <v>0</v>
      </c>
    </row>
    <row r="68" ht="14.25" customHeight="1">
      <c r="A68">
        <v>27</v>
      </c>
      <c r="B68" t="str">
        <v>Perimeter safety handrails</v>
      </c>
      <c r="C68" t="str">
        <v>Y</v>
      </c>
      <c r="I68" s="8">
        <f>H68*F68</f>
        <v>0</v>
      </c>
    </row>
    <row r="69" ht="14.25" customHeight="1">
      <c r="A69">
        <v>28</v>
      </c>
      <c r="C69" t="str">
        <v>Y</v>
      </c>
      <c r="I69" s="8">
        <f>H69*F69</f>
        <v>0</v>
      </c>
    </row>
    <row r="70" ht="14.25" customHeight="1">
      <c r="A70">
        <v>29</v>
      </c>
      <c r="B70" t="str">
        <v>Site:  [if applicable, provide descriptions and detail references]</v>
      </c>
      <c r="C70" t="str">
        <v>Y</v>
      </c>
      <c r="I70" s="8">
        <f>H70*F70</f>
        <v>0</v>
      </c>
    </row>
    <row r="71" ht="14.25" customHeight="1">
      <c r="A71">
        <v>30</v>
      </c>
      <c r="C71" t="str">
        <v>Y</v>
      </c>
      <c r="I71" s="8">
        <f>H71*F71</f>
        <v>0</v>
      </c>
    </row>
    <row r="72" ht="14.25" customHeight="1">
      <c r="A72">
        <v>31</v>
      </c>
      <c r="B72" t="str">
        <v>Cranes &amp; hoisting for the work above  [PROVIDE BREAKOUT PRICING]</v>
      </c>
      <c r="C72" t="str">
        <v>Y</v>
      </c>
      <c r="I72" s="8">
        <f>H72*F72</f>
        <v>0</v>
      </c>
    </row>
    <row r="73" ht="14.25" customHeight="1">
      <c r="A73">
        <v>32</v>
      </c>
      <c r="C73" t="str">
        <v>Y</v>
      </c>
      <c r="I73" s="8">
        <f>H73*F73</f>
        <v>0</v>
      </c>
    </row>
    <row r="74" ht="14.25" customHeight="1">
      <c r="A74">
        <v>33</v>
      </c>
      <c r="B74" t="str">
        <v>Additional Items:</v>
      </c>
      <c r="C74" t="str">
        <v>Y</v>
      </c>
      <c r="I74" s="8">
        <f>H74*F74</f>
        <v>0</v>
      </c>
    </row>
    <row r="75" ht="14.25" customHeight="1">
      <c r="A75">
        <v>34</v>
      </c>
      <c r="B75" t="str">
        <v>Installation of HM doors, frames and hardware within and leading to Ameninty / Common areas</v>
      </c>
      <c r="C75" t="str">
        <v>Y</v>
      </c>
      <c r="I75" s="8">
        <f>H75*F75</f>
        <v>0</v>
      </c>
    </row>
    <row r="76" ht="14.25" customHeight="1">
      <c r="A76">
        <v>35</v>
      </c>
      <c r="B76" t="str">
        <v>Installation of wood doors and hardware within and leading to Amenity / Common areas</v>
      </c>
      <c r="C76" t="str">
        <v>Y</v>
      </c>
      <c r="I76" s="8">
        <f>H76*F76</f>
        <v>0</v>
      </c>
    </row>
    <row r="77" ht="14.25" customHeight="1">
      <c r="A77">
        <v>36</v>
      </c>
      <c r="B77" t="str">
        <v>Install elevator cab protection  [PROVIDE BREAKOUT PRICING]</v>
      </c>
      <c r="C77" t="str">
        <v>Y</v>
      </c>
      <c r="I77" s="8">
        <f>H77*F77</f>
        <v>0</v>
      </c>
    </row>
    <row r="78" ht="14.25" customHeight="1">
      <c r="A78">
        <v>37</v>
      </c>
      <c r="B78" t="str">
        <v>Install one (1) added layer of sheathing beneath all kitchen base cabinets  [PROVIDE BREAKOUT PRICING]</v>
      </c>
      <c r="C78" t="str">
        <v>Y</v>
      </c>
      <c r="I78" s="8">
        <f>H78*F78</f>
        <v>0</v>
      </c>
    </row>
    <row r="79" ht="14.25" customHeight="1">
      <c r="A79">
        <v>38</v>
      </c>
      <c r="B79" t="str">
        <v>Furnish and install all hardie siding and trim  [PROVIDE BREAKOUT PRICING)</v>
      </c>
      <c r="C79" t="str">
        <v>Y</v>
      </c>
      <c r="I79" s="8">
        <f>H79*F79</f>
        <v>0</v>
      </c>
    </row>
    <row r="80" ht="14.25" customHeight="1">
      <c r="A80">
        <v>39</v>
      </c>
      <c r="B80" t="str">
        <v>Furnish and install Brick mold at exterior doors in brick</v>
      </c>
      <c r="C80" t="str">
        <v>Y</v>
      </c>
      <c r="I80" s="8">
        <f>H80*F80</f>
        <v>0</v>
      </c>
    </row>
    <row r="81" ht="14.25" customHeight="1">
      <c r="A81">
        <v>40</v>
      </c>
      <c r="B81" t="str">
        <v>Vinyl soffits</v>
      </c>
      <c r="C81" t="str">
        <v>Y</v>
      </c>
      <c r="I81" s="8">
        <f>H81*F81</f>
        <v>0</v>
      </c>
    </row>
    <row r="82" ht="14.25" customHeight="1">
      <c r="A82">
        <v>41</v>
      </c>
      <c r="C82" t="str">
        <v>Y</v>
      </c>
      <c r="I82" s="8">
        <f>H82*F82</f>
        <v>0</v>
      </c>
    </row>
    <row r="83" ht="14.25" customHeight="1">
      <c r="A83">
        <v>42</v>
      </c>
      <c r="B83" t="str">
        <v>STANDARD / GENERAL SCOPE</v>
      </c>
      <c r="C83" t="str">
        <v>Y</v>
      </c>
      <c r="I83" s="8">
        <f>H83*F83</f>
        <v>0</v>
      </c>
    </row>
    <row r="84" ht="14.25" customHeight="1">
      <c r="A84">
        <v>43</v>
      </c>
      <c r="B84" t="str">
        <v>Provide all material, tools, equipment, hoisting, supervision, etc for this work</v>
      </c>
      <c r="C84" t="str">
        <v>Y</v>
      </c>
      <c r="I84" s="8">
        <f>H84*F84</f>
        <v>0</v>
      </c>
    </row>
    <row r="85" ht="14.25" customHeight="1">
      <c r="A85">
        <v>44</v>
      </c>
      <c r="B85" t="str">
        <v>Perform all necessary field cutting of lumber/plywood</v>
      </c>
      <c r="C85" t="str">
        <v>Y</v>
      </c>
      <c r="I85" s="8">
        <f>H85*F85</f>
        <v>0</v>
      </c>
    </row>
    <row r="86" ht="14.25" customHeight="1">
      <c r="A86">
        <v>45</v>
      </c>
      <c r="B86" t="str">
        <v>Layout from GC control lines and benchmarks</v>
      </c>
      <c r="C86" t="str">
        <v>Y</v>
      </c>
      <c r="I86" s="8">
        <f>H86*F86</f>
        <v>0</v>
      </c>
    </row>
    <row r="87" ht="14.25" customHeight="1">
      <c r="A87">
        <v>46</v>
      </c>
      <c r="B87" t="str">
        <v>Clean up to MCN dumpster</v>
      </c>
      <c r="C87" t="str">
        <v>Y</v>
      </c>
      <c r="I87" s="8">
        <f>H87*F87</f>
        <v>0</v>
      </c>
    </row>
    <row r="88" ht="14.25" customHeight="1">
      <c r="A88">
        <v>47</v>
      </c>
      <c r="C88" t="str">
        <v>Y</v>
      </c>
      <c r="I88" s="8">
        <f>H88*F88</f>
        <v>0</v>
      </c>
    </row>
    <row r="89" ht="14.25" customHeight="1">
      <c r="A89">
        <v>48</v>
      </c>
      <c r="B89" t="str">
        <v>LEED Issues:</v>
      </c>
      <c r="C89" t="str">
        <v>Y</v>
      </c>
      <c r="I89" s="8">
        <f>H89*F89</f>
        <v>0</v>
      </c>
    </row>
    <row r="90" ht="14.25" customHeight="1">
      <c r="A90">
        <v>49</v>
      </c>
      <c r="B90" t="str">
        <v>FSC-certified lumber</v>
      </c>
      <c r="C90" t="str">
        <v>Y</v>
      </c>
      <c r="I90" s="8">
        <f>H90*F90</f>
        <v>0</v>
      </c>
    </row>
    <row r="91" ht="14.25" customHeight="1">
      <c r="A91">
        <v>50</v>
      </c>
      <c r="B91" t="str">
        <v>No CCA pressure treatment for lumber</v>
      </c>
      <c r="C91" t="str">
        <v>Y</v>
      </c>
      <c r="I91" s="8">
        <f>H91*F91</f>
        <v>0</v>
      </c>
    </row>
    <row r="92" ht="14.25" customHeight="1">
      <c r="A92">
        <v>51</v>
      </c>
      <c r="B92" t="str">
        <v>Plywood/substrates free of urea formaldehyde</v>
      </c>
      <c r="C92" t="str">
        <v>Y</v>
      </c>
      <c r="I92" s="8">
        <f>H92*F92</f>
        <v>0</v>
      </c>
    </row>
    <row r="93" ht="14.25" customHeight="1">
      <c r="A93">
        <v>52</v>
      </c>
      <c r="B93" t="str">
        <v>Low VOC adhesives</v>
      </c>
      <c r="C93" t="str">
        <v>Y</v>
      </c>
      <c r="I93" s="8">
        <f>H93*F93</f>
        <v>0</v>
      </c>
    </row>
    <row r="94" ht="14.25" customHeight="1">
      <c r="A94">
        <v>53</v>
      </c>
      <c r="B94" t="str">
        <v>Sorting of debris for recycling</v>
      </c>
      <c r="C94" t="str">
        <v>Y</v>
      </c>
      <c r="I94" s="8">
        <f>H94*F94</f>
        <v>0</v>
      </c>
    </row>
    <row r="95" ht="14.25" customHeight="1">
      <c r="A95">
        <v>54</v>
      </c>
      <c r="B95" t="str">
        <v>LEED documentation</v>
      </c>
      <c r="C95" t="str">
        <v>Y</v>
      </c>
      <c r="I95" s="8">
        <f>H95*F95</f>
        <v>0</v>
      </c>
    </row>
    <row r="96" ht="14.25" customHeight="1">
      <c r="I96" s="8">
        <f>H96*F96</f>
        <v>0</v>
      </c>
    </row>
    <row r="97" ht="14.25" customHeight="1">
      <c r="A97" t="str">
        <v>C</v>
      </c>
      <c r="B97" t="str">
        <v>Exclusions</v>
      </c>
    </row>
    <row r="98" ht="14.25" customHeight="1">
      <c r="A98">
        <v>1</v>
      </c>
      <c r="B98" t="str">
        <v>Dumpsters</v>
      </c>
      <c r="C98" t="str">
        <v>N</v>
      </c>
      <c r="D98" t="str">
        <v>by GC</v>
      </c>
    </row>
    <row r="99" ht="14.25" customHeight="1">
      <c r="A99">
        <f>A98+1</f>
        <v>2</v>
      </c>
      <c r="B99" t="str">
        <v>Covered walkways</v>
      </c>
      <c r="C99" t="str">
        <v>N</v>
      </c>
      <c r="D99" t="str">
        <v>by GC</v>
      </c>
    </row>
    <row r="100" ht="14.25" customHeight="1">
      <c r="A100">
        <v>2</v>
      </c>
      <c r="B100" t="str">
        <v xml:space="preserve">Temporary partitions </v>
      </c>
      <c r="C100" t="str">
        <v>N</v>
      </c>
      <c r="D100" t="str">
        <v>by GC</v>
      </c>
    </row>
    <row r="101" ht="14.25" customHeight="1">
      <c r="A101">
        <f>A100+1</f>
        <v>3</v>
      </c>
      <c r="B101" t="str">
        <v>Floor protection</v>
      </c>
      <c r="C101" t="str">
        <v>N</v>
      </c>
      <c r="D101" t="str">
        <v>by GC</v>
      </c>
    </row>
    <row r="102" ht="14.25" customHeight="1">
      <c r="A102">
        <v>3</v>
      </c>
      <c r="B102" t="str">
        <v>Running wood trim (list: wood base, shoe moulding, window sills/aprons, entry door trim, casings, crown mouldings, chair rails, etc)</v>
      </c>
      <c r="C102" t="str">
        <v>N</v>
      </c>
      <c r="D102" t="str">
        <v>by Trim</v>
      </c>
    </row>
    <row r="103" ht="14.25" customHeight="1">
      <c r="A103">
        <f>A102+1</f>
        <v>4</v>
      </c>
      <c r="B103" t="str">
        <v>Wood or wire shelving</v>
      </c>
      <c r="C103" t="str">
        <v>N</v>
      </c>
      <c r="D103" t="str">
        <v>by Trim</v>
      </c>
    </row>
    <row r="104" ht="14.25" customHeight="1">
      <c r="A104">
        <v>4</v>
      </c>
      <c r="B104" t="str">
        <v>Install pre-hung interior unit doors and hardware</v>
      </c>
      <c r="C104" t="str">
        <v>N</v>
      </c>
      <c r="D104" t="str">
        <v>by Trim</v>
      </c>
    </row>
    <row r="105" ht="14.25" customHeight="1">
      <c r="A105">
        <f>A104+1</f>
        <v>5</v>
      </c>
      <c r="B105" t="str">
        <v>Install unit entry doors, frames and hardware</v>
      </c>
      <c r="C105" t="str">
        <v>N</v>
      </c>
      <c r="D105" t="str">
        <v>by Trim</v>
      </c>
    </row>
    <row r="106" ht="14.25" customHeight="1">
      <c r="A106">
        <v>5</v>
      </c>
      <c r="B106" t="str">
        <v>Blocking occurring outside of walls for millwork items</v>
      </c>
      <c r="C106" t="str">
        <v>N</v>
      </c>
      <c r="D106" t="str">
        <v>by Millwork</v>
      </c>
    </row>
    <row r="107" ht="14.25" customHeight="1">
      <c r="A107">
        <f>A106+1</f>
        <v>6</v>
      </c>
      <c r="B107" t="str">
        <v>Installation of glazed aluminum storefront framing</v>
      </c>
      <c r="C107" t="str">
        <v>N</v>
      </c>
      <c r="D107" t="str">
        <v>by Glass</v>
      </c>
    </row>
    <row r="108" ht="14.25" customHeight="1"/>
    <row r="109" ht="14.25" customHeight="1">
      <c r="A109" t="str">
        <v>D</v>
      </c>
      <c r="B109" t="str">
        <v>Schedule</v>
      </c>
    </row>
    <row r="110" ht="14.25" customHeight="1">
      <c r="A110">
        <v>1</v>
      </c>
      <c r="B110" t="str">
        <v>Meet MCN Schedule</v>
      </c>
      <c r="C110" t="str">
        <v>Y</v>
      </c>
    </row>
    <row r="111" ht="14.25" customHeight="1">
      <c r="A111">
        <f>A110+1</f>
        <v>2</v>
      </c>
      <c r="B111" t="str">
        <v>Advise of Durations</v>
      </c>
    </row>
    <row r="112" ht="14.25" customHeight="1">
      <c r="A112">
        <f>A111+1</f>
        <v>3</v>
      </c>
      <c r="B112" t="str">
        <v>Activity 1</v>
      </c>
      <c r="C112" t="str">
        <v>---&gt;</v>
      </c>
    </row>
    <row r="113" ht="14.25" customHeight="1">
      <c r="A113">
        <f>A112+1</f>
        <v>4</v>
      </c>
      <c r="B113" t="str">
        <v>Activity 2</v>
      </c>
      <c r="C113" t="str">
        <v>---&gt;</v>
      </c>
    </row>
    <row r="114" ht="14.25" customHeight="1">
      <c r="A114">
        <f>A113+1</f>
        <v>5</v>
      </c>
      <c r="B114" t="str">
        <v>Activity 3</v>
      </c>
      <c r="C114" t="str">
        <v>---&gt;</v>
      </c>
    </row>
    <row r="115" ht="14.25" customHeight="1">
      <c r="A115">
        <f>A114+1</f>
        <v>6</v>
      </c>
      <c r="B115" t="str">
        <v>Duration for Submittals and Shop Drawings</v>
      </c>
      <c r="C115" t="str">
        <v>---&gt;</v>
      </c>
    </row>
    <row r="116" ht="14.25" customHeight="1">
      <c r="A116">
        <f>A115+1</f>
        <v>7</v>
      </c>
      <c r="B116" t="str">
        <v>Advise of Lead Times:</v>
      </c>
    </row>
    <row r="117" ht="14.25" customHeight="1">
      <c r="A117">
        <f>A116+1</f>
        <v>8</v>
      </c>
      <c r="B117" t="str">
        <v>Material 1</v>
      </c>
      <c r="C117" t="str">
        <v>---&gt;</v>
      </c>
    </row>
    <row r="118" ht="14.25" customHeight="1">
      <c r="A118">
        <f>A117+1</f>
        <v>9</v>
      </c>
      <c r="B118" t="str">
        <v>Material 2</v>
      </c>
      <c r="C118" t="str">
        <v>---&gt;</v>
      </c>
    </row>
    <row r="119" ht="14.25" customHeight="1">
      <c r="A119">
        <f>A118+1</f>
        <v>10</v>
      </c>
      <c r="B119" t="str">
        <v>Material 3</v>
      </c>
      <c r="C119" t="str">
        <v>---&gt;</v>
      </c>
    </row>
    <row r="120" ht="14.25" customHeight="1"/>
    <row r="121" ht="14.25" customHeight="1"/>
    <row r="122" ht="14.25" customHeight="1">
      <c r="B122" t="str">
        <v>Allowances</v>
      </c>
    </row>
    <row r="123" ht="14.25" customHeight="1">
      <c r="A123">
        <v>1</v>
      </c>
    </row>
    <row r="124" ht="14.25" customHeight="1">
      <c r="A124">
        <f>A123+1</f>
        <v>2</v>
      </c>
    </row>
    <row r="125" ht="14.25" customHeight="1">
      <c r="A125">
        <f>A124+1</f>
        <v>3</v>
      </c>
    </row>
    <row r="126" ht="14.25" customHeight="1">
      <c r="A126">
        <f>A125+1</f>
        <v>4</v>
      </c>
    </row>
    <row r="127" ht="14.25" customHeight="1"/>
    <row r="128" ht="14.25" customHeight="1"/>
    <row r="129" ht="14.25" customHeight="1">
      <c r="B129" t="str">
        <v>Alternates</v>
      </c>
    </row>
    <row r="130" ht="14.25" customHeight="1">
      <c r="A130">
        <v>1</v>
      </c>
      <c r="C130" t="str">
        <v>#</v>
      </c>
    </row>
    <row r="131" ht="14.25" customHeight="1">
      <c r="A131">
        <f>A130+1</f>
        <v>2</v>
      </c>
      <c r="C131" t="str">
        <v>#</v>
      </c>
    </row>
    <row r="132" ht="14.25" customHeight="1">
      <c r="A132">
        <f>A131+1</f>
        <v>3</v>
      </c>
      <c r="C132" t="str">
        <v>#</v>
      </c>
    </row>
    <row r="133" ht="14.25" customHeight="1">
      <c r="A133">
        <f>A132+1</f>
        <v>4</v>
      </c>
      <c r="C133" t="str">
        <v>#</v>
      </c>
    </row>
    <row r="134" ht="14.25" customHeight="1">
      <c r="C134" t="str">
        <v>#</v>
      </c>
    </row>
    <row r="135" ht="14.25" customHeight="1">
      <c r="B135" t="str">
        <v>Unit Prices</v>
      </c>
    </row>
    <row r="136" ht="14.25" customHeight="1">
      <c r="A136">
        <v>1</v>
      </c>
      <c r="C136" t="str">
        <v>#</v>
      </c>
    </row>
    <row r="137" ht="14.25" customHeight="1">
      <c r="A137">
        <f>A136+1</f>
        <v>2</v>
      </c>
      <c r="C137" t="str">
        <v>#</v>
      </c>
    </row>
    <row r="138" ht="14.25" customHeight="1">
      <c r="A138">
        <f>A137+1</f>
        <v>3</v>
      </c>
      <c r="C138" t="str">
        <v>#</v>
      </c>
    </row>
    <row r="139" ht="14.25" customHeight="1">
      <c r="A139">
        <f>A138+1</f>
        <v>4</v>
      </c>
      <c r="C139" t="str">
        <v>#</v>
      </c>
    </row>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2.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06 - FINISH CARPENTRY</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SUM(I20:I129,I13:I18)</f>
        <v>0</v>
      </c>
      <c r="K7" t="str">
        <v>Adjustments:</v>
      </c>
      <c r="L7" s="4">
        <f>SUM(L13:L18,L20:L129)</f>
        <v>0</v>
      </c>
      <c r="N7" t="str">
        <v>Adjustments:</v>
      </c>
      <c r="O7" s="4">
        <f>SUM(O13:O18,O20:O129)</f>
        <v>0</v>
      </c>
      <c r="Q7" t="str">
        <v>Adjustments:</v>
      </c>
      <c r="R7" s="4">
        <f>SUM(R13:R18,R20:R129)</f>
        <v>0</v>
      </c>
      <c r="T7" t="str">
        <v>Adjustments:</v>
      </c>
      <c r="U7" s="4">
        <f>SUM(U13:U18,U20:U129)</f>
        <v>0</v>
      </c>
      <c r="W7" t="str">
        <v>Adjustments:</v>
      </c>
      <c r="X7" s="4">
        <f>SUM(X13:X18,X20:X129)</f>
        <v>0</v>
      </c>
      <c r="Z7" t="str">
        <v>Adjustments:</v>
      </c>
      <c r="AA7" s="4">
        <f>SUM(AA13:AA18,AA20:AA129)</f>
        <v>0</v>
      </c>
      <c r="AC7" t="str">
        <v>Adjustments:</v>
      </c>
      <c r="AD7" s="4">
        <f>SUM(AD13:AD18,AD20:AD129)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 xml:space="preserve">[Solid Wood trim] or [Finger Jointed Pine (FJP) trim] or [MDF trim] </v>
      </c>
      <c r="C43" t="str">
        <v>Y</v>
      </c>
      <c r="I43" s="8">
        <f>H43*F43</f>
        <v>0</v>
      </c>
    </row>
    <row r="44" ht="14.25" customHeight="1">
      <c r="A44">
        <v>3</v>
      </c>
      <c r="B44" t="str">
        <v>[List profile #s if specified / scheduled]</v>
      </c>
      <c r="C44" t="str">
        <v>Y</v>
      </c>
      <c r="I44" s="8">
        <f>H44*F44</f>
        <v>0</v>
      </c>
    </row>
    <row r="45" ht="14.25" customHeight="1">
      <c r="A45">
        <v>4</v>
      </c>
      <c r="B45" t="str">
        <v>Cut to fit as required by site conditions; include mitering</v>
      </c>
      <c r="C45" t="str">
        <v>Y</v>
      </c>
      <c r="I45" s="8">
        <f>H45*F45</f>
        <v>0</v>
      </c>
    </row>
    <row r="46" ht="14.25" customHeight="1">
      <c r="A46">
        <v>5</v>
      </c>
      <c r="B46" t="str">
        <v>Common Areas / Corridors / Amenity Spaces</v>
      </c>
      <c r="C46" t="str">
        <v>Y</v>
      </c>
      <c r="I46" s="8">
        <f>H46*F46</f>
        <v>0</v>
      </c>
    </row>
    <row r="47" ht="14.25" customHeight="1">
      <c r="A47">
        <v>6</v>
      </c>
      <c r="B47" t="str">
        <v>Base</v>
      </c>
      <c r="C47" t="str">
        <v>Y</v>
      </c>
      <c r="I47" s="8">
        <f>H47*F47</f>
        <v>0</v>
      </c>
    </row>
    <row r="48" ht="14.25" customHeight="1">
      <c r="A48">
        <v>7</v>
      </c>
      <c r="B48" t="str">
        <v>Shoe molding (if no wood flooring)</v>
      </c>
      <c r="C48" t="str">
        <v>Y</v>
      </c>
      <c r="I48" s="8">
        <f>H48*F48</f>
        <v>0</v>
      </c>
    </row>
    <row r="49" ht="14.25" customHeight="1">
      <c r="A49">
        <v>8</v>
      </c>
      <c r="B49" t="str">
        <v>Interior window stools</v>
      </c>
      <c r="C49" t="str">
        <v>Y</v>
      </c>
      <c r="I49" s="8">
        <f>H49*F49</f>
        <v>0</v>
      </c>
    </row>
    <row r="50" ht="14.25" customHeight="1">
      <c r="A50">
        <v>9</v>
      </c>
      <c r="B50" t="str">
        <v>Apron at interior window stools</v>
      </c>
      <c r="C50" t="str">
        <v>Y</v>
      </c>
      <c r="I50" s="8">
        <f>H50*F50</f>
        <v>0</v>
      </c>
    </row>
    <row r="51" ht="14.25" customHeight="1">
      <c r="A51">
        <v>10</v>
      </c>
      <c r="B51" t="str">
        <v>Window casings</v>
      </c>
      <c r="C51" t="str">
        <v>Y</v>
      </c>
      <c r="I51" s="8">
        <f>H51*F51</f>
        <v>0</v>
      </c>
    </row>
    <row r="52" ht="14.25" customHeight="1">
      <c r="A52">
        <v>11</v>
      </c>
      <c r="B52" t="str">
        <v>Unit entry door trim (corridor side)</v>
      </c>
      <c r="C52" t="str">
        <v>Y</v>
      </c>
      <c r="I52" s="8">
        <f>H52*F52</f>
        <v>0</v>
      </c>
    </row>
    <row r="53" ht="14.25" customHeight="1">
      <c r="A53">
        <v>12</v>
      </c>
      <c r="B53" t="str">
        <v>Trim at cased openings</v>
      </c>
      <c r="C53" t="str">
        <v>Y</v>
      </c>
      <c r="I53" s="8">
        <f>H53*F53</f>
        <v>0</v>
      </c>
    </row>
    <row r="54" ht="14.25" customHeight="1">
      <c r="A54">
        <v>13</v>
      </c>
      <c r="B54" t="str">
        <v>Casing under counter tops</v>
      </c>
      <c r="C54" t="str">
        <v>Y</v>
      </c>
      <c r="I54" s="8">
        <f>H54*F54</f>
        <v>0</v>
      </c>
    </row>
    <row r="55" ht="14.25" customHeight="1">
      <c r="A55">
        <v>14</v>
      </c>
      <c r="B55" t="str">
        <v>Chair rail</v>
      </c>
      <c r="C55" t="str">
        <v>Y</v>
      </c>
      <c r="I55" s="8">
        <f>H55*F55</f>
        <v>0</v>
      </c>
    </row>
    <row r="56" ht="14.25" customHeight="1">
      <c r="A56">
        <v>15</v>
      </c>
      <c r="B56" t="str">
        <v>Wainscotting</v>
      </c>
      <c r="C56" t="str">
        <v>Y</v>
      </c>
      <c r="I56" s="8">
        <f>H56*F56</f>
        <v>0</v>
      </c>
    </row>
    <row r="57" ht="14.25" customHeight="1">
      <c r="A57">
        <v>16</v>
      </c>
      <c r="B57" t="str">
        <v>Crown moulding</v>
      </c>
      <c r="C57" t="str">
        <v>Y</v>
      </c>
      <c r="I57" s="8">
        <f>H57*F57</f>
        <v>0</v>
      </c>
    </row>
    <row r="58" ht="14.25" customHeight="1">
      <c r="A58">
        <v>17</v>
      </c>
      <c r="B58" t="str">
        <v>Primed wood shelving, brackets and coat rods</v>
      </c>
      <c r="C58" t="str">
        <v>Y</v>
      </c>
      <c r="I58" s="8">
        <f>H58*F58</f>
        <v>0</v>
      </c>
    </row>
    <row r="59" ht="14.25" customHeight="1">
      <c r="A59">
        <v>18</v>
      </c>
      <c r="B59" t="str">
        <v>Units</v>
      </c>
      <c r="C59" t="str">
        <v>Y</v>
      </c>
      <c r="I59" s="8">
        <f>H59*F59</f>
        <v>0</v>
      </c>
    </row>
    <row r="60" ht="14.25" customHeight="1">
      <c r="A60">
        <v>19</v>
      </c>
      <c r="B60" t="str">
        <v>Base</v>
      </c>
      <c r="C60" t="str">
        <v>Y</v>
      </c>
      <c r="I60" s="8">
        <f>H60*F60</f>
        <v>0</v>
      </c>
    </row>
    <row r="61" ht="14.25" customHeight="1">
      <c r="A61">
        <v>20</v>
      </c>
      <c r="B61" t="str">
        <v>Shoe molding (if no wood flooring)</v>
      </c>
      <c r="C61" t="str">
        <v>Y</v>
      </c>
      <c r="I61" s="8">
        <f>H61*F61</f>
        <v>0</v>
      </c>
    </row>
    <row r="62" ht="14.25" customHeight="1">
      <c r="A62">
        <v>21</v>
      </c>
      <c r="B62" t="str">
        <v>Interior window stools</v>
      </c>
      <c r="C62" t="str">
        <v>Y</v>
      </c>
      <c r="I62" s="8">
        <f>H62*F62</f>
        <v>0</v>
      </c>
    </row>
    <row r="63" ht="14.25" customHeight="1">
      <c r="A63">
        <v>22</v>
      </c>
      <c r="B63" t="str">
        <v>Apron at interior window stools</v>
      </c>
      <c r="C63" t="str">
        <v>Y</v>
      </c>
      <c r="I63" s="8">
        <f>H63*F63</f>
        <v>0</v>
      </c>
    </row>
    <row r="64" ht="14.25" customHeight="1">
      <c r="A64">
        <v>23</v>
      </c>
      <c r="B64" t="str">
        <v>Window casings</v>
      </c>
      <c r="C64" t="str">
        <v>Y</v>
      </c>
      <c r="I64" s="8">
        <f>H64*F64</f>
        <v>0</v>
      </c>
    </row>
    <row r="65" ht="14.25" customHeight="1">
      <c r="A65">
        <v>24</v>
      </c>
      <c r="B65" t="str">
        <v>Unit entry door trim (unit side)</v>
      </c>
      <c r="C65" t="str">
        <v>Y</v>
      </c>
      <c r="I65" s="8">
        <f>H65*F65</f>
        <v>0</v>
      </c>
    </row>
    <row r="66" ht="14.25" customHeight="1">
      <c r="A66">
        <v>25</v>
      </c>
      <c r="B66" t="str">
        <v>Door casing / trim at prehung interior unit doors</v>
      </c>
      <c r="C66" t="str">
        <v>Y</v>
      </c>
      <c r="I66" s="8">
        <f>H66*F66</f>
        <v>0</v>
      </c>
    </row>
    <row r="67" ht="14.25" customHeight="1">
      <c r="A67">
        <v>26</v>
      </c>
      <c r="B67" t="str">
        <v>Wood frame at cased openings</v>
      </c>
      <c r="C67" t="str">
        <v>Y</v>
      </c>
      <c r="I67" s="8">
        <f>H67*F67</f>
        <v>0</v>
      </c>
    </row>
    <row r="68" ht="14.25" customHeight="1">
      <c r="A68">
        <v>27</v>
      </c>
      <c r="B68" t="str">
        <v>Trim at cased openings</v>
      </c>
      <c r="C68" t="str">
        <v>Y</v>
      </c>
      <c r="I68" s="8">
        <f>H68*F68</f>
        <v>0</v>
      </c>
    </row>
    <row r="69" ht="14.25" customHeight="1">
      <c r="A69">
        <v>28</v>
      </c>
      <c r="B69" t="str">
        <v>Casing under counter tops</v>
      </c>
      <c r="C69" t="str">
        <v>Y</v>
      </c>
      <c r="I69" s="8">
        <f>H69*F69</f>
        <v>0</v>
      </c>
    </row>
    <row r="70" ht="14.25" customHeight="1">
      <c r="A70">
        <v>29</v>
      </c>
      <c r="B70" t="str">
        <v>Chair rail</v>
      </c>
      <c r="C70" t="str">
        <v>Y</v>
      </c>
      <c r="I70" s="8">
        <f>H70*F70</f>
        <v>0</v>
      </c>
    </row>
    <row r="71" ht="14.25" customHeight="1">
      <c r="A71">
        <v>30</v>
      </c>
      <c r="B71" t="str">
        <v>Wainscotting</v>
      </c>
      <c r="C71" t="str">
        <v>Y</v>
      </c>
      <c r="I71" s="8">
        <f>H71*F71</f>
        <v>0</v>
      </c>
    </row>
    <row r="72" ht="14.25" customHeight="1">
      <c r="A72">
        <v>31</v>
      </c>
      <c r="B72" t="str">
        <v>Crown moulding</v>
      </c>
      <c r="C72" t="str">
        <v>Y</v>
      </c>
      <c r="I72" s="8">
        <f>H72*F72</f>
        <v>0</v>
      </c>
    </row>
    <row r="73" ht="14.25" customHeight="1">
      <c r="A73">
        <v>32</v>
      </c>
      <c r="B73" t="str">
        <v>Primed wood shelving, brackets and coat rods</v>
      </c>
      <c r="C73" t="str">
        <v>Y</v>
      </c>
      <c r="I73" s="8">
        <f>H73*F73</f>
        <v>0</v>
      </c>
    </row>
    <row r="74" ht="14.25" customHeight="1">
      <c r="A74">
        <v>33</v>
      </c>
      <c r="C74" t="str">
        <v>Y</v>
      </c>
      <c r="I74" s="8">
        <f>H74*F74</f>
        <v>0</v>
      </c>
    </row>
    <row r="75" ht="14.25" customHeight="1">
      <c r="A75">
        <v>34</v>
      </c>
      <c r="B75" t="str">
        <v>Additional Items:  [PROVIDE BREAKOUT PRICING FOR EACH  ITEM BELOW]</v>
      </c>
      <c r="C75" t="str">
        <v>Y</v>
      </c>
      <c r="I75" s="8">
        <f>H75*F75</f>
        <v>0</v>
      </c>
    </row>
    <row r="76" ht="14.25" customHeight="1">
      <c r="A76">
        <v>35</v>
      </c>
      <c r="B76" t="str">
        <v>FURNISH ONLY Unit interior pre-hung doors</v>
      </c>
      <c r="C76" t="str">
        <v>Y</v>
      </c>
      <c r="I76" s="8">
        <f>H76*F76</f>
        <v>0</v>
      </c>
    </row>
    <row r="77" ht="14.25" customHeight="1">
      <c r="A77">
        <v>36</v>
      </c>
      <c r="B77" t="str">
        <v>Receive, stock, distribute, install - Common Area / Amenity interior wood doors &amp; hardware as well as interior HM doors, frames &amp; hardware</v>
      </c>
      <c r="C77" t="str">
        <v>Y</v>
      </c>
      <c r="I77" s="8">
        <f>H77*F77</f>
        <v>0</v>
      </c>
    </row>
    <row r="78" ht="14.25" customHeight="1">
      <c r="A78">
        <v>37</v>
      </c>
      <c r="B78" t="str">
        <v>Receive, stock, distribute, install  - Unit entry doors, frames &amp; hardware</v>
      </c>
      <c r="C78" t="str">
        <v>Y</v>
      </c>
      <c r="I78" s="8">
        <f>H78*F78</f>
        <v>0</v>
      </c>
    </row>
    <row r="79" ht="14.25" customHeight="1">
      <c r="A79">
        <v>38</v>
      </c>
      <c r="B79" t="str">
        <v>Receive, stock, distribute, install - Unit interior pre-hung doors &amp; hardware</v>
      </c>
      <c r="C79" t="str">
        <v>Y</v>
      </c>
      <c r="I79" s="8">
        <f>H79*F79</f>
        <v>0</v>
      </c>
    </row>
    <row r="80" ht="14.25" customHeight="1">
      <c r="A80">
        <v>39</v>
      </c>
      <c r="B80" t="str">
        <v>Receive, stock, distribute, install   -  Unit bathroom toilet accessories</v>
      </c>
      <c r="C80" t="str">
        <v>Y</v>
      </c>
      <c r="I80" s="8">
        <f>H80*F80</f>
        <v>0</v>
      </c>
    </row>
    <row r="81" ht="14.25" customHeight="1">
      <c r="A81">
        <v>40</v>
      </c>
      <c r="B81" t="str">
        <v>Receive, stock, distribute, install   -  Common Area toilet accessories</v>
      </c>
      <c r="C81" t="str">
        <v>Y</v>
      </c>
      <c r="I81" s="8">
        <f>H81*F81</f>
        <v>0</v>
      </c>
    </row>
    <row r="82" ht="14.25" customHeight="1">
      <c r="A82">
        <v>41</v>
      </c>
      <c r="B82" t="str">
        <v>Receive, stock, distribute, install  - Common Area fire extinguishers and cabinets</v>
      </c>
      <c r="C82" t="str">
        <v>Y</v>
      </c>
      <c r="I82" s="8">
        <f>H82*F82</f>
        <v>0</v>
      </c>
    </row>
    <row r="83" ht="14.25" customHeight="1">
      <c r="A83">
        <v>42</v>
      </c>
      <c r="B83" t="str">
        <v>Receive, stock, distribute, install  - Postal specialties</v>
      </c>
      <c r="C83" t="str">
        <v>Y</v>
      </c>
      <c r="I83" s="8">
        <f>H83*F83</f>
        <v>0</v>
      </c>
    </row>
    <row r="84" ht="14.25" customHeight="1">
      <c r="A84">
        <v>43</v>
      </c>
      <c r="B84" t="str">
        <v>Receive, stock, distribute, install  - Wire shelving</v>
      </c>
      <c r="C84" t="str">
        <v>Y</v>
      </c>
      <c r="I84" s="8">
        <f>H84*F84</f>
        <v>0</v>
      </c>
    </row>
    <row r="85" ht="14.25" customHeight="1">
      <c r="A85">
        <v>44</v>
      </c>
      <c r="B85" t="str">
        <v>Receive, stock, distribute, install  - Bike racks in storage area / Garage  (exterior bike racks installed by others)</v>
      </c>
      <c r="C85" t="str">
        <v>Y</v>
      </c>
      <c r="I85" s="8">
        <f>H85*F85</f>
        <v>0</v>
      </c>
    </row>
    <row r="86" ht="14.25" customHeight="1">
      <c r="A86">
        <v>45</v>
      </c>
      <c r="C86" t="str">
        <v>Y</v>
      </c>
      <c r="I86" s="8">
        <f>H86*F86</f>
        <v>0</v>
      </c>
    </row>
    <row r="87" ht="14.25" customHeight="1">
      <c r="A87">
        <v>46</v>
      </c>
      <c r="B87" t="str">
        <v>STANDARD / GENERAL SCOPE</v>
      </c>
      <c r="C87" t="str">
        <v>Y</v>
      </c>
      <c r="I87" s="8">
        <f>H87*F87</f>
        <v>0</v>
      </c>
    </row>
    <row r="88" ht="14.25" customHeight="1">
      <c r="A88">
        <v>47</v>
      </c>
      <c r="B88" t="str">
        <v>Provide all material, tools, equipment, hoisting, supervision, etc for this work</v>
      </c>
      <c r="C88" t="str">
        <v>Y</v>
      </c>
      <c r="I88" s="8">
        <f>H88*F88</f>
        <v>0</v>
      </c>
    </row>
    <row r="89" ht="14.25" customHeight="1">
      <c r="A89">
        <v>48</v>
      </c>
      <c r="B89" t="str">
        <v>Perform all necessary field cutting of lumber/plywood</v>
      </c>
      <c r="C89" t="str">
        <v>Y</v>
      </c>
      <c r="I89" s="8">
        <f>H89*F89</f>
        <v>0</v>
      </c>
    </row>
    <row r="90" ht="14.25" customHeight="1">
      <c r="A90">
        <v>49</v>
      </c>
      <c r="B90" t="str">
        <v>Layout from GC control lines and benchmarks</v>
      </c>
      <c r="C90" t="str">
        <v>Y</v>
      </c>
      <c r="I90" s="8">
        <f>H90*F90</f>
        <v>0</v>
      </c>
    </row>
    <row r="91" ht="14.25" customHeight="1">
      <c r="A91">
        <v>50</v>
      </c>
      <c r="B91" t="str">
        <v>Clean up to MCN dumpster</v>
      </c>
      <c r="C91" t="str">
        <v>Y</v>
      </c>
      <c r="I91" s="8">
        <f>H91*F91</f>
        <v>0</v>
      </c>
    </row>
    <row r="92" ht="14.25" customHeight="1">
      <c r="A92">
        <v>51</v>
      </c>
      <c r="C92" t="str">
        <v>Y</v>
      </c>
      <c r="I92" s="8">
        <f>H92*F92</f>
        <v>0</v>
      </c>
    </row>
    <row r="93" ht="14.25" customHeight="1">
      <c r="A93">
        <v>52</v>
      </c>
      <c r="B93" t="str">
        <v>LEED Issues:</v>
      </c>
      <c r="C93" t="str">
        <v>Y</v>
      </c>
      <c r="I93" s="8">
        <f>H93*F93</f>
        <v>0</v>
      </c>
    </row>
    <row r="94" ht="14.25" customHeight="1">
      <c r="A94">
        <v>53</v>
      </c>
      <c r="B94" t="str">
        <v>FSC-certified lumber</v>
      </c>
      <c r="C94" t="str">
        <v>Y</v>
      </c>
      <c r="I94" s="8">
        <f>H94*F94</f>
        <v>0</v>
      </c>
    </row>
    <row r="95" ht="14.25" customHeight="1">
      <c r="A95">
        <v>54</v>
      </c>
      <c r="B95" t="str">
        <v>No CCA pressure treatment for lumber</v>
      </c>
      <c r="C95" t="str">
        <v>Y</v>
      </c>
      <c r="I95" s="8">
        <f>H95*F95</f>
        <v>0</v>
      </c>
    </row>
    <row r="96" ht="14.25" customHeight="1">
      <c r="A96">
        <v>55</v>
      </c>
      <c r="B96" t="str">
        <v>Plywood/substrates free of urea formaldehyde</v>
      </c>
      <c r="C96" t="str">
        <v>Y</v>
      </c>
      <c r="I96" s="8">
        <f>H96*F96</f>
        <v>0</v>
      </c>
    </row>
    <row r="97" ht="14.25" customHeight="1">
      <c r="A97">
        <v>56</v>
      </c>
      <c r="B97" t="str">
        <v>Low VOC adhesives</v>
      </c>
      <c r="C97" t="str">
        <v>Y</v>
      </c>
      <c r="I97" s="8">
        <f>H97*F97</f>
        <v>0</v>
      </c>
    </row>
    <row r="98" ht="14.25" customHeight="1">
      <c r="A98">
        <v>57</v>
      </c>
      <c r="B98" t="str">
        <v>Sorting of debris for recycling</v>
      </c>
      <c r="C98" t="str">
        <v>Y</v>
      </c>
      <c r="I98" s="8">
        <f>H98*F98</f>
        <v>0</v>
      </c>
    </row>
    <row r="99" ht="14.25" customHeight="1">
      <c r="A99">
        <v>58</v>
      </c>
      <c r="B99" t="str">
        <v>LEED documentation</v>
      </c>
      <c r="C99" t="str">
        <v>Y</v>
      </c>
      <c r="I99" s="8">
        <f>H99*F99</f>
        <v>0</v>
      </c>
    </row>
    <row r="100" ht="14.25" customHeight="1">
      <c r="I100" s="8">
        <f>H100*F100</f>
        <v>0</v>
      </c>
    </row>
    <row r="101" ht="14.25" customHeight="1">
      <c r="A101" t="str">
        <v>C</v>
      </c>
      <c r="B101" t="str">
        <v>Exclusions</v>
      </c>
    </row>
    <row r="102" ht="14.25" customHeight="1">
      <c r="A102">
        <v>1</v>
      </c>
      <c r="B102" t="str">
        <v>Finished/veneered millwork (not paint grade)</v>
      </c>
      <c r="C102" t="str">
        <v>N</v>
      </c>
      <c r="D102" t="str">
        <v>by millwork</v>
      </c>
    </row>
    <row r="103" ht="14.25" customHeight="1">
      <c r="A103">
        <f>A102+1</f>
        <v>2</v>
      </c>
      <c r="B103" t="str">
        <v>In-wall blocking</v>
      </c>
      <c r="C103" t="str">
        <v>N</v>
      </c>
      <c r="D103" t="str">
        <v>by rough carpentry</v>
      </c>
    </row>
    <row r="104" ht="14.25" customHeight="1">
      <c r="A104">
        <f>A103+1</f>
        <v>3</v>
      </c>
      <c r="B104" t="str">
        <v>Shoe mouldings to match wood floor</v>
      </c>
      <c r="C104" t="str">
        <v>N</v>
      </c>
      <c r="D104" t="str">
        <v>by wood floor</v>
      </c>
    </row>
    <row r="105" ht="14.25" customHeight="1">
      <c r="A105">
        <f>A104+1</f>
        <v>4</v>
      </c>
      <c r="C105" t="str">
        <v>N</v>
      </c>
    </row>
    <row r="106" ht="14.25" customHeight="1">
      <c r="A106">
        <f>A105+1</f>
        <v>5</v>
      </c>
      <c r="C106" t="str">
        <v>N</v>
      </c>
    </row>
    <row r="107" ht="14.25" customHeight="1">
      <c r="A107">
        <f>A106+1</f>
        <v>6</v>
      </c>
      <c r="C107" t="str">
        <v>N</v>
      </c>
    </row>
    <row r="108" ht="14.25" customHeight="1">
      <c r="A108">
        <f>A107+1</f>
        <v>7</v>
      </c>
      <c r="C108" t="str">
        <v>N</v>
      </c>
    </row>
    <row r="109" ht="14.25" customHeight="1">
      <c r="A109">
        <f>A108+1</f>
        <v>8</v>
      </c>
      <c r="C109" t="str">
        <v>N</v>
      </c>
    </row>
    <row r="110" ht="14.25" customHeight="1"/>
    <row r="111" ht="14.25" customHeight="1">
      <c r="A111" t="str">
        <v>D</v>
      </c>
      <c r="B111" t="str">
        <v>Schedule</v>
      </c>
    </row>
    <row r="112" ht="14.25" customHeight="1">
      <c r="A112">
        <v>1</v>
      </c>
      <c r="B112" t="str">
        <v>Meet MCN Schedule</v>
      </c>
      <c r="C112" t="str">
        <v>Y</v>
      </c>
    </row>
    <row r="113" ht="14.25" customHeight="1">
      <c r="A113">
        <f>A112+1</f>
        <v>2</v>
      </c>
      <c r="B113" t="str">
        <v>Advise of Durations</v>
      </c>
    </row>
    <row r="114" ht="14.25" customHeight="1">
      <c r="A114">
        <f>A113+1</f>
        <v>3</v>
      </c>
      <c r="B114" t="str">
        <v>Activity 1</v>
      </c>
      <c r="C114" t="str">
        <v>---&gt;</v>
      </c>
    </row>
    <row r="115" ht="14.25" customHeight="1">
      <c r="A115">
        <f>A114+1</f>
        <v>4</v>
      </c>
      <c r="B115" t="str">
        <v>Activity 2</v>
      </c>
      <c r="C115" t="str">
        <v>---&gt;</v>
      </c>
    </row>
    <row r="116" ht="14.25" customHeight="1">
      <c r="A116">
        <f>A115+1</f>
        <v>5</v>
      </c>
      <c r="B116" t="str">
        <v>Activity 3</v>
      </c>
      <c r="C116" t="str">
        <v>---&gt;</v>
      </c>
    </row>
    <row r="117" ht="14.25" customHeight="1">
      <c r="A117">
        <f>A116+1</f>
        <v>6</v>
      </c>
      <c r="B117" t="str">
        <v>Duration for Submittals and Shop Drawings</v>
      </c>
      <c r="C117" t="str">
        <v>---&gt;</v>
      </c>
    </row>
    <row r="118" ht="14.25" customHeight="1">
      <c r="A118">
        <f>A117+1</f>
        <v>7</v>
      </c>
      <c r="B118" t="str">
        <v>Advise of Lead Times:</v>
      </c>
    </row>
    <row r="119" ht="14.25" customHeight="1">
      <c r="A119">
        <f>A118+1</f>
        <v>8</v>
      </c>
      <c r="B119" t="str">
        <v>Material 1</v>
      </c>
      <c r="C119" t="str">
        <v>---&gt;</v>
      </c>
    </row>
    <row r="120" ht="14.25" customHeight="1">
      <c r="A120">
        <f>A119+1</f>
        <v>9</v>
      </c>
      <c r="B120" t="str">
        <v>Material 2</v>
      </c>
      <c r="C120" t="str">
        <v>---&gt;</v>
      </c>
    </row>
    <row r="121" ht="14.25" customHeight="1">
      <c r="A121">
        <f>A120+1</f>
        <v>10</v>
      </c>
      <c r="B121" t="str">
        <v>Material 3</v>
      </c>
      <c r="C121" t="str">
        <v>---&gt;</v>
      </c>
    </row>
    <row r="122" ht="14.25" customHeight="1"/>
    <row r="123" ht="14.25" customHeight="1"/>
    <row r="124" ht="14.25" customHeight="1">
      <c r="B124" t="str">
        <v>Allowances</v>
      </c>
    </row>
    <row r="125" ht="14.25" customHeight="1">
      <c r="A125">
        <v>1</v>
      </c>
    </row>
    <row r="126" ht="14.25" customHeight="1">
      <c r="A126">
        <f>A125+1</f>
        <v>2</v>
      </c>
    </row>
    <row r="127" ht="14.25" customHeight="1">
      <c r="A127">
        <f>A126+1</f>
        <v>3</v>
      </c>
    </row>
    <row r="128" ht="14.25" customHeight="1">
      <c r="A128">
        <f>A127+1</f>
        <v>4</v>
      </c>
    </row>
    <row r="129" ht="14.25" customHeight="1"/>
    <row r="130" ht="14.25" customHeight="1"/>
    <row r="131" ht="14.25" customHeight="1">
      <c r="B131" t="str">
        <v>Alternates</v>
      </c>
    </row>
    <row r="132" ht="14.25" customHeight="1">
      <c r="A132">
        <v>1</v>
      </c>
      <c r="C132" t="str">
        <v>#</v>
      </c>
    </row>
    <row r="133" ht="14.25" customHeight="1">
      <c r="A133">
        <f>A132+1</f>
        <v>2</v>
      </c>
      <c r="C133" t="str">
        <v>#</v>
      </c>
    </row>
    <row r="134" ht="14.25" customHeight="1">
      <c r="A134">
        <f>A133+1</f>
        <v>3</v>
      </c>
      <c r="C134" t="str">
        <v>#</v>
      </c>
    </row>
    <row r="135" ht="14.25" customHeight="1">
      <c r="A135">
        <f>A134+1</f>
        <v>4</v>
      </c>
      <c r="C135" t="str">
        <v>#</v>
      </c>
    </row>
    <row r="136" ht="14.25" customHeight="1">
      <c r="C136" t="str">
        <v>#</v>
      </c>
    </row>
    <row r="137" ht="14.25" customHeight="1">
      <c r="B137" t="str">
        <v>Unit Prices</v>
      </c>
    </row>
    <row r="138" ht="14.25" customHeight="1">
      <c r="A138">
        <v>1</v>
      </c>
      <c r="C138" t="str">
        <v>#</v>
      </c>
    </row>
    <row r="139" ht="14.25" customHeight="1">
      <c r="A139">
        <f>A138+1</f>
        <v>2</v>
      </c>
      <c r="C139" t="str">
        <v>#</v>
      </c>
    </row>
    <row r="140" ht="14.25" customHeight="1">
      <c r="A140">
        <f>A139+1</f>
        <v>3</v>
      </c>
      <c r="C140" t="str">
        <v>#</v>
      </c>
    </row>
    <row r="141" ht="14.25" customHeight="1">
      <c r="A141">
        <f>A140+1</f>
        <v>4</v>
      </c>
      <c r="C141" t="str">
        <v>#</v>
      </c>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3.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07 - BUILDING INSULATION</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SUM(I20:I120,I13:I18)</f>
        <v>0</v>
      </c>
      <c r="K7" t="str">
        <v>Adjustments:</v>
      </c>
      <c r="L7" s="4">
        <f>SUM(L13:L18,L20:L120)</f>
        <v>0</v>
      </c>
      <c r="N7" t="str">
        <v>Adjustments:</v>
      </c>
      <c r="O7" s="4">
        <f>SUM(O13:O18,O20:O120)</f>
        <v>0</v>
      </c>
      <c r="Q7" t="str">
        <v>Adjustments:</v>
      </c>
      <c r="R7" s="4">
        <f>SUM(R13:R18,R20:R120)</f>
        <v>0</v>
      </c>
      <c r="T7" t="str">
        <v>Adjustments:</v>
      </c>
      <c r="U7" s="4">
        <f>SUM(U13:U18,U20:U120)</f>
        <v>0</v>
      </c>
      <c r="W7" t="str">
        <v>Adjustments:</v>
      </c>
      <c r="X7" s="4">
        <f>SUM(X13:X18,X20:X120)</f>
        <v>0</v>
      </c>
      <c r="Z7" t="str">
        <v>Adjustments:</v>
      </c>
      <c r="AA7" s="4">
        <f>SUM(AA13:AA18,AA20:AA120)</f>
        <v>0</v>
      </c>
      <c r="AC7" t="str">
        <v>Adjustments:</v>
      </c>
      <c r="AD7" s="4">
        <f>SUM(AD13:AD18,AD20:AD120)</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Thermal Insulation</v>
      </c>
      <c r="C43" t="str">
        <v>Y</v>
      </c>
      <c r="I43" s="8">
        <f>H43*F43</f>
        <v>0</v>
      </c>
    </row>
    <row r="44" ht="14.25" customHeight="1">
      <c r="A44">
        <v>3</v>
      </c>
      <c r="B44" t="str">
        <v>Insulation in Wood Framed Areas (provide breakout pricing)</v>
      </c>
      <c r="C44" t="str">
        <v>Y</v>
      </c>
      <c r="I44" s="8">
        <f>H44*F44</f>
        <v>0</v>
      </c>
    </row>
    <row r="45" ht="14.25" customHeight="1">
      <c r="A45">
        <v>4</v>
      </c>
      <c r="B45" t="str">
        <v>[R-13] [Batt] insulation within 4" wall</v>
      </c>
      <c r="C45" t="str">
        <v>Y</v>
      </c>
      <c r="I45" s="8">
        <f>H45*F45</f>
        <v>0</v>
      </c>
    </row>
    <row r="46" ht="14.25" customHeight="1">
      <c r="A46">
        <v>5</v>
      </c>
      <c r="B46" t="str">
        <v>[R-19] [Batt] insulation within 6" wall</v>
      </c>
      <c r="C46" t="str">
        <v>Y</v>
      </c>
      <c r="I46" s="8">
        <f>H46*F46</f>
        <v>0</v>
      </c>
    </row>
    <row r="47" ht="14.25" customHeight="1">
      <c r="A47">
        <v>6</v>
      </c>
      <c r="B47" t="str">
        <v>Insulate window and door headers</v>
      </c>
      <c r="C47" t="str">
        <v>Y</v>
      </c>
      <c r="I47" s="8">
        <f>H47*F47</f>
        <v>0</v>
      </c>
    </row>
    <row r="48" ht="14.25" customHeight="1">
      <c r="A48">
        <v>7</v>
      </c>
      <c r="B48" t="str">
        <v>[R-30] [Batt] or spray foam insulation within roof trusses</v>
      </c>
      <c r="C48" t="str">
        <v>Y</v>
      </c>
      <c r="I48" s="8">
        <f>H48*F48</f>
        <v>0</v>
      </c>
    </row>
    <row r="49" ht="14.25" customHeight="1">
      <c r="A49">
        <v>8</v>
      </c>
      <c r="B49" t="str">
        <v>Insulation within parapet walls above roof line</v>
      </c>
      <c r="C49" t="str">
        <v>Y</v>
      </c>
      <c r="I49" s="8">
        <f>H49*F49</f>
        <v>0</v>
      </c>
    </row>
    <row r="50" ht="14.25" customHeight="1">
      <c r="A50">
        <v>9</v>
      </c>
      <c r="B50" t="str">
        <v>Insulation within corridor walls</v>
      </c>
      <c r="C50" t="str">
        <v>Y</v>
      </c>
      <c r="I50" s="8">
        <f>H50*F50</f>
        <v>0</v>
      </c>
    </row>
    <row r="51" ht="14.25" customHeight="1">
      <c r="A51">
        <v>10</v>
      </c>
      <c r="B51" t="str">
        <v>Insulation within Unit separation walls</v>
      </c>
      <c r="C51" t="str">
        <v>Y</v>
      </c>
      <c r="I51" s="8">
        <f>H51*F51</f>
        <v>0</v>
      </c>
    </row>
    <row r="52" ht="14.25" customHeight="1">
      <c r="A52">
        <v>11</v>
      </c>
      <c r="B52" t="str">
        <v>Batt insulation within roof trusses</v>
      </c>
      <c r="C52" t="str">
        <v>Y</v>
      </c>
      <c r="I52" s="8">
        <f>H52*F52</f>
        <v>0</v>
      </c>
    </row>
    <row r="53" ht="14.25" customHeight="1">
      <c r="A53">
        <v>12</v>
      </c>
      <c r="B53" t="str">
        <v>Batt insulation within attic spaces [could be R-49 if IBC 2012]</v>
      </c>
      <c r="C53" t="str">
        <v>Y</v>
      </c>
      <c r="I53" s="8">
        <f>H53*F53</f>
        <v>0</v>
      </c>
    </row>
    <row r="54" ht="14.25" customHeight="1">
      <c r="A54">
        <v>13</v>
      </c>
      <c r="B54" t="str">
        <v>Attic venting (4" strip to hold insulation off of roof sheathing to allow air flow around insulation and not trap moisture)</v>
      </c>
      <c r="C54" t="str">
        <v>Y</v>
      </c>
      <c r="I54" s="8">
        <f>H54*F54</f>
        <v>0</v>
      </c>
    </row>
    <row r="55" ht="14.25" customHeight="1">
      <c r="A55">
        <v>14</v>
      </c>
      <c r="B55" t="str">
        <v>Batt insulation within trusses between floors</v>
      </c>
      <c r="C55" t="str">
        <v>Y</v>
      </c>
      <c r="I55" s="8">
        <f>H55*F55</f>
        <v>0</v>
      </c>
    </row>
    <row r="56" ht="14.25" customHeight="1">
      <c r="A56">
        <v>15</v>
      </c>
      <c r="B56" t="str">
        <v>[Batt or cellulose or spray foam] within cantilevered floor framing</v>
      </c>
      <c r="C56" t="str">
        <v>Y</v>
      </c>
      <c r="I56" s="8">
        <f>H56*F56</f>
        <v>0</v>
      </c>
    </row>
    <row r="57" ht="14.25" customHeight="1">
      <c r="A57">
        <v>16</v>
      </c>
      <c r="B57" t="str">
        <v>[Batt or cellulose or spray foam] within metal framed corridor walls</v>
      </c>
      <c r="C57" t="str">
        <v>Y</v>
      </c>
      <c r="I57" s="8">
        <f>H57*F57</f>
        <v>0</v>
      </c>
    </row>
    <row r="58" ht="14.25" customHeight="1">
      <c r="A58">
        <v>17</v>
      </c>
      <c r="B58" t="str">
        <v>[Batt or cellulose or spray foam] within metal framed perimeter walls</v>
      </c>
      <c r="C58" t="str">
        <v>Y</v>
      </c>
      <c r="I58" s="8">
        <f>H58*F58</f>
        <v>0</v>
      </c>
    </row>
    <row r="59" ht="14.25" customHeight="1">
      <c r="A59">
        <v>18</v>
      </c>
      <c r="B59" t="str">
        <v>[Batt or cellulose or spray foam] insulation above suspended ceilings in garage</v>
      </c>
      <c r="C59" t="str">
        <v>Y</v>
      </c>
      <c r="I59" s="8">
        <f>H59*F59</f>
        <v>0</v>
      </c>
    </row>
    <row r="60" ht="14.25" customHeight="1">
      <c r="A60">
        <v>19</v>
      </c>
      <c r="B60" t="str">
        <v>[Batt or cellulose or spray foam] insulation stick-pinned on underside of slab above garage / retail</v>
      </c>
      <c r="C60" t="str">
        <v>Y</v>
      </c>
      <c r="I60" s="8">
        <f>H60*F60</f>
        <v>0</v>
      </c>
    </row>
    <row r="61" ht="14.25" customHeight="1">
      <c r="A61">
        <v>20</v>
      </c>
      <c r="B61" t="str">
        <v>Air infiltration package at exterior walls</v>
      </c>
      <c r="C61" t="str">
        <v>Y</v>
      </c>
      <c r="I61" s="8">
        <f>H61*F61</f>
        <v>0</v>
      </c>
    </row>
    <row r="62" ht="14.25" customHeight="1">
      <c r="A62">
        <v>21</v>
      </c>
      <c r="B62" t="str">
        <v>Seal sill plate to subfloor sheathing at exterior walls</v>
      </c>
      <c r="C62" t="str">
        <v>Y</v>
      </c>
      <c r="I62" s="8">
        <f>H62*F62</f>
        <v>0</v>
      </c>
    </row>
    <row r="63" ht="14.25" customHeight="1">
      <c r="A63">
        <v>22</v>
      </c>
      <c r="B63" t="str">
        <v>Seal all framing on Unit side of exterior sheathing</v>
      </c>
      <c r="C63" t="str">
        <v>Y</v>
      </c>
      <c r="I63" s="8">
        <f>H63*F63</f>
        <v>0</v>
      </c>
    </row>
    <row r="64" ht="14.25" customHeight="1">
      <c r="A64">
        <v>23</v>
      </c>
      <c r="B64" t="str">
        <v>Seal gaps between double or more studs in exterior walls</v>
      </c>
      <c r="C64" t="str">
        <v>Y</v>
      </c>
      <c r="I64" s="8">
        <f>H64*F64</f>
        <v>0</v>
      </c>
    </row>
    <row r="65" ht="14.25" customHeight="1">
      <c r="A65">
        <v>24</v>
      </c>
      <c r="B65" t="str">
        <v>Seal around perimeter of MEP penetrations through exterior sheathing</v>
      </c>
      <c r="C65" t="str">
        <v>Y</v>
      </c>
      <c r="I65" s="8">
        <f>H65*F65</f>
        <v>0</v>
      </c>
    </row>
    <row r="66" ht="14.25" customHeight="1">
      <c r="A66">
        <v>25</v>
      </c>
      <c r="B66" t="str">
        <v>Low expanding foam on interior side of openings in exterior walls  between window/door frames and rough opening framing</v>
      </c>
      <c r="C66" t="str">
        <v>Y</v>
      </c>
      <c r="I66" s="8">
        <f>H66*F66</f>
        <v>0</v>
      </c>
    </row>
    <row r="67" ht="14.25" customHeight="1">
      <c r="A67">
        <v>26</v>
      </c>
      <c r="B67" t="str">
        <v>Air infiltration package at Unit separation and corridor walls to comply with 2012 IECC requirements [if required]</v>
      </c>
      <c r="C67" t="str">
        <v>Y</v>
      </c>
      <c r="I67" s="8">
        <f>H67*F67</f>
        <v>0</v>
      </c>
    </row>
    <row r="68" ht="14.25" customHeight="1">
      <c r="A68">
        <v>27</v>
      </c>
      <c r="B68" t="str">
        <v>Seal sill plate to subfloor sheathing at corridor walls</v>
      </c>
      <c r="C68" t="str">
        <v>Y</v>
      </c>
      <c r="I68" s="8">
        <f>H68*F68</f>
        <v>0</v>
      </c>
    </row>
    <row r="69" ht="14.25" customHeight="1">
      <c r="A69">
        <v>28</v>
      </c>
      <c r="B69" t="str">
        <v>Seal all framing on Unit side of corridor wall sheathing</v>
      </c>
      <c r="C69" t="str">
        <v>Y</v>
      </c>
      <c r="I69" s="8">
        <f>H69*F69</f>
        <v>0</v>
      </c>
    </row>
    <row r="70" ht="14.25" customHeight="1">
      <c r="A70">
        <v>29</v>
      </c>
      <c r="B70" t="str">
        <v>Seal gaps between double or more studs in walls</v>
      </c>
      <c r="C70" t="str">
        <v>Y</v>
      </c>
      <c r="I70" s="8">
        <f>H70*F70</f>
        <v>0</v>
      </c>
    </row>
    <row r="71" ht="14.25" customHeight="1">
      <c r="A71">
        <v>30</v>
      </c>
      <c r="B71" t="str">
        <v>Seal around perimeter of MEP penetrations through wall sheathing</v>
      </c>
      <c r="C71" t="str">
        <v>Y</v>
      </c>
      <c r="I71" s="8">
        <f>H71*F71</f>
        <v>0</v>
      </c>
    </row>
    <row r="72" ht="14.25" customHeight="1">
      <c r="A72">
        <v>31</v>
      </c>
      <c r="B72" t="str">
        <v>Low expanding foam on Unit side of door openings in walls between door frames and rough opening framing</v>
      </c>
      <c r="C72" t="str">
        <v>Y</v>
      </c>
      <c r="I72" s="8">
        <f>H72*F72</f>
        <v>0</v>
      </c>
    </row>
    <row r="73" ht="14.25" customHeight="1">
      <c r="A73">
        <v>32</v>
      </c>
      <c r="B73" t="str">
        <v>Tenting of sprinklers within attic and insulated interstitial spaces</v>
      </c>
      <c r="C73" t="str">
        <v>Y</v>
      </c>
      <c r="I73" s="8">
        <f>H73*F73</f>
        <v>0</v>
      </c>
    </row>
    <row r="74" ht="14.25" customHeight="1">
      <c r="A74">
        <v>33</v>
      </c>
      <c r="B74" t="str">
        <v>Fill void/dead spaces between wood framing with non-combustible insulation</v>
      </c>
      <c r="C74" t="str">
        <v>Y</v>
      </c>
      <c r="I74" s="8">
        <f>H74*F74</f>
        <v>0</v>
      </c>
    </row>
    <row r="75" ht="14.25" customHeight="1">
      <c r="A75">
        <v>34</v>
      </c>
      <c r="B75" t="str">
        <v>Blown Insulation</v>
      </c>
      <c r="C75" t="str">
        <v>Y</v>
      </c>
      <c r="I75" s="8">
        <f>H75*F75</f>
        <v>0</v>
      </c>
    </row>
    <row r="76" ht="14.25" customHeight="1">
      <c r="A76">
        <v>35</v>
      </c>
      <c r="B76" t="str">
        <v>Exterior Walls: Blown insulation pneumatically placed into wall spaces through access holes.</v>
      </c>
      <c r="C76" t="str">
        <v>Y</v>
      </c>
      <c r="I76" s="8">
        <f>H76*F76</f>
        <v>0</v>
      </c>
    </row>
    <row r="77" ht="14.25" customHeight="1">
      <c r="A77">
        <v>36</v>
      </c>
      <c r="B77" t="str">
        <v>Ceiling: Loose insulation pneumatically placed and poured into joist spaces through access holes.</v>
      </c>
      <c r="C77" t="str">
        <v>Y</v>
      </c>
      <c r="I77" s="8">
        <f>H77*F77</f>
        <v>0</v>
      </c>
    </row>
    <row r="78" ht="14.25" customHeight="1">
      <c r="A78">
        <v>37</v>
      </c>
      <c r="B78" t="str">
        <v>Insulation and ventilation baffles.</v>
      </c>
      <c r="C78" t="str">
        <v>Y</v>
      </c>
      <c r="I78" s="8">
        <f>H78*F78</f>
        <v>0</v>
      </c>
    </row>
    <row r="79" ht="14.25" customHeight="1" xml:space="preserve">
      <c r="A79">
        <v>38</v>
      </c>
      <c r="B79" t="str" xml:space="preserve">
        <v xml:space="preserve">Provide continuity of thermal barrier at building enclosure elements ​​,
in conjunction with Section 07 2100​​.</v>
      </c>
      <c r="C79" t="str">
        <v>Y</v>
      </c>
      <c r="I79" s="8">
        <f>H79*F79</f>
        <v>0</v>
      </c>
    </row>
    <row r="80" ht="14.25" customHeight="1" xml:space="preserve">
      <c r="A80">
        <v>39</v>
      </c>
      <c r="B80" t="str" xml:space="preserve">
        <v xml:space="preserve"> Provide blown insulation in attic, exterior walls, and ceiling as indicated on
drawings. R-38 minimum</v>
      </c>
      <c r="C80" t="str">
        <v>Y</v>
      </c>
      <c r="I80" s="8">
        <f>H80*F80</f>
        <v>0</v>
      </c>
    </row>
    <row r="81" ht="14.25" customHeight="1">
      <c r="A81">
        <v>40</v>
      </c>
      <c r="B81" t="str">
        <v xml:space="preserve"> </v>
      </c>
      <c r="C81" t="str">
        <v>Y</v>
      </c>
      <c r="I81" s="8">
        <f>H81*F81</f>
        <v>0</v>
      </c>
    </row>
    <row r="82" ht="14.25" customHeight="1">
      <c r="A82">
        <v>41</v>
      </c>
      <c r="B82" t="str">
        <v>Provide Breakout Pricing for Insulation in Wood Framed Areas</v>
      </c>
      <c r="C82" t="str">
        <v>---&gt;</v>
      </c>
      <c r="I82" s="8">
        <f>H82*F82</f>
        <v>0</v>
      </c>
    </row>
    <row r="83" ht="14.25" customHeight="1">
      <c r="A83">
        <v>42</v>
      </c>
      <c r="B83" t="str">
        <v>Provide Breakout Pricing for Insulation in Metal Framed Areas</v>
      </c>
      <c r="C83" t="str">
        <v>---&gt;</v>
      </c>
      <c r="I83" s="8">
        <f>H83*F83</f>
        <v>0</v>
      </c>
    </row>
    <row r="84" ht="14.25" customHeight="1">
      <c r="A84">
        <v>43</v>
      </c>
      <c r="B84" t="str">
        <v>Provide Breakout Pricing for Insulation at Garage Ceiling</v>
      </c>
      <c r="C84" t="str">
        <v>---&gt;</v>
      </c>
      <c r="I84" s="8">
        <f>H84*F84</f>
        <v>0</v>
      </c>
    </row>
    <row r="85" ht="14.25" customHeight="1">
      <c r="A85">
        <v>44</v>
      </c>
      <c r="C85" t="str">
        <v>Y</v>
      </c>
      <c r="I85" s="8">
        <f>H85*F85</f>
        <v>0</v>
      </c>
    </row>
    <row r="86" ht="14.25" customHeight="1">
      <c r="A86">
        <v>45</v>
      </c>
      <c r="B86" t="str">
        <v>STANDARD / GENERAL SCOPE</v>
      </c>
      <c r="C86" t="str">
        <v>Y</v>
      </c>
      <c r="I86" s="8">
        <f>H86*F86</f>
        <v>0</v>
      </c>
    </row>
    <row r="87" ht="14.25" customHeight="1">
      <c r="A87">
        <v>46</v>
      </c>
      <c r="B87" t="str">
        <v>Provide all material, labor, tools, equipment, hoisting, supervision, etc for this work</v>
      </c>
      <c r="C87" t="str">
        <v>Y</v>
      </c>
      <c r="I87" s="8">
        <f>H87*F87</f>
        <v>0</v>
      </c>
    </row>
    <row r="88" ht="14.25" customHeight="1">
      <c r="A88">
        <v>47</v>
      </c>
      <c r="B88" t="str">
        <v>Layout from GC control lines and benchmarks</v>
      </c>
      <c r="C88" t="str">
        <v>Y</v>
      </c>
      <c r="I88" s="8">
        <f>H88*F88</f>
        <v>0</v>
      </c>
    </row>
    <row r="89" ht="14.25" customHeight="1">
      <c r="A89">
        <v>48</v>
      </c>
      <c r="B89" t="str">
        <v>Clean up debris to MCN dumpster</v>
      </c>
      <c r="C89" t="str">
        <v>Y</v>
      </c>
      <c r="I89" s="8">
        <f>H89*F89</f>
        <v>0</v>
      </c>
    </row>
    <row r="90" ht="14.25" customHeight="1">
      <c r="A90">
        <v>49</v>
      </c>
      <c r="B90" t="str">
        <v>Shop dwgs, samples, product data, certs, test reports, etc</v>
      </c>
      <c r="C90" t="str">
        <v>Y</v>
      </c>
      <c r="I90" s="8">
        <f>H90*F90</f>
        <v>0</v>
      </c>
    </row>
    <row r="91" ht="14.25" customHeight="1">
      <c r="I91" s="8">
        <f>H91*F91</f>
        <v>0</v>
      </c>
    </row>
    <row r="92" ht="14.25" customHeight="1">
      <c r="A92" t="str">
        <v>C</v>
      </c>
      <c r="B92" t="str">
        <v>Exclusions</v>
      </c>
    </row>
    <row r="93" ht="14.25" customHeight="1">
      <c r="A93">
        <v>1</v>
      </c>
      <c r="B93" t="str">
        <v>Sheet metal copings and flashings</v>
      </c>
      <c r="C93" t="str">
        <v>N</v>
      </c>
      <c r="D93" t="str">
        <v>By roofing</v>
      </c>
    </row>
    <row r="94" ht="14.25" customHeight="1">
      <c r="A94">
        <f>A93+1</f>
        <v>2</v>
      </c>
      <c r="B94" t="str">
        <v>Studs, drywall and sheathing</v>
      </c>
      <c r="C94" t="str">
        <v>N</v>
      </c>
      <c r="D94" t="str">
        <v>By drywall</v>
      </c>
    </row>
    <row r="95" ht="14.25" customHeight="1">
      <c r="A95">
        <f>A94+1</f>
        <v>3</v>
      </c>
      <c r="C95" t="str">
        <v>N</v>
      </c>
    </row>
    <row r="96" ht="14.25" customHeight="1">
      <c r="A96">
        <f>A95+1</f>
        <v>4</v>
      </c>
      <c r="C96" t="str">
        <v>N</v>
      </c>
    </row>
    <row r="97" ht="14.25" customHeight="1">
      <c r="A97">
        <f>A96+1</f>
        <v>5</v>
      </c>
      <c r="C97" t="str">
        <v>N</v>
      </c>
    </row>
    <row r="98" ht="14.25" customHeight="1">
      <c r="A98">
        <f>A97+1</f>
        <v>6</v>
      </c>
      <c r="C98" t="str">
        <v>N</v>
      </c>
    </row>
    <row r="99" ht="14.25" customHeight="1">
      <c r="A99">
        <f>A98+1</f>
        <v>7</v>
      </c>
      <c r="C99" t="str">
        <v>N</v>
      </c>
    </row>
    <row r="100" ht="14.25" customHeight="1">
      <c r="A100">
        <f>A99+1</f>
        <v>8</v>
      </c>
      <c r="C100" t="str">
        <v>N</v>
      </c>
    </row>
    <row r="101" ht="14.25" customHeight="1"/>
    <row r="102" ht="14.25" customHeight="1">
      <c r="A102" t="str">
        <v>D</v>
      </c>
      <c r="B102" t="str">
        <v>Schedule</v>
      </c>
    </row>
    <row r="103" ht="14.25" customHeight="1">
      <c r="A103">
        <v>1</v>
      </c>
      <c r="B103" t="str">
        <v>Meet MCN Schedule</v>
      </c>
      <c r="C103" t="str">
        <v>Y</v>
      </c>
    </row>
    <row r="104" ht="14.25" customHeight="1">
      <c r="A104">
        <f>A103+1</f>
        <v>2</v>
      </c>
      <c r="B104" t="str">
        <v>Advise of Durations</v>
      </c>
    </row>
    <row r="105" ht="14.25" customHeight="1">
      <c r="A105">
        <f>A104+1</f>
        <v>3</v>
      </c>
      <c r="B105" t="str">
        <v>Activity 1</v>
      </c>
      <c r="C105" t="str">
        <v>---&gt;</v>
      </c>
    </row>
    <row r="106" ht="14.25" customHeight="1">
      <c r="A106">
        <f>A105+1</f>
        <v>4</v>
      </c>
      <c r="B106" t="str">
        <v>Activity 2</v>
      </c>
      <c r="C106" t="str">
        <v>---&gt;</v>
      </c>
    </row>
    <row r="107" ht="14.25" customHeight="1">
      <c r="A107">
        <f>A106+1</f>
        <v>5</v>
      </c>
      <c r="B107" t="str">
        <v>Activity 3</v>
      </c>
      <c r="C107" t="str">
        <v>---&gt;</v>
      </c>
    </row>
    <row r="108" ht="14.25" customHeight="1">
      <c r="A108">
        <f>A107+1</f>
        <v>6</v>
      </c>
      <c r="B108" t="str">
        <v>Duration for Submittals and Shop Drawings</v>
      </c>
      <c r="C108" t="str">
        <v>---&gt;</v>
      </c>
    </row>
    <row r="109" ht="14.25" customHeight="1">
      <c r="A109">
        <f>A108+1</f>
        <v>7</v>
      </c>
      <c r="B109" t="str">
        <v>Advise of Lead Times:</v>
      </c>
    </row>
    <row r="110" ht="14.25" customHeight="1">
      <c r="A110">
        <f>A109+1</f>
        <v>8</v>
      </c>
      <c r="B110" t="str">
        <v>Material 1</v>
      </c>
      <c r="C110" t="str">
        <v>---&gt;</v>
      </c>
    </row>
    <row r="111" ht="14.25" customHeight="1">
      <c r="A111">
        <f>A110+1</f>
        <v>9</v>
      </c>
      <c r="B111" t="str">
        <v>Material 2</v>
      </c>
      <c r="C111" t="str">
        <v>---&gt;</v>
      </c>
    </row>
    <row r="112" ht="14.25" customHeight="1">
      <c r="A112">
        <f>A111+1</f>
        <v>10</v>
      </c>
      <c r="B112" t="str">
        <v>Material 3</v>
      </c>
      <c r="C112" t="str">
        <v>---&gt;</v>
      </c>
    </row>
    <row r="113" ht="14.25" customHeight="1"/>
    <row r="114" ht="14.25" customHeight="1"/>
    <row r="115" ht="14.25" customHeight="1">
      <c r="B115" t="str">
        <v>Allowances</v>
      </c>
    </row>
    <row r="116" ht="14.25" customHeight="1">
      <c r="A116">
        <v>1</v>
      </c>
    </row>
    <row r="117" ht="14.25" customHeight="1">
      <c r="A117">
        <f>A116+1</f>
        <v>2</v>
      </c>
    </row>
    <row r="118" ht="14.25" customHeight="1">
      <c r="A118">
        <f>A117+1</f>
        <v>3</v>
      </c>
    </row>
    <row r="119" ht="14.25" customHeight="1">
      <c r="A119">
        <f>A118+1</f>
        <v>4</v>
      </c>
    </row>
    <row r="120" ht="14.25" customHeight="1"/>
    <row r="121" ht="14.25" customHeight="1"/>
    <row r="122" ht="14.25" customHeight="1">
      <c r="B122" t="str">
        <v>Alternates</v>
      </c>
    </row>
    <row r="123" ht="14.25" customHeight="1">
      <c r="A123">
        <v>1</v>
      </c>
      <c r="C123" t="str">
        <v>#</v>
      </c>
    </row>
    <row r="124" ht="14.25" customHeight="1">
      <c r="A124">
        <f>A123+1</f>
        <v>2</v>
      </c>
      <c r="C124" t="str">
        <v>#</v>
      </c>
    </row>
    <row r="125" ht="14.25" customHeight="1">
      <c r="A125">
        <f>A124+1</f>
        <v>3</v>
      </c>
      <c r="C125" t="str">
        <v>#</v>
      </c>
    </row>
    <row r="126" ht="14.25" customHeight="1">
      <c r="A126">
        <f>A125+1</f>
        <v>4</v>
      </c>
      <c r="C126" t="str">
        <v>#</v>
      </c>
    </row>
    <row r="127" ht="14.25" customHeight="1">
      <c r="C127" t="str">
        <v>#</v>
      </c>
    </row>
    <row r="128" ht="14.25" customHeight="1">
      <c r="B128" t="str">
        <v>Unit Prices</v>
      </c>
    </row>
    <row r="129" ht="14.25" customHeight="1">
      <c r="A129">
        <v>1</v>
      </c>
      <c r="C129" t="str">
        <v>#</v>
      </c>
    </row>
    <row r="130" ht="14.25" customHeight="1">
      <c r="A130">
        <f>A129+1</f>
        <v>2</v>
      </c>
      <c r="C130" t="str">
        <v>#</v>
      </c>
    </row>
    <row r="131" ht="14.25" customHeight="1">
      <c r="A131">
        <f>A130+1</f>
        <v>3</v>
      </c>
      <c r="C131" t="str">
        <v>#</v>
      </c>
    </row>
    <row r="132" ht="14.25" customHeight="1">
      <c r="A132">
        <f>A131+1</f>
        <v>4</v>
      </c>
      <c r="C132" t="str">
        <v>#</v>
      </c>
    </row>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4.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07 - AIR BARRIER</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SUM(I20:I92,I13:I18)</f>
        <v>0</v>
      </c>
      <c r="K7" t="str">
        <v>Adjustments:</v>
      </c>
      <c r="L7" s="4">
        <f>SUM(L13:L18,L20:L92)</f>
        <v>0</v>
      </c>
      <c r="N7" t="str">
        <v>Adjustments:</v>
      </c>
      <c r="O7" s="4">
        <f>SUM(O13:O18,O20:O92)</f>
        <v>0</v>
      </c>
      <c r="Q7" t="str">
        <v>Adjustments:</v>
      </c>
      <c r="R7" s="4">
        <f>SUM(R13:R18,R20:R92)</f>
        <v>0</v>
      </c>
      <c r="T7" t="str">
        <v>Adjustments:</v>
      </c>
      <c r="U7" s="4">
        <f>SUM(U13:U18,U20:U92)</f>
        <v>0</v>
      </c>
      <c r="W7" t="str">
        <v>Adjustments:</v>
      </c>
      <c r="X7" s="4">
        <f>SUM(X13:X18,X20:X92)</f>
        <v>0</v>
      </c>
      <c r="Z7" t="str">
        <v>Adjustments:</v>
      </c>
      <c r="AA7" s="4">
        <f>SUM(AA13:AA18,AA20:AA92)</f>
        <v>0</v>
      </c>
      <c r="AC7" t="str">
        <v>Adjustments:</v>
      </c>
      <c r="AD7" s="4">
        <f>SUM(AD13:AD18,AD20:AD92)</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 xml:space="preserve">Air barrier sheet or fluid-applied membrane on all Concrete or CMU substrates. </v>
      </c>
      <c r="C43" t="str">
        <v>Y</v>
      </c>
      <c r="I43" s="8">
        <f>H43*F43</f>
        <v>0</v>
      </c>
    </row>
    <row r="44" ht="14.25" customHeight="1">
      <c r="A44">
        <f>A43+1</f>
        <v>3</v>
      </c>
      <c r="B44" t="str">
        <v>Include primers, transition strips, termination strips, sealants, and adhesives to provide a complete system</v>
      </c>
      <c r="C44" t="str">
        <v>Y</v>
      </c>
      <c r="I44" s="8">
        <f>H44*F44</f>
        <v>0</v>
      </c>
    </row>
    <row r="45" ht="14.25" customHeight="1">
      <c r="A45">
        <f>A44+1</f>
        <v>4</v>
      </c>
      <c r="B45" t="str">
        <v>Warranty requirements</v>
      </c>
      <c r="C45" t="str">
        <v>Y</v>
      </c>
      <c r="I45" s="8">
        <f>H45*F45</f>
        <v>0</v>
      </c>
    </row>
    <row r="46" ht="14.25" customHeight="1">
      <c r="A46">
        <f>A45+1</f>
        <v>5</v>
      </c>
      <c r="C46" t="str">
        <v>Y</v>
      </c>
      <c r="I46" s="8">
        <f>H46*F46</f>
        <v>0</v>
      </c>
    </row>
    <row r="47" ht="14.25" customHeight="1">
      <c r="A47">
        <f>A46+1</f>
        <v>6</v>
      </c>
      <c r="B47" t="str">
        <v>STANDARD / GENERAL SCOPE</v>
      </c>
      <c r="C47" t="str">
        <v>Y</v>
      </c>
      <c r="I47" s="8">
        <f>H47*F47</f>
        <v>0</v>
      </c>
    </row>
    <row r="48" ht="14.25" customHeight="1">
      <c r="A48">
        <f>A47+1</f>
        <v>7</v>
      </c>
      <c r="B48" t="str">
        <v>Provide all material, tools, equipment, hoisting, supervision, etc for this work</v>
      </c>
      <c r="C48" t="str">
        <v>Y</v>
      </c>
      <c r="I48" s="8">
        <f>H48*F48</f>
        <v>0</v>
      </c>
    </row>
    <row r="49" ht="14.25" customHeight="1">
      <c r="A49">
        <f>A48+1</f>
        <v>8</v>
      </c>
      <c r="B49" t="str">
        <v>Advise if use of mason's scaffold will be required</v>
      </c>
      <c r="C49" t="str">
        <v>Y</v>
      </c>
      <c r="I49" s="8">
        <f>H49*F49</f>
        <v>0</v>
      </c>
    </row>
    <row r="50" ht="14.25" customHeight="1">
      <c r="A50">
        <f>A49+1</f>
        <v>9</v>
      </c>
      <c r="B50" t="str">
        <v>Accessories to include primers, mastics, adhesives, tapes, joint seals/gels, flashings, transitions strips, sealants, etc</v>
      </c>
      <c r="C50" t="str">
        <v>Y</v>
      </c>
      <c r="I50" s="8">
        <f>H50*F50</f>
        <v>0</v>
      </c>
    </row>
    <row r="51" ht="14.25" customHeight="1">
      <c r="A51">
        <f>A50+1</f>
        <v>10</v>
      </c>
      <c r="B51" t="str">
        <v>Minor surface prep, filler, dampening/rinsing as needed</v>
      </c>
      <c r="C51" t="str">
        <v>Y</v>
      </c>
      <c r="I51" s="8">
        <f>H51*F51</f>
        <v>0</v>
      </c>
    </row>
    <row r="52" ht="14.25" customHeight="1">
      <c r="A52">
        <f>A51+1</f>
        <v>11</v>
      </c>
      <c r="B52" t="str">
        <v>Termination bars as req'd</v>
      </c>
      <c r="C52" t="str">
        <v>Y</v>
      </c>
      <c r="I52" s="8">
        <f>H52*F52</f>
        <v>0</v>
      </c>
    </row>
    <row r="53" ht="14.25" customHeight="1">
      <c r="A53">
        <f>A52+1</f>
        <v>12</v>
      </c>
      <c r="B53" t="str">
        <v>Flashing/sealing of penetrations</v>
      </c>
      <c r="C53" t="str">
        <v>Y</v>
      </c>
      <c r="I53" s="8">
        <f>H53*F53</f>
        <v>0</v>
      </c>
    </row>
    <row r="54" ht="14.25" customHeight="1">
      <c r="A54">
        <f>A53+1</f>
        <v>13</v>
      </c>
      <c r="B54" t="str">
        <v>Layout from GC control lines and benchmarks</v>
      </c>
      <c r="C54" t="str">
        <v>Y</v>
      </c>
      <c r="I54" s="8">
        <f>H54*F54</f>
        <v>0</v>
      </c>
    </row>
    <row r="55" ht="14.25" customHeight="1">
      <c r="A55">
        <f>A54+1</f>
        <v>14</v>
      </c>
      <c r="B55" t="str">
        <v>Clean up to MCN dumpster</v>
      </c>
      <c r="C55" t="str">
        <v>Y</v>
      </c>
      <c r="I55" s="8">
        <f>H55*F55</f>
        <v>0</v>
      </c>
    </row>
    <row r="56" ht="14.25" customHeight="1">
      <c r="A56">
        <f>A55+1</f>
        <v>15</v>
      </c>
      <c r="B56" t="str">
        <v>Shop dwgs, samples, product data, certs, etc</v>
      </c>
      <c r="C56" t="str">
        <v>Y</v>
      </c>
      <c r="I56" s="8">
        <f>H56*F56</f>
        <v>0</v>
      </c>
    </row>
    <row r="57" ht="14.25" customHeight="1">
      <c r="A57">
        <f>A56+1</f>
        <v>16</v>
      </c>
      <c r="B57" t="str">
        <v>Materials for site mockup</v>
      </c>
      <c r="C57" t="str">
        <v>Y</v>
      </c>
      <c r="I57" s="8">
        <f>H57*F57</f>
        <v>0</v>
      </c>
    </row>
    <row r="58" ht="14.25" customHeight="1">
      <c r="A58">
        <f>A57+1</f>
        <v>17</v>
      </c>
      <c r="B58" t="str">
        <v>AABA certificaton, if specified</v>
      </c>
      <c r="C58" t="str">
        <v>Y</v>
      </c>
      <c r="I58" s="8">
        <f>H58*F58</f>
        <v>0</v>
      </c>
    </row>
    <row r="59" ht="14.25" customHeight="1">
      <c r="A59">
        <f>A58+1</f>
        <v>18</v>
      </c>
      <c r="C59" t="str">
        <v>Y</v>
      </c>
      <c r="I59" s="8">
        <f>H59*F59</f>
        <v>0</v>
      </c>
    </row>
    <row r="60" ht="14.25" customHeight="1">
      <c r="A60">
        <f>A59+1</f>
        <v>19</v>
      </c>
      <c r="B60" t="str">
        <v>LEED Issues:</v>
      </c>
      <c r="C60" t="str">
        <v>Y</v>
      </c>
      <c r="I60" s="8">
        <f>H60*F60</f>
        <v>0</v>
      </c>
    </row>
    <row r="61" ht="14.25" customHeight="1">
      <c r="A61">
        <f>A60+1</f>
        <v>20</v>
      </c>
      <c r="B61" t="str">
        <v>Formaldehyde and heavy metal free VOC compliant coatings and sealants</v>
      </c>
      <c r="C61" t="str">
        <v>Y</v>
      </c>
      <c r="I61" s="8">
        <f>H61*F61</f>
        <v>0</v>
      </c>
    </row>
    <row r="62" ht="14.25" customHeight="1">
      <c r="A62">
        <f>A61+1</f>
        <v>21</v>
      </c>
      <c r="B62" t="str">
        <v>LEED documentation</v>
      </c>
      <c r="C62" t="str">
        <v>Y</v>
      </c>
      <c r="I62" s="8">
        <f>H62*F62</f>
        <v>0</v>
      </c>
    </row>
    <row r="63" ht="14.25" customHeight="1">
      <c r="I63" s="8">
        <f>H63*F63</f>
        <v>0</v>
      </c>
    </row>
    <row r="64" ht="14.25" customHeight="1">
      <c r="A64" t="str">
        <v>C</v>
      </c>
      <c r="B64" t="str">
        <v>Exclusions</v>
      </c>
    </row>
    <row r="65" ht="14.25" customHeight="1">
      <c r="A65">
        <v>1</v>
      </c>
      <c r="B65" t="str">
        <v>Wood blocking</v>
      </c>
      <c r="C65" t="str">
        <v>N</v>
      </c>
      <c r="D65" t="str">
        <v>By carpentry</v>
      </c>
    </row>
    <row r="66" ht="14.25" customHeight="1">
      <c r="A66">
        <f>A65+1</f>
        <v>2</v>
      </c>
      <c r="B66" t="str">
        <v>Roofing (provide separate price if bidding this scope)</v>
      </c>
      <c r="C66" t="str">
        <v>N</v>
      </c>
      <c r="D66" t="str">
        <v>By roofing</v>
      </c>
    </row>
    <row r="67" ht="14.25" customHeight="1">
      <c r="A67">
        <f>A66+1</f>
        <v>3</v>
      </c>
      <c r="B67" t="str">
        <v>Below slab vapor retarders</v>
      </c>
      <c r="C67" t="str">
        <v>N</v>
      </c>
      <c r="D67" t="str">
        <v>by concrete</v>
      </c>
    </row>
    <row r="68" ht="14.25" customHeight="1">
      <c r="A68">
        <f>A67+1</f>
        <v>4</v>
      </c>
      <c r="C68" t="str">
        <v>N</v>
      </c>
    </row>
    <row r="69" ht="14.25" customHeight="1">
      <c r="A69">
        <f>A68+1</f>
        <v>5</v>
      </c>
      <c r="C69" t="str">
        <v>N</v>
      </c>
    </row>
    <row r="70" ht="14.25" customHeight="1">
      <c r="A70">
        <f>A69+1</f>
        <v>6</v>
      </c>
      <c r="C70" t="str">
        <v>N</v>
      </c>
    </row>
    <row r="71" ht="14.25" customHeight="1">
      <c r="A71">
        <f>A70+1</f>
        <v>7</v>
      </c>
      <c r="C71" t="str">
        <v>N</v>
      </c>
    </row>
    <row r="72" ht="14.25" customHeight="1">
      <c r="A72">
        <f>A71+1</f>
        <v>8</v>
      </c>
      <c r="C72" t="str">
        <v>N</v>
      </c>
    </row>
    <row r="73" ht="14.25" customHeight="1"/>
    <row r="74" ht="14.25" customHeight="1">
      <c r="A74" t="str">
        <v>D</v>
      </c>
      <c r="B74" t="str">
        <v>Schedule</v>
      </c>
    </row>
    <row r="75" ht="14.25" customHeight="1">
      <c r="A75">
        <v>1</v>
      </c>
      <c r="B75" t="str">
        <v>Meet MCN Schedule</v>
      </c>
      <c r="C75" t="str">
        <v>Y</v>
      </c>
    </row>
    <row r="76" ht="14.25" customHeight="1">
      <c r="A76">
        <f>A75+1</f>
        <v>2</v>
      </c>
      <c r="B76" t="str">
        <v>Advise of Durations</v>
      </c>
    </row>
    <row r="77" ht="14.25" customHeight="1">
      <c r="A77">
        <f>A76+1</f>
        <v>3</v>
      </c>
      <c r="B77" t="str">
        <v>Activity 1</v>
      </c>
      <c r="C77" t="str">
        <v>---&gt;</v>
      </c>
    </row>
    <row r="78" ht="14.25" customHeight="1">
      <c r="A78">
        <f>A77+1</f>
        <v>4</v>
      </c>
      <c r="B78" t="str">
        <v>Activity 2</v>
      </c>
      <c r="C78" t="str">
        <v>---&gt;</v>
      </c>
    </row>
    <row r="79" ht="14.25" customHeight="1">
      <c r="A79">
        <f>A78+1</f>
        <v>5</v>
      </c>
      <c r="B79" t="str">
        <v>Activity 3</v>
      </c>
      <c r="C79" t="str">
        <v>---&gt;</v>
      </c>
    </row>
    <row r="80" ht="14.25" customHeight="1">
      <c r="A80">
        <f>A79+1</f>
        <v>6</v>
      </c>
      <c r="B80" t="str">
        <v>Duration for Submittals and Shop Drawings</v>
      </c>
      <c r="C80" t="str">
        <v>---&gt;</v>
      </c>
    </row>
    <row r="81" ht="14.25" customHeight="1">
      <c r="A81">
        <f>A80+1</f>
        <v>7</v>
      </c>
      <c r="B81" t="str">
        <v>Advise of Lead Times:</v>
      </c>
    </row>
    <row r="82" ht="14.25" customHeight="1">
      <c r="A82">
        <f>A81+1</f>
        <v>8</v>
      </c>
      <c r="B82" t="str">
        <v>Material 1</v>
      </c>
      <c r="C82" t="str">
        <v>---&gt;</v>
      </c>
    </row>
    <row r="83" ht="14.25" customHeight="1">
      <c r="A83">
        <f>A82+1</f>
        <v>9</v>
      </c>
      <c r="B83" t="str">
        <v>Material 2</v>
      </c>
      <c r="C83" t="str">
        <v>---&gt;</v>
      </c>
    </row>
    <row r="84" ht="14.25" customHeight="1">
      <c r="A84">
        <f>A83+1</f>
        <v>10</v>
      </c>
      <c r="B84" t="str">
        <v>Material 3</v>
      </c>
      <c r="C84" t="str">
        <v>---&gt;</v>
      </c>
    </row>
    <row r="85" ht="14.25" customHeight="1"/>
    <row r="86" ht="14.25" customHeight="1"/>
    <row r="87" ht="14.25" customHeight="1">
      <c r="B87" t="str">
        <v>Allowances</v>
      </c>
    </row>
    <row r="88" ht="14.25" customHeight="1">
      <c r="A88">
        <v>1</v>
      </c>
    </row>
    <row r="89" ht="14.25" customHeight="1">
      <c r="A89">
        <f>A88+1</f>
        <v>2</v>
      </c>
    </row>
    <row r="90" ht="14.25" customHeight="1">
      <c r="A90">
        <f>A89+1</f>
        <v>3</v>
      </c>
    </row>
    <row r="91" ht="14.25" customHeight="1">
      <c r="A91">
        <f>A90+1</f>
        <v>4</v>
      </c>
    </row>
    <row r="92" ht="14.25" customHeight="1"/>
    <row r="93" ht="14.25" customHeight="1"/>
    <row r="94" ht="14.25" customHeight="1">
      <c r="B94" t="str">
        <v>Alternates</v>
      </c>
    </row>
    <row r="95" ht="14.25" customHeight="1">
      <c r="A95">
        <v>1</v>
      </c>
      <c r="C95" t="str">
        <v>#</v>
      </c>
    </row>
    <row r="96" ht="14.25" customHeight="1">
      <c r="A96">
        <f>A95+1</f>
        <v>2</v>
      </c>
      <c r="C96" t="str">
        <v>#</v>
      </c>
    </row>
    <row r="97" ht="14.25" customHeight="1">
      <c r="A97">
        <f>A96+1</f>
        <v>3</v>
      </c>
      <c r="C97" t="str">
        <v>#</v>
      </c>
    </row>
    <row r="98" ht="14.25" customHeight="1">
      <c r="A98">
        <f>A97+1</f>
        <v>4</v>
      </c>
      <c r="C98" t="str">
        <v>#</v>
      </c>
    </row>
    <row r="99" ht="14.25" customHeight="1">
      <c r="C99" t="str">
        <v>#</v>
      </c>
    </row>
    <row r="100" ht="14.25" customHeight="1">
      <c r="B100" t="str">
        <v>Unit Prices</v>
      </c>
    </row>
    <row r="101" ht="14.25" customHeight="1">
      <c r="A101">
        <v>1</v>
      </c>
      <c r="C101" t="str">
        <v>#</v>
      </c>
    </row>
    <row r="102" ht="14.25" customHeight="1">
      <c r="A102">
        <f>A101+1</f>
        <v>2</v>
      </c>
      <c r="C102" t="str">
        <v>#</v>
      </c>
    </row>
    <row r="103" ht="14.25" customHeight="1">
      <c r="A103">
        <f>A102+1</f>
        <v>3</v>
      </c>
      <c r="C103" t="str">
        <v>#</v>
      </c>
    </row>
    <row r="104" ht="14.25" customHeight="1">
      <c r="A104">
        <f>A103+1</f>
        <v>4</v>
      </c>
      <c r="C104" t="str">
        <v>#</v>
      </c>
    </row>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5.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07 - FIREPROOFING</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SUM(I20:I99,I13:I18)</f>
        <v>0</v>
      </c>
      <c r="K7" t="str">
        <v>Adjustments:</v>
      </c>
      <c r="L7" s="4">
        <f>SUM(L13:L18,L20:L99)</f>
        <v>0</v>
      </c>
      <c r="N7" t="str">
        <v>Adjustments:</v>
      </c>
      <c r="O7" s="4">
        <f>SUM(O13:O18,O20:O99)</f>
        <v>0</v>
      </c>
      <c r="Q7" t="str">
        <v>Adjustments:</v>
      </c>
      <c r="R7" s="4">
        <f>SUM(R13:R18,R20:R99)</f>
        <v>0</v>
      </c>
      <c r="T7" t="str">
        <v>Adjustments:</v>
      </c>
      <c r="U7" s="4">
        <f>SUM(U13:U18,U20:U99)</f>
        <v>0</v>
      </c>
      <c r="W7" t="str">
        <v>Adjustments:</v>
      </c>
      <c r="X7" s="4">
        <f>SUM(X13:X18,X20:X99)</f>
        <v>0</v>
      </c>
      <c r="Z7" t="str">
        <v>Adjustments:</v>
      </c>
      <c r="AA7" s="4">
        <f>SUM(AA13:AA18,AA20:AA99)</f>
        <v>0</v>
      </c>
      <c r="AC7" t="str">
        <v>Adjustments:</v>
      </c>
      <c r="AD7" s="4">
        <f>SUM(AD13:AD18,AD20:AD99)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Spray Fireproofing</v>
      </c>
      <c r="C43" t="str">
        <v>Y</v>
      </c>
      <c r="I43" s="8">
        <f>H43*F43</f>
        <v>0</v>
      </c>
    </row>
    <row r="44" ht="14.25" customHeight="1">
      <c r="A44">
        <v>2</v>
      </c>
      <c r="B44" t="str">
        <v>Spray fireproofing  per [IBC Building Construction Type ??]:</v>
      </c>
      <c r="C44" t="str">
        <v>Y</v>
      </c>
      <c r="I44" s="8">
        <f>H44*F44</f>
        <v>0</v>
      </c>
    </row>
    <row r="45" ht="14.25" customHeight="1">
      <c r="A45">
        <f>A44+1</f>
        <v>3</v>
      </c>
      <c r="B45" t="str">
        <v>2 hour structural frame (columns, bracing &amp; beams - ref Structurals)</v>
      </c>
      <c r="C45" t="str">
        <v>Y</v>
      </c>
      <c r="I45" s="8">
        <f>H45*F45</f>
        <v>0</v>
      </c>
    </row>
    <row r="46" ht="14.25" customHeight="1">
      <c r="A46">
        <v>3</v>
      </c>
      <c r="B46" t="str">
        <v>1 hour roof frame (beams, joists - ref Structurals)</v>
      </c>
      <c r="C46" t="str">
        <v>Y</v>
      </c>
      <c r="I46" s="8">
        <f>H46*F46</f>
        <v>0</v>
      </c>
    </row>
    <row r="47" ht="14.25" customHeight="1">
      <c r="A47">
        <f>A46+1</f>
        <v>4</v>
      </c>
      <c r="B47" t="str">
        <v>Assume restrained stuctural classification [unless otherwise noted; QUALIFY]</v>
      </c>
      <c r="C47" t="str">
        <v>Y</v>
      </c>
      <c r="I47" s="8">
        <f>H47*F47</f>
        <v>0</v>
      </c>
    </row>
    <row r="48" ht="14.25" customHeight="1">
      <c r="A48">
        <v>4</v>
      </c>
      <c r="B48" t="str">
        <v>Apply surface sealer to fireproofing in plenum spaces [if spec'd]</v>
      </c>
      <c r="C48" t="str">
        <v>Y</v>
      </c>
      <c r="I48" s="8">
        <f>H48*F48</f>
        <v>0</v>
      </c>
    </row>
    <row r="49" ht="14.25" customHeight="1">
      <c r="A49">
        <f>A48+1</f>
        <v>5</v>
      </c>
      <c r="B49" t="str">
        <v>Warranties per spec [Material and Workmanship]</v>
      </c>
      <c r="C49" t="str">
        <v>Y</v>
      </c>
      <c r="I49" s="8">
        <f>H49*F49</f>
        <v>0</v>
      </c>
    </row>
    <row r="50" ht="14.25" customHeight="1">
      <c r="A50">
        <v>5</v>
      </c>
      <c r="B50" t="str">
        <v xml:space="preserve"> </v>
      </c>
      <c r="C50" t="str">
        <v>Y</v>
      </c>
      <c r="I50" s="8">
        <f>H50*F50</f>
        <v>0</v>
      </c>
    </row>
    <row r="51" ht="14.25" customHeight="1">
      <c r="A51">
        <f>A50+1</f>
        <v>6</v>
      </c>
      <c r="B51" t="str">
        <v>Intumescent Fireproofing</v>
      </c>
      <c r="C51" t="str">
        <v>Y</v>
      </c>
      <c r="I51" s="8">
        <f>H51*F51</f>
        <v>0</v>
      </c>
    </row>
    <row r="52" ht="14.25" customHeight="1">
      <c r="A52">
        <v>6</v>
      </c>
      <c r="B52" t="str">
        <v>Apply intumescent coatings in thicknesses to achieve req'd rating where shown:</v>
      </c>
      <c r="C52" t="str">
        <v>Y</v>
      </c>
      <c r="I52" s="8">
        <f>H52*F52</f>
        <v>0</v>
      </c>
    </row>
    <row r="53" ht="14.25" customHeight="1">
      <c r="A53">
        <f>A52+1</f>
        <v>7</v>
      </c>
      <c r="B53" t="str">
        <v>***List specific locations of intumescent coatings***</v>
      </c>
      <c r="C53" t="str">
        <v>Y</v>
      </c>
      <c r="I53" s="8">
        <f>H53*F53</f>
        <v>0</v>
      </c>
    </row>
    <row r="54" ht="14.25" customHeight="1">
      <c r="A54">
        <v>7</v>
      </c>
      <c r="B54" t="str">
        <v>***List specific locations of intumescent coatings***</v>
      </c>
      <c r="C54" t="str">
        <v>Y</v>
      </c>
      <c r="I54" s="8">
        <f>H54*F54</f>
        <v>0</v>
      </c>
    </row>
    <row r="55" ht="14.25" customHeight="1">
      <c r="A55">
        <f>A54+1</f>
        <v>8</v>
      </c>
      <c r="B55" t="str">
        <v>***List specific locations of intumescent coatings***</v>
      </c>
      <c r="C55" t="str">
        <v>Y</v>
      </c>
      <c r="I55" s="8">
        <f>H55*F55</f>
        <v>0</v>
      </c>
    </row>
    <row r="56" ht="14.25" customHeight="1">
      <c r="A56">
        <v>8</v>
      </c>
      <c r="C56" t="str">
        <v>Y</v>
      </c>
      <c r="I56" s="8">
        <f>H56*F56</f>
        <v>0</v>
      </c>
    </row>
    <row r="57" ht="14.25" customHeight="1">
      <c r="A57">
        <f>A56+1</f>
        <v>9</v>
      </c>
      <c r="B57" t="str">
        <v>STANDARD / GENERAL SCOPE</v>
      </c>
      <c r="C57" t="str">
        <v>Y</v>
      </c>
      <c r="I57" s="8">
        <f>H57*F57</f>
        <v>0</v>
      </c>
    </row>
    <row r="58" ht="14.25" customHeight="1">
      <c r="A58">
        <v>9</v>
      </c>
      <c r="B58" t="str">
        <v>Provide all material, labor, tools, equipment, hoisting, supervision, etc for this work</v>
      </c>
      <c r="C58" t="str">
        <v>Y</v>
      </c>
      <c r="I58" s="8">
        <f>H58*F58</f>
        <v>0</v>
      </c>
    </row>
    <row r="59" ht="14.25" customHeight="1">
      <c r="A59">
        <f>A58+1</f>
        <v>10</v>
      </c>
      <c r="B59" t="str">
        <v>Advise of rate per day for patching of damaged fireproofing [GC Add]</v>
      </c>
      <c r="C59" t="str">
        <v>Y</v>
      </c>
      <c r="I59" s="8">
        <f>H59*F59</f>
        <v>0</v>
      </c>
    </row>
    <row r="60" ht="14.25" customHeight="1">
      <c r="A60">
        <v>10</v>
      </c>
      <c r="B60" t="str">
        <v>Advise of cost for additional mobilizations</v>
      </c>
      <c r="C60" t="str">
        <v>Y</v>
      </c>
      <c r="I60" s="8">
        <f>H60*F60</f>
        <v>0</v>
      </c>
    </row>
    <row r="61" ht="14.25" customHeight="1">
      <c r="A61">
        <f>A60+1</f>
        <v>11</v>
      </c>
      <c r="B61" t="str">
        <v>Minor surface preparation</v>
      </c>
      <c r="C61" t="str">
        <v>Y</v>
      </c>
      <c r="I61" s="8">
        <f>H61*F61</f>
        <v>0</v>
      </c>
    </row>
    <row r="62" ht="14.25" customHeight="1">
      <c r="A62">
        <v>11</v>
      </c>
      <c r="B62" t="str">
        <v>Clean up debris/overspray to MCN dumpster</v>
      </c>
      <c r="C62" t="str">
        <v>Y</v>
      </c>
      <c r="I62" s="8">
        <f>H62*F62</f>
        <v>0</v>
      </c>
    </row>
    <row r="63" ht="14.25" customHeight="1">
      <c r="A63">
        <f>A62+1</f>
        <v>12</v>
      </c>
      <c r="B63" t="str">
        <v>Shop dwgs, submittals, product data, certs, test reports, etc</v>
      </c>
      <c r="C63" t="str">
        <v>Y</v>
      </c>
      <c r="I63" s="8">
        <f>H63*F63</f>
        <v>0</v>
      </c>
    </row>
    <row r="64" ht="14.25" customHeight="1">
      <c r="A64">
        <v>12</v>
      </c>
      <c r="B64" t="str">
        <v xml:space="preserve"> </v>
      </c>
      <c r="C64" t="str">
        <v>Y</v>
      </c>
      <c r="I64" s="8">
        <f>H64*F64</f>
        <v>0</v>
      </c>
    </row>
    <row r="65" ht="14.25" customHeight="1">
      <c r="A65">
        <f>A64+1</f>
        <v>13</v>
      </c>
      <c r="B65" t="str">
        <v>LEED Issues:</v>
      </c>
      <c r="C65" t="str">
        <v>Y</v>
      </c>
      <c r="I65" s="8">
        <f>H65*F65</f>
        <v>0</v>
      </c>
    </row>
    <row r="66" ht="14.25" customHeight="1">
      <c r="A66">
        <v>13</v>
      </c>
      <c r="B66" t="str">
        <v>Cafco Blazeshield II fireproofing product</v>
      </c>
      <c r="C66" t="str">
        <v>Y</v>
      </c>
      <c r="I66" s="8">
        <f>H66*F66</f>
        <v>0</v>
      </c>
    </row>
    <row r="67" ht="14.25" customHeight="1">
      <c r="A67">
        <f>A66+1</f>
        <v>14</v>
      </c>
      <c r="B67" t="str">
        <v>LEED documentation</v>
      </c>
      <c r="C67" t="str">
        <v>Y</v>
      </c>
      <c r="I67" s="8">
        <f>H67*F67</f>
        <v>0</v>
      </c>
    </row>
    <row r="68" ht="14.25" customHeight="1">
      <c r="A68">
        <v>14</v>
      </c>
      <c r="C68" t="str">
        <v>Y</v>
      </c>
      <c r="I68" s="8">
        <f>H68*F68</f>
        <v>0</v>
      </c>
    </row>
    <row r="69" ht="14.25" customHeight="1">
      <c r="A69">
        <f>A68+1</f>
        <v>15</v>
      </c>
      <c r="C69" t="str">
        <v>Y</v>
      </c>
      <c r="I69" s="8">
        <f>H69*F69</f>
        <v>0</v>
      </c>
    </row>
    <row r="70" ht="14.25" customHeight="1">
      <c r="I70" s="8">
        <f>H70*F70</f>
        <v>0</v>
      </c>
    </row>
    <row r="71" ht="14.25" customHeight="1">
      <c r="A71" t="str">
        <v>C</v>
      </c>
      <c r="B71" t="str">
        <v>Exclusions</v>
      </c>
    </row>
    <row r="72" ht="14.25" customHeight="1">
      <c r="A72">
        <v>1</v>
      </c>
      <c r="C72" t="str">
        <v>N</v>
      </c>
    </row>
    <row r="73" ht="14.25" customHeight="1">
      <c r="A73">
        <f>A72+1</f>
        <v>2</v>
      </c>
      <c r="C73" t="str">
        <v>N</v>
      </c>
    </row>
    <row r="74" ht="14.25" customHeight="1">
      <c r="A74">
        <f>A73+1</f>
        <v>3</v>
      </c>
      <c r="C74" t="str">
        <v>N</v>
      </c>
    </row>
    <row r="75" ht="14.25" customHeight="1">
      <c r="A75">
        <f>A74+1</f>
        <v>4</v>
      </c>
      <c r="C75" t="str">
        <v>N</v>
      </c>
    </row>
    <row r="76" ht="14.25" customHeight="1">
      <c r="A76">
        <f>A75+1</f>
        <v>5</v>
      </c>
      <c r="C76" t="str">
        <v>N</v>
      </c>
    </row>
    <row r="77" ht="14.25" customHeight="1">
      <c r="A77">
        <f>A76+1</f>
        <v>6</v>
      </c>
      <c r="C77" t="str">
        <v>N</v>
      </c>
    </row>
    <row r="78" ht="14.25" customHeight="1">
      <c r="A78">
        <f>A77+1</f>
        <v>7</v>
      </c>
      <c r="C78" t="str">
        <v>N</v>
      </c>
    </row>
    <row r="79" ht="14.25" customHeight="1">
      <c r="A79">
        <f>A78+1</f>
        <v>8</v>
      </c>
      <c r="C79" t="str">
        <v>N</v>
      </c>
    </row>
    <row r="80" ht="14.25" customHeight="1"/>
    <row r="81" ht="14.25" customHeight="1">
      <c r="A81" t="str">
        <v>D</v>
      </c>
      <c r="B81" t="str">
        <v>Schedule</v>
      </c>
    </row>
    <row r="82" ht="14.25" customHeight="1">
      <c r="A82">
        <v>1</v>
      </c>
      <c r="B82" t="str">
        <v>Meet MCN Schedule</v>
      </c>
      <c r="C82" t="str">
        <v>Y</v>
      </c>
    </row>
    <row r="83" ht="14.25" customHeight="1">
      <c r="A83">
        <f>A82+1</f>
        <v>2</v>
      </c>
      <c r="B83" t="str">
        <v>Advise of Durations</v>
      </c>
    </row>
    <row r="84" ht="14.25" customHeight="1">
      <c r="A84">
        <f>A83+1</f>
        <v>3</v>
      </c>
      <c r="B84" t="str">
        <v>Activity 1</v>
      </c>
      <c r="C84" t="str">
        <v>---&gt;</v>
      </c>
    </row>
    <row r="85" ht="14.25" customHeight="1">
      <c r="A85">
        <f>A84+1</f>
        <v>4</v>
      </c>
      <c r="B85" t="str">
        <v>Activity 2</v>
      </c>
      <c r="C85" t="str">
        <v>---&gt;</v>
      </c>
    </row>
    <row r="86" ht="14.25" customHeight="1">
      <c r="A86">
        <f>A85+1</f>
        <v>5</v>
      </c>
      <c r="B86" t="str">
        <v>Activity 3</v>
      </c>
      <c r="C86" t="str">
        <v>---&gt;</v>
      </c>
    </row>
    <row r="87" ht="14.25" customHeight="1">
      <c r="A87">
        <f>A86+1</f>
        <v>6</v>
      </c>
      <c r="B87" t="str">
        <v>Duration for Submittals and Shop Drawings</v>
      </c>
      <c r="C87" t="str">
        <v>---&gt;</v>
      </c>
    </row>
    <row r="88" ht="14.25" customHeight="1">
      <c r="A88">
        <f>A87+1</f>
        <v>7</v>
      </c>
      <c r="B88" t="str">
        <v>Advise of Lead Times:</v>
      </c>
    </row>
    <row r="89" ht="14.25" customHeight="1">
      <c r="A89">
        <f>A88+1</f>
        <v>8</v>
      </c>
      <c r="B89" t="str">
        <v>Material 1</v>
      </c>
      <c r="C89" t="str">
        <v>---&gt;</v>
      </c>
    </row>
    <row r="90" ht="14.25" customHeight="1">
      <c r="A90">
        <f>A89+1</f>
        <v>9</v>
      </c>
      <c r="B90" t="str">
        <v>Material 2</v>
      </c>
      <c r="C90" t="str">
        <v>---&gt;</v>
      </c>
    </row>
    <row r="91" ht="14.25" customHeight="1">
      <c r="A91">
        <f>A90+1</f>
        <v>10</v>
      </c>
      <c r="B91" t="str">
        <v>Material 3</v>
      </c>
      <c r="C91" t="str">
        <v>---&gt;</v>
      </c>
    </row>
    <row r="92" ht="14.25" customHeight="1"/>
    <row r="93" ht="14.25" customHeight="1"/>
    <row r="94" ht="14.25" customHeight="1">
      <c r="B94" t="str">
        <v>Allowances</v>
      </c>
    </row>
    <row r="95" ht="14.25" customHeight="1">
      <c r="A95">
        <v>1</v>
      </c>
    </row>
    <row r="96" ht="14.25" customHeight="1">
      <c r="A96">
        <f>A95+1</f>
        <v>2</v>
      </c>
    </row>
    <row r="97" ht="14.25" customHeight="1">
      <c r="A97">
        <f>A96+1</f>
        <v>3</v>
      </c>
    </row>
    <row r="98" ht="14.25" customHeight="1">
      <c r="A98">
        <f>A97+1</f>
        <v>4</v>
      </c>
    </row>
    <row r="99" ht="14.25" customHeight="1"/>
    <row r="100" ht="14.25" customHeight="1"/>
    <row r="101" ht="14.25" customHeight="1">
      <c r="B101" t="str">
        <v>Alternates</v>
      </c>
    </row>
    <row r="102" ht="14.25" customHeight="1">
      <c r="A102">
        <v>1</v>
      </c>
      <c r="C102" t="str">
        <v>#</v>
      </c>
    </row>
    <row r="103" ht="14.25" customHeight="1">
      <c r="A103">
        <f>A102+1</f>
        <v>2</v>
      </c>
      <c r="C103" t="str">
        <v>#</v>
      </c>
    </row>
    <row r="104" ht="14.25" customHeight="1">
      <c r="A104">
        <f>A103+1</f>
        <v>3</v>
      </c>
      <c r="C104" t="str">
        <v>#</v>
      </c>
    </row>
    <row r="105" ht="14.25" customHeight="1">
      <c r="A105">
        <f>A104+1</f>
        <v>4</v>
      </c>
      <c r="C105" t="str">
        <v>#</v>
      </c>
    </row>
    <row r="106" ht="14.25" customHeight="1">
      <c r="C106" t="str">
        <v>#</v>
      </c>
    </row>
    <row r="107" ht="14.25" customHeight="1">
      <c r="B107" t="str">
        <v>Unit Prices</v>
      </c>
    </row>
    <row r="108" ht="14.25" customHeight="1">
      <c r="A108">
        <v>1</v>
      </c>
      <c r="C108" t="str">
        <v>#</v>
      </c>
    </row>
    <row r="109" ht="14.25" customHeight="1">
      <c r="A109">
        <f>A108+1</f>
        <v>2</v>
      </c>
      <c r="C109" t="str">
        <v>#</v>
      </c>
    </row>
    <row r="110" ht="14.25" customHeight="1">
      <c r="A110">
        <f>A109+1</f>
        <v>3</v>
      </c>
      <c r="C110" t="str">
        <v>#</v>
      </c>
    </row>
    <row r="111" ht="14.25" customHeight="1">
      <c r="A111">
        <f>A110+1</f>
        <v>4</v>
      </c>
      <c r="C111" t="str">
        <v>#</v>
      </c>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6.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07 - EIFS/STUCCO</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SUM(I20:I89,I13:I18)</f>
        <v>0</v>
      </c>
      <c r="K7" t="str">
        <v>Adjustments:</v>
      </c>
      <c r="L7" s="4">
        <f>SUM(L13:L18,L20:L89)</f>
        <v>0</v>
      </c>
      <c r="N7" t="str">
        <v>Adjustments:</v>
      </c>
      <c r="O7" s="4">
        <f>SUM(O13:O18,O20:O89)</f>
        <v>0</v>
      </c>
      <c r="Q7" t="str">
        <v>Adjustments:</v>
      </c>
      <c r="R7" s="4">
        <f>SUM(R13:R18,R20:R89)</f>
        <v>0</v>
      </c>
      <c r="T7" t="str">
        <v>Adjustments:</v>
      </c>
      <c r="U7" s="4">
        <f>SUM(U13:U18,U20:U89)</f>
        <v>0</v>
      </c>
      <c r="W7" t="str">
        <v>Adjustments:</v>
      </c>
      <c r="X7" s="4">
        <f>SUM(X13:X18,X20:X89)</f>
        <v>0</v>
      </c>
      <c r="Z7" t="str">
        <v>Adjustments:</v>
      </c>
      <c r="AA7" s="4">
        <f>SUM(AA13:AA18,AA20:AA89)</f>
        <v>0</v>
      </c>
      <c r="AC7" t="str">
        <v>Adjustments:</v>
      </c>
      <c r="AD7" s="4">
        <f>SUM(AD13:AD18,AD20:AD89)</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v>2</v>
      </c>
      <c r="B43" t="str">
        <v>EIFS system to include base coat, reinforcing mesh and finish coat on 2" rigid insulation at the following locations:</v>
      </c>
      <c r="C43" t="str">
        <v>Y</v>
      </c>
      <c r="I43" s="8">
        <f>H43*F43</f>
        <v>0</v>
      </c>
    </row>
    <row r="44" ht="14.25" customHeight="1">
      <c r="A44">
        <v>3</v>
      </c>
      <c r="B44" t="str">
        <v>Penthouse walls and screen walls at [list location]</v>
      </c>
      <c r="C44" t="str">
        <v>Y</v>
      </c>
      <c r="I44" s="8">
        <f>H44*F44</f>
        <v>0</v>
      </c>
    </row>
    <row r="45" ht="14.25" customHeight="1">
      <c r="A45">
        <v>4</v>
      </c>
      <c r="B45" t="str">
        <v>***Other locations***</v>
      </c>
      <c r="C45" t="str">
        <v>Y</v>
      </c>
      <c r="I45" s="8">
        <f>H45*F45</f>
        <v>0</v>
      </c>
    </row>
    <row r="46" ht="14.25" customHeight="1">
      <c r="A46">
        <v>5</v>
      </c>
      <c r="B46" t="str">
        <v>***Other locations***</v>
      </c>
      <c r="C46" t="str">
        <v>Y</v>
      </c>
      <c r="I46" s="8">
        <f>H46*F46</f>
        <v>0</v>
      </c>
    </row>
    <row r="47" ht="14.25" customHeight="1">
      <c r="A47">
        <v>6</v>
      </c>
      <c r="B47" t="str">
        <v>Include finish as specified</v>
      </c>
      <c r="C47" t="str">
        <v>Y</v>
      </c>
      <c r="I47" s="8">
        <f>H47*F47</f>
        <v>0</v>
      </c>
    </row>
    <row r="48" ht="14.25" customHeight="1">
      <c r="A48">
        <v>7</v>
      </c>
      <c r="B48" t="str">
        <v>Include reveals as shown</v>
      </c>
      <c r="C48" t="str">
        <v>Y</v>
      </c>
      <c r="I48" s="8">
        <f>H48*F48</f>
        <v>0</v>
      </c>
    </row>
    <row r="49" ht="14.25" customHeight="1">
      <c r="A49">
        <v>8</v>
      </c>
      <c r="B49" t="str">
        <v>Include special shapes of formed insulation to sizes, dimensions &amp; profiles shown</v>
      </c>
      <c r="C49" t="str">
        <v>Y</v>
      </c>
      <c r="I49" s="8">
        <f>H49*F49</f>
        <v>0</v>
      </c>
    </row>
    <row r="50" ht="14.25" customHeight="1">
      <c r="A50">
        <v>9</v>
      </c>
      <c r="B50" t="str">
        <v>Include drip edge flashings at base of system &amp; heads of openings in the system</v>
      </c>
      <c r="C50" t="str">
        <v>Y</v>
      </c>
      <c r="I50" s="8">
        <f>H50*F50</f>
        <v>0</v>
      </c>
    </row>
    <row r="51" ht="14.25" customHeight="1">
      <c r="A51">
        <v>10</v>
      </c>
      <c r="B51" t="str">
        <v>System meets performance criteria outlined</v>
      </c>
      <c r="C51" t="str">
        <v>Y</v>
      </c>
      <c r="I51" s="8">
        <f>H51*F51</f>
        <v>0</v>
      </c>
    </row>
    <row r="52" ht="14.25" customHeight="1">
      <c r="A52">
        <v>11</v>
      </c>
      <c r="B52" t="str">
        <v>Warranties per spec [Material and Workmanship]</v>
      </c>
      <c r="C52" t="str">
        <v>Y</v>
      </c>
      <c r="I52" s="8">
        <f>H52*F52</f>
        <v>0</v>
      </c>
    </row>
    <row r="53" ht="14.25" customHeight="1">
      <c r="A53">
        <v>12</v>
      </c>
      <c r="B53" t="str">
        <v>Mock-up requirements per spec</v>
      </c>
      <c r="C53" t="str">
        <v>Y</v>
      </c>
      <c r="I53" s="8">
        <f>H53*F53</f>
        <v>0</v>
      </c>
    </row>
    <row r="54" ht="14.25" customHeight="1">
      <c r="A54">
        <v>13</v>
      </c>
      <c r="C54" t="str">
        <v>Y</v>
      </c>
      <c r="I54" s="8">
        <f>H54*F54</f>
        <v>0</v>
      </c>
    </row>
    <row r="55" ht="14.25" customHeight="1">
      <c r="A55">
        <v>14</v>
      </c>
      <c r="B55" t="str">
        <v>STANDARD / GENERAL SCOPE</v>
      </c>
      <c r="C55" t="str">
        <v>Y</v>
      </c>
      <c r="I55" s="8">
        <f>H55*F55</f>
        <v>0</v>
      </c>
    </row>
    <row r="56" ht="14.25" customHeight="1">
      <c r="A56">
        <v>15</v>
      </c>
      <c r="B56" t="str">
        <v>Provide all material, labor, tools, equipment, hoisting, supervision, etc for this work</v>
      </c>
      <c r="C56" t="str">
        <v>Y</v>
      </c>
      <c r="I56" s="8">
        <f>H56*F56</f>
        <v>0</v>
      </c>
    </row>
    <row r="57" ht="14.25" customHeight="1">
      <c r="A57">
        <v>16</v>
      </c>
      <c r="B57" t="str">
        <v>Layout from GC control lines and benchmarks</v>
      </c>
      <c r="C57" t="str">
        <v>Y</v>
      </c>
      <c r="I57" s="8">
        <f>H57*F57</f>
        <v>0</v>
      </c>
    </row>
    <row r="58" ht="14.25" customHeight="1">
      <c r="A58">
        <v>17</v>
      </c>
      <c r="B58" t="str">
        <v>Clean up debris to MCN dumpster</v>
      </c>
      <c r="C58" t="str">
        <v>Y</v>
      </c>
      <c r="I58" s="8">
        <f>H58*F58</f>
        <v>0</v>
      </c>
    </row>
    <row r="59" ht="14.25" customHeight="1">
      <c r="A59">
        <v>18</v>
      </c>
      <c r="B59" t="str">
        <v>Shop dwgs, samples, product data, certs, test reports, etc</v>
      </c>
      <c r="C59" t="str">
        <v>Y</v>
      </c>
      <c r="I59" s="8">
        <f>H59*F59</f>
        <v>0</v>
      </c>
    </row>
    <row r="60" ht="14.25" customHeight="1">
      <c r="I60" s="8">
        <f>H60*F60</f>
        <v>0</v>
      </c>
    </row>
    <row r="61" ht="14.25" customHeight="1">
      <c r="A61" t="str">
        <v>C</v>
      </c>
      <c r="B61" t="str">
        <v>Exclusions</v>
      </c>
    </row>
    <row r="62" ht="14.25" customHeight="1">
      <c r="A62">
        <v>1</v>
      </c>
      <c r="B62" t="str">
        <v>Sheet metal copings and flashings</v>
      </c>
      <c r="C62" t="str">
        <v>N</v>
      </c>
      <c r="D62" t="str">
        <v>by roofing</v>
      </c>
    </row>
    <row r="63" ht="14.25" customHeight="1">
      <c r="A63">
        <f>A62+1</f>
        <v>2</v>
      </c>
      <c r="B63" t="str">
        <v>Studs, drywall and sheathing</v>
      </c>
      <c r="C63" t="str">
        <v>N</v>
      </c>
      <c r="D63" t="str">
        <v>by drywall</v>
      </c>
    </row>
    <row r="64" ht="14.25" customHeight="1">
      <c r="A64">
        <f>A63+1</f>
        <v>3</v>
      </c>
      <c r="C64" t="str">
        <v>N</v>
      </c>
    </row>
    <row r="65" ht="14.25" customHeight="1">
      <c r="A65">
        <f>A64+1</f>
        <v>4</v>
      </c>
      <c r="C65" t="str">
        <v>N</v>
      </c>
    </row>
    <row r="66" ht="14.25" customHeight="1">
      <c r="A66">
        <f>A65+1</f>
        <v>5</v>
      </c>
      <c r="C66" t="str">
        <v>N</v>
      </c>
    </row>
    <row r="67" ht="14.25" customHeight="1">
      <c r="A67">
        <f>A66+1</f>
        <v>6</v>
      </c>
      <c r="C67" t="str">
        <v>N</v>
      </c>
    </row>
    <row r="68" ht="14.25" customHeight="1">
      <c r="A68">
        <f>A67+1</f>
        <v>7</v>
      </c>
      <c r="C68" t="str">
        <v>N</v>
      </c>
    </row>
    <row r="69" ht="14.25" customHeight="1">
      <c r="A69">
        <f>A68+1</f>
        <v>8</v>
      </c>
      <c r="C69" t="str">
        <v>N</v>
      </c>
    </row>
    <row r="70" ht="14.25" customHeight="1"/>
    <row r="71" ht="14.25" customHeight="1">
      <c r="A71" t="str">
        <v>D</v>
      </c>
      <c r="B71" t="str">
        <v>Schedule</v>
      </c>
    </row>
    <row r="72" ht="14.25" customHeight="1">
      <c r="A72">
        <v>1</v>
      </c>
      <c r="B72" t="str">
        <v>Meet MCN Schedule</v>
      </c>
      <c r="C72" t="str">
        <v>Y</v>
      </c>
    </row>
    <row r="73" ht="14.25" customHeight="1">
      <c r="A73">
        <f>A72+1</f>
        <v>2</v>
      </c>
      <c r="B73" t="str">
        <v>Advise of Durations</v>
      </c>
    </row>
    <row r="74" ht="14.25" customHeight="1">
      <c r="A74">
        <f>A73+1</f>
        <v>3</v>
      </c>
      <c r="B74" t="str">
        <v>Activity 1</v>
      </c>
      <c r="C74" t="str">
        <v>---&gt;</v>
      </c>
    </row>
    <row r="75" ht="14.25" customHeight="1">
      <c r="A75">
        <f>A74+1</f>
        <v>4</v>
      </c>
      <c r="B75" t="str">
        <v>Activity 2</v>
      </c>
      <c r="C75" t="str">
        <v>---&gt;</v>
      </c>
    </row>
    <row r="76" ht="14.25" customHeight="1">
      <c r="A76">
        <f>A75+1</f>
        <v>5</v>
      </c>
      <c r="B76" t="str">
        <v>Activity 3</v>
      </c>
      <c r="C76" t="str">
        <v>---&gt;</v>
      </c>
    </row>
    <row r="77" ht="14.25" customHeight="1">
      <c r="A77">
        <f>A76+1</f>
        <v>6</v>
      </c>
      <c r="B77" t="str">
        <v>Duration for Submittals and Shop Drawings</v>
      </c>
      <c r="C77" t="str">
        <v>---&gt;</v>
      </c>
    </row>
    <row r="78" ht="14.25" customHeight="1">
      <c r="A78">
        <f>A77+1</f>
        <v>7</v>
      </c>
      <c r="B78" t="str">
        <v>Advise of Lead Times:</v>
      </c>
    </row>
    <row r="79" ht="14.25" customHeight="1">
      <c r="A79">
        <f>A78+1</f>
        <v>8</v>
      </c>
      <c r="B79" t="str">
        <v>Material 1</v>
      </c>
      <c r="C79" t="str">
        <v>---&gt;</v>
      </c>
    </row>
    <row r="80" ht="14.25" customHeight="1">
      <c r="A80">
        <f>A79+1</f>
        <v>9</v>
      </c>
      <c r="B80" t="str">
        <v>Material 2</v>
      </c>
      <c r="C80" t="str">
        <v>---&gt;</v>
      </c>
    </row>
    <row r="81" ht="14.25" customHeight="1">
      <c r="A81">
        <f>A80+1</f>
        <v>10</v>
      </c>
      <c r="B81" t="str">
        <v>Material 3</v>
      </c>
      <c r="C81" t="str">
        <v>---&gt;</v>
      </c>
    </row>
    <row r="82" ht="14.25" customHeight="1"/>
    <row r="83" ht="14.25" customHeight="1"/>
    <row r="84" ht="14.25" customHeight="1">
      <c r="B84" t="str">
        <v>Allowances</v>
      </c>
    </row>
    <row r="85" ht="14.25" customHeight="1">
      <c r="A85">
        <v>1</v>
      </c>
    </row>
    <row r="86" ht="14.25" customHeight="1">
      <c r="A86">
        <f>A85+1</f>
        <v>2</v>
      </c>
    </row>
    <row r="87" ht="14.25" customHeight="1">
      <c r="A87">
        <f>A86+1</f>
        <v>3</v>
      </c>
    </row>
    <row r="88" ht="14.25" customHeight="1">
      <c r="A88">
        <f>A87+1</f>
        <v>4</v>
      </c>
    </row>
    <row r="89" ht="14.25" customHeight="1"/>
    <row r="90" ht="14.25" customHeight="1"/>
    <row r="91" ht="14.25" customHeight="1">
      <c r="B91" t="str">
        <v>Alternates</v>
      </c>
    </row>
    <row r="92" ht="14.25" customHeight="1">
      <c r="A92">
        <v>1</v>
      </c>
      <c r="C92" t="str">
        <v>#</v>
      </c>
    </row>
    <row r="93" ht="14.25" customHeight="1">
      <c r="A93">
        <f>A92+1</f>
        <v>2</v>
      </c>
      <c r="C93" t="str">
        <v>#</v>
      </c>
    </row>
    <row r="94" ht="14.25" customHeight="1">
      <c r="A94">
        <f>A93+1</f>
        <v>3</v>
      </c>
      <c r="C94" t="str">
        <v>#</v>
      </c>
    </row>
    <row r="95" ht="14.25" customHeight="1">
      <c r="A95">
        <f>A94+1</f>
        <v>4</v>
      </c>
      <c r="C95" t="str">
        <v>#</v>
      </c>
    </row>
    <row r="96" ht="14.25" customHeight="1">
      <c r="C96" t="str">
        <v>#</v>
      </c>
    </row>
    <row r="97" ht="14.25" customHeight="1">
      <c r="B97" t="str">
        <v>Unit Prices</v>
      </c>
    </row>
    <row r="98" ht="14.25" customHeight="1">
      <c r="A98">
        <v>1</v>
      </c>
      <c r="C98" t="str">
        <v>#</v>
      </c>
    </row>
    <row r="99" ht="14.25" customHeight="1">
      <c r="A99">
        <f>A98+1</f>
        <v>2</v>
      </c>
      <c r="C99" t="str">
        <v>#</v>
      </c>
    </row>
    <row r="100" ht="14.25" customHeight="1">
      <c r="A100">
        <f>A99+1</f>
        <v>3</v>
      </c>
      <c r="C100" t="str">
        <v>#</v>
      </c>
    </row>
    <row r="101" ht="14.25" customHeight="1">
      <c r="A101">
        <f>A100+1</f>
        <v>4</v>
      </c>
      <c r="C101" t="str">
        <v>#</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7.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07 - EXTERIOR PANELS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SUM(I20:I93,I13:I18)</f>
        <v>0</v>
      </c>
      <c r="K7" t="str">
        <v>Adjustments:</v>
      </c>
      <c r="L7" s="4">
        <f>SUM(L13:L18,L20:L93)</f>
        <v>0</v>
      </c>
      <c r="N7" t="str">
        <v>Adjustments:</v>
      </c>
      <c r="O7" s="4">
        <f>SUM(O13:O18,O20:O93)</f>
        <v>0</v>
      </c>
      <c r="Q7" t="str">
        <v>Adjustments:</v>
      </c>
      <c r="R7" s="4">
        <f>SUM(R13:R18,R20:R93)</f>
        <v>0</v>
      </c>
      <c r="T7" t="str">
        <v>Adjustments:</v>
      </c>
      <c r="U7" s="4">
        <f>SUM(U13:U18,U20:U93)</f>
        <v>0</v>
      </c>
      <c r="W7" t="str">
        <v>Adjustments:</v>
      </c>
      <c r="X7" s="4">
        <f>SUM(X13:X18,X20:X93)</f>
        <v>0</v>
      </c>
      <c r="Z7" t="str">
        <v>Adjustments:</v>
      </c>
      <c r="AA7" s="4">
        <f>SUM(AA13:AA18,AA20:AA93)</f>
        <v>0</v>
      </c>
      <c r="AC7" t="str">
        <v>Adjustments:</v>
      </c>
      <c r="AD7" s="4">
        <f>SUM(AD13:AD18,AD20:AD93)</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All Hardi-Siding, Hardie trim, Hardie panel as indicated  [Unfinished, smooth finish, color tbd]</v>
      </c>
      <c r="C43" t="str">
        <v>Y</v>
      </c>
      <c r="I43" s="8">
        <f>H43*F43</f>
        <v>0</v>
      </c>
    </row>
    <row r="44" ht="14.25" customHeight="1">
      <c r="A44">
        <f>A43+1</f>
        <v>3</v>
      </c>
      <c r="B44" t="str">
        <v>Brick mold at exterior doors in brick</v>
      </c>
      <c r="C44" t="str">
        <v>Y</v>
      </c>
      <c r="I44" s="8">
        <f>H44*F44</f>
        <v>0</v>
      </c>
    </row>
    <row r="45" ht="14.25" customHeight="1">
      <c r="A45">
        <f>A44+1</f>
        <v>4</v>
      </c>
      <c r="B45" t="str">
        <v>Vinyl soffits</v>
      </c>
      <c r="C45" t="str">
        <v>Y</v>
      </c>
      <c r="I45" s="8">
        <f>H45*F45</f>
        <v>0</v>
      </c>
    </row>
    <row r="46" ht="14.25" customHeight="1">
      <c r="A46">
        <f>A45+1</f>
        <v>5</v>
      </c>
      <c r="B46" t="str">
        <v>All aluminum flashing within your systems  [reference details]</v>
      </c>
      <c r="C46" t="str">
        <v>Y</v>
      </c>
      <c r="I46" s="8">
        <f>H46*F46</f>
        <v>0</v>
      </c>
    </row>
    <row r="47" ht="14.25" customHeight="1">
      <c r="A47">
        <f>A46+1</f>
        <v>6</v>
      </c>
      <c r="B47" t="str">
        <v>Caulking within your system and to adjacent materials</v>
      </c>
      <c r="C47" t="str">
        <v>Y</v>
      </c>
      <c r="I47" s="8">
        <f>H47*F47</f>
        <v>0</v>
      </c>
    </row>
    <row r="48" ht="14.25" customHeight="1">
      <c r="A48">
        <f>A47+1</f>
        <v>7</v>
      </c>
      <c r="C48" t="str">
        <v>Y</v>
      </c>
      <c r="I48" s="8">
        <f>H48*F48</f>
        <v>0</v>
      </c>
    </row>
    <row r="49" ht="14.25" customHeight="1">
      <c r="A49">
        <f>A48+1</f>
        <v>8</v>
      </c>
      <c r="B49" t="str">
        <v>STANDARD / GENERAL SCOPE</v>
      </c>
      <c r="C49" t="str">
        <v>Y</v>
      </c>
      <c r="I49" s="8">
        <f>H49*F49</f>
        <v>0</v>
      </c>
    </row>
    <row r="50" ht="14.25" customHeight="1">
      <c r="A50">
        <f>A49+1</f>
        <v>9</v>
      </c>
      <c r="B50" t="str">
        <v>Provide all material, tools, equipment, hoisting, supervision, etc for this work</v>
      </c>
      <c r="C50" t="str">
        <v>Y</v>
      </c>
      <c r="I50" s="8">
        <f>H50*F50</f>
        <v>0</v>
      </c>
    </row>
    <row r="51" ht="14.25" customHeight="1">
      <c r="A51">
        <f>A50+1</f>
        <v>10</v>
      </c>
      <c r="B51" t="str">
        <v>Include all anchors and fasteners for this work</v>
      </c>
      <c r="C51" t="str">
        <v>Y</v>
      </c>
      <c r="I51" s="8">
        <f>H51*F51</f>
        <v>0</v>
      </c>
    </row>
    <row r="52" ht="14.25" customHeight="1">
      <c r="A52">
        <f>A51+1</f>
        <v>11</v>
      </c>
      <c r="B52" t="str">
        <v>Furnish anchor bolts for sill plates for installation into conc/masonry by others</v>
      </c>
      <c r="C52" t="str">
        <v>Y</v>
      </c>
      <c r="I52" s="8">
        <f>H52*F52</f>
        <v>0</v>
      </c>
    </row>
    <row r="53" ht="14.25" customHeight="1">
      <c r="A53">
        <f>A52+1</f>
        <v>12</v>
      </c>
      <c r="B53" t="str">
        <v>Perform all necessary field cutting of lumber/plywood</v>
      </c>
      <c r="C53" t="str">
        <v>Y</v>
      </c>
      <c r="I53" s="8">
        <f>H53*F53</f>
        <v>0</v>
      </c>
    </row>
    <row r="54" ht="14.25" customHeight="1">
      <c r="A54">
        <f>A53+1</f>
        <v>13</v>
      </c>
      <c r="B54" t="str">
        <v>Layout from GC control lines and benchmarks</v>
      </c>
      <c r="C54" t="str">
        <v>Y</v>
      </c>
      <c r="I54" s="8">
        <f>H54*F54</f>
        <v>0</v>
      </c>
    </row>
    <row r="55" ht="14.25" customHeight="1">
      <c r="A55">
        <f>A54+1</f>
        <v>14</v>
      </c>
      <c r="B55" t="str">
        <v>Clean up to MCN dumpster</v>
      </c>
      <c r="C55" t="str">
        <v>Y</v>
      </c>
      <c r="I55" s="8">
        <f>H55*F55</f>
        <v>0</v>
      </c>
    </row>
    <row r="56" ht="14.25" customHeight="1">
      <c r="A56">
        <f>A55+1</f>
        <v>15</v>
      </c>
      <c r="B56" t="str">
        <v xml:space="preserve"> </v>
      </c>
      <c r="C56" t="str">
        <v>Y</v>
      </c>
      <c r="I56" s="8">
        <f>H56*F56</f>
        <v>0</v>
      </c>
    </row>
    <row r="57" ht="14.25" customHeight="1">
      <c r="A57">
        <f>A56+1</f>
        <v>16</v>
      </c>
      <c r="B57" t="str">
        <v>LEED Issues:</v>
      </c>
      <c r="C57" t="str">
        <v>Y</v>
      </c>
      <c r="I57" s="8">
        <f>H57*F57</f>
        <v>0</v>
      </c>
    </row>
    <row r="58" ht="14.25" customHeight="1">
      <c r="A58">
        <f>A57+1</f>
        <v>17</v>
      </c>
      <c r="B58" t="str">
        <v>FSC-certified lumber</v>
      </c>
      <c r="C58" t="str">
        <v>Y</v>
      </c>
      <c r="I58" s="8">
        <f>H58*F58</f>
        <v>0</v>
      </c>
    </row>
    <row r="59" ht="14.25" customHeight="1">
      <c r="A59">
        <f>A58+1</f>
        <v>18</v>
      </c>
      <c r="B59" t="str">
        <v>No CCA pressure treatment for lumber</v>
      </c>
      <c r="C59" t="str">
        <v>Y</v>
      </c>
      <c r="I59" s="8">
        <f>H59*F59</f>
        <v>0</v>
      </c>
    </row>
    <row r="60" ht="14.25" customHeight="1">
      <c r="A60">
        <f>A59+1</f>
        <v>19</v>
      </c>
      <c r="B60" t="str">
        <v>Plywood/substrates free of urea formaldehyde</v>
      </c>
      <c r="C60" t="str">
        <v>Y</v>
      </c>
      <c r="I60" s="8">
        <f>H60*F60</f>
        <v>0</v>
      </c>
    </row>
    <row r="61" ht="14.25" customHeight="1">
      <c r="A61">
        <f>A60+1</f>
        <v>20</v>
      </c>
      <c r="B61" t="str">
        <v>Low VOC adhesives</v>
      </c>
      <c r="C61" t="str">
        <v>Y</v>
      </c>
      <c r="I61" s="8">
        <f>H61*F61</f>
        <v>0</v>
      </c>
    </row>
    <row r="62" ht="14.25" customHeight="1">
      <c r="A62">
        <f>A61+1</f>
        <v>21</v>
      </c>
      <c r="B62" t="str">
        <v>Sorting of debris for recycling</v>
      </c>
      <c r="C62" t="str">
        <v>Y</v>
      </c>
      <c r="I62" s="8">
        <f>H62*F62</f>
        <v>0</v>
      </c>
    </row>
    <row r="63" ht="14.25" customHeight="1">
      <c r="A63">
        <f>A62+1</f>
        <v>22</v>
      </c>
      <c r="B63" t="str">
        <v>LEED documentation</v>
      </c>
      <c r="C63" t="str">
        <v>Y</v>
      </c>
      <c r="I63" s="8">
        <f>H63*F63</f>
        <v>0</v>
      </c>
    </row>
    <row r="64" ht="14.25" customHeight="1">
      <c r="I64" s="8">
        <f>H64*F64</f>
        <v>0</v>
      </c>
    </row>
    <row r="65" ht="14.25" customHeight="1">
      <c r="A65" t="str">
        <v>C</v>
      </c>
      <c r="B65" t="str">
        <v>Exclusions</v>
      </c>
    </row>
    <row r="66" ht="14.25" customHeight="1">
      <c r="A66">
        <v>1</v>
      </c>
      <c r="C66" t="str">
        <v>N</v>
      </c>
    </row>
    <row r="67" ht="14.25" customHeight="1">
      <c r="A67">
        <f>A66+1</f>
        <v>2</v>
      </c>
      <c r="C67" t="str">
        <v>N</v>
      </c>
    </row>
    <row r="68" ht="14.25" customHeight="1">
      <c r="A68">
        <f>A67+1</f>
        <v>3</v>
      </c>
      <c r="C68" t="str">
        <v>N</v>
      </c>
    </row>
    <row r="69" ht="14.25" customHeight="1">
      <c r="A69">
        <f>A68+1</f>
        <v>4</v>
      </c>
      <c r="C69" t="str">
        <v>N</v>
      </c>
    </row>
    <row r="70" ht="14.25" customHeight="1">
      <c r="A70">
        <f>A69+1</f>
        <v>5</v>
      </c>
      <c r="C70" t="str">
        <v>N</v>
      </c>
    </row>
    <row r="71" ht="14.25" customHeight="1">
      <c r="A71">
        <f>A70+1</f>
        <v>6</v>
      </c>
      <c r="C71" t="str">
        <v>N</v>
      </c>
    </row>
    <row r="72" ht="14.25" customHeight="1">
      <c r="A72">
        <f>A71+1</f>
        <v>7</v>
      </c>
      <c r="C72" t="str">
        <v>N</v>
      </c>
    </row>
    <row r="73" ht="14.25" customHeight="1">
      <c r="A73">
        <f>A72+1</f>
        <v>8</v>
      </c>
      <c r="C73" t="str">
        <v>N</v>
      </c>
    </row>
    <row r="74" ht="14.25" customHeight="1"/>
    <row r="75" ht="14.25" customHeight="1">
      <c r="A75" t="str">
        <v>D</v>
      </c>
      <c r="B75" t="str">
        <v>Schedule</v>
      </c>
    </row>
    <row r="76" ht="14.25" customHeight="1">
      <c r="A76">
        <v>1</v>
      </c>
      <c r="B76" t="str">
        <v>Meet MCN Schedule</v>
      </c>
      <c r="C76" t="str">
        <v>Y</v>
      </c>
    </row>
    <row r="77" ht="14.25" customHeight="1">
      <c r="A77">
        <f>A76+1</f>
        <v>2</v>
      </c>
      <c r="B77" t="str">
        <v>Advise of Durations</v>
      </c>
    </row>
    <row r="78" ht="14.25" customHeight="1">
      <c r="A78">
        <f>A77+1</f>
        <v>3</v>
      </c>
      <c r="B78" t="str">
        <v>Activity 1</v>
      </c>
      <c r="C78" t="str">
        <v>---&gt;</v>
      </c>
    </row>
    <row r="79" ht="14.25" customHeight="1">
      <c r="A79">
        <f>A78+1</f>
        <v>4</v>
      </c>
      <c r="B79" t="str">
        <v>Activity 2</v>
      </c>
      <c r="C79" t="str">
        <v>---&gt;</v>
      </c>
    </row>
    <row r="80" ht="14.25" customHeight="1">
      <c r="A80">
        <f>A79+1</f>
        <v>5</v>
      </c>
      <c r="B80" t="str">
        <v>Activity 3</v>
      </c>
      <c r="C80" t="str">
        <v>---&gt;</v>
      </c>
    </row>
    <row r="81" ht="14.25" customHeight="1">
      <c r="A81">
        <f>A80+1</f>
        <v>6</v>
      </c>
      <c r="B81" t="str">
        <v>Duration for Submittals and Shop Drawings</v>
      </c>
      <c r="C81" t="str">
        <v>---&gt;</v>
      </c>
    </row>
    <row r="82" ht="14.25" customHeight="1">
      <c r="A82">
        <f>A81+1</f>
        <v>7</v>
      </c>
      <c r="B82" t="str">
        <v>Advise of Lead Times:</v>
      </c>
    </row>
    <row r="83" ht="14.25" customHeight="1">
      <c r="A83">
        <f>A82+1</f>
        <v>8</v>
      </c>
      <c r="B83" t="str">
        <v>Material 1</v>
      </c>
      <c r="C83" t="str">
        <v>---&gt;</v>
      </c>
    </row>
    <row r="84" ht="14.25" customHeight="1">
      <c r="A84">
        <f>A83+1</f>
        <v>9</v>
      </c>
      <c r="B84" t="str">
        <v>Material 2</v>
      </c>
      <c r="C84" t="str">
        <v>---&gt;</v>
      </c>
    </row>
    <row r="85" ht="14.25" customHeight="1">
      <c r="A85">
        <f>A84+1</f>
        <v>10</v>
      </c>
      <c r="B85" t="str">
        <v>Material 3</v>
      </c>
      <c r="C85" t="str">
        <v>---&gt;</v>
      </c>
    </row>
    <row r="86" ht="14.25" customHeight="1"/>
    <row r="87" ht="14.25" customHeight="1"/>
    <row r="88" ht="14.25" customHeight="1">
      <c r="B88" t="str">
        <v>Allowances</v>
      </c>
    </row>
    <row r="89" ht="14.25" customHeight="1">
      <c r="A89">
        <v>1</v>
      </c>
    </row>
    <row r="90" ht="14.25" customHeight="1">
      <c r="A90">
        <f>A89+1</f>
        <v>2</v>
      </c>
    </row>
    <row r="91" ht="14.25" customHeight="1">
      <c r="A91">
        <f>A90+1</f>
        <v>3</v>
      </c>
    </row>
    <row r="92" ht="14.25" customHeight="1">
      <c r="A92">
        <f>A91+1</f>
        <v>4</v>
      </c>
    </row>
    <row r="93" ht="14.25" customHeight="1"/>
    <row r="94" ht="14.25" customHeight="1"/>
    <row r="95" ht="14.25" customHeight="1">
      <c r="B95" t="str">
        <v>Alternates</v>
      </c>
    </row>
    <row r="96" ht="14.25" customHeight="1">
      <c r="A96">
        <v>1</v>
      </c>
      <c r="C96" t="str">
        <v>#</v>
      </c>
    </row>
    <row r="97" ht="14.25" customHeight="1">
      <c r="A97">
        <f>A96+1</f>
        <v>2</v>
      </c>
      <c r="C97" t="str">
        <v>#</v>
      </c>
    </row>
    <row r="98" ht="14.25" customHeight="1">
      <c r="A98">
        <f>A97+1</f>
        <v>3</v>
      </c>
      <c r="C98" t="str">
        <v>#</v>
      </c>
    </row>
    <row r="99" ht="14.25" customHeight="1">
      <c r="A99">
        <f>A98+1</f>
        <v>4</v>
      </c>
      <c r="C99" t="str">
        <v>#</v>
      </c>
    </row>
    <row r="100" ht="14.25" customHeight="1">
      <c r="C100" t="str">
        <v>#</v>
      </c>
    </row>
    <row r="101" ht="14.25" customHeight="1">
      <c r="B101" t="str">
        <v>Unit Prices</v>
      </c>
    </row>
    <row r="102" ht="14.25" customHeight="1">
      <c r="A102">
        <v>1</v>
      </c>
      <c r="C102" t="str">
        <v>#</v>
      </c>
    </row>
    <row r="103" ht="14.25" customHeight="1">
      <c r="A103">
        <f>A102+1</f>
        <v>2</v>
      </c>
      <c r="C103" t="str">
        <v>#</v>
      </c>
    </row>
    <row r="104" ht="14.25" customHeight="1">
      <c r="A104">
        <f>A103+1</f>
        <v>3</v>
      </c>
      <c r="C104" t="str">
        <v>#</v>
      </c>
    </row>
    <row r="105" ht="14.25" customHeight="1">
      <c r="A105">
        <f>A104+1</f>
        <v>4</v>
      </c>
      <c r="C105" t="str">
        <v>#</v>
      </c>
    </row>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8.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08 - GLASS &amp; GLAZING</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SUM(I20:I81,I13:I18)</f>
        <v>0</v>
      </c>
      <c r="K7" t="str">
        <v>Adjustments:</v>
      </c>
      <c r="L7" s="4">
        <f>SUM(L13:L18,L20:L81)</f>
        <v>0</v>
      </c>
      <c r="N7" t="str">
        <v>Adjustments:</v>
      </c>
      <c r="O7" s="4">
        <f>SUM(O13:O18,O20:O81)</f>
        <v>0</v>
      </c>
      <c r="Q7" t="str">
        <v>Adjustments:</v>
      </c>
      <c r="R7" s="4">
        <f>SUM(R13:R18,R20:R81)</f>
        <v>0</v>
      </c>
      <c r="T7" t="str">
        <v>Adjustments:</v>
      </c>
      <c r="U7" s="4">
        <f>SUM(U13:U18,U20:U81)</f>
        <v>0</v>
      </c>
      <c r="W7" t="str">
        <v>Adjustments:</v>
      </c>
      <c r="X7" s="4">
        <f>SUM(X13:X18,X20:X81)</f>
        <v>0</v>
      </c>
      <c r="Z7" t="str">
        <v>Adjustments:</v>
      </c>
      <c r="AA7" s="4">
        <f>SUM(AA13:AA18,AA20:AA81)</f>
        <v>0</v>
      </c>
      <c r="AC7" t="str">
        <v>Adjustments:</v>
      </c>
      <c r="AD7" s="4">
        <f>SUM(AD13:AD18,AD20:AD81)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Scope</v>
      </c>
      <c r="C43" t="str">
        <v>Y</v>
      </c>
      <c r="I43" s="8">
        <f>H43*F43</f>
        <v>0</v>
      </c>
    </row>
    <row r="44" ht="14.25" customHeight="1">
      <c r="A44">
        <f>A43+1</f>
        <v>3</v>
      </c>
      <c r="B44" t="str">
        <v>Scope</v>
      </c>
      <c r="C44" t="str">
        <v>Y</v>
      </c>
      <c r="I44" s="8">
        <f>H44*F44</f>
        <v>0</v>
      </c>
    </row>
    <row r="45" ht="14.25" customHeight="1">
      <c r="A45">
        <f>A44+1</f>
        <v>4</v>
      </c>
      <c r="B45" t="str">
        <v>Scope</v>
      </c>
      <c r="C45" t="str">
        <v>Y</v>
      </c>
      <c r="I45" s="8">
        <f>H45*F45</f>
        <v>0</v>
      </c>
    </row>
    <row r="46" ht="14.25" customHeight="1">
      <c r="A46">
        <f>A45+1</f>
        <v>5</v>
      </c>
      <c r="B46" t="str">
        <v>Scope</v>
      </c>
      <c r="C46" t="str">
        <v>Y</v>
      </c>
      <c r="I46" s="8">
        <f>H46*F46</f>
        <v>0</v>
      </c>
    </row>
    <row r="47" ht="14.25" customHeight="1">
      <c r="A47">
        <f>A46+1</f>
        <v>6</v>
      </c>
      <c r="B47" t="str">
        <v>Scope</v>
      </c>
      <c r="C47" t="str">
        <v>Y</v>
      </c>
      <c r="I47" s="8">
        <f>H47*F47</f>
        <v>0</v>
      </c>
    </row>
    <row r="48" ht="14.25" customHeight="1">
      <c r="A48">
        <f>A47+1</f>
        <v>7</v>
      </c>
      <c r="C48" t="str">
        <v>Y</v>
      </c>
      <c r="I48" s="8">
        <f>H48*F48</f>
        <v>0</v>
      </c>
    </row>
    <row r="49" ht="14.25" customHeight="1">
      <c r="A49">
        <f>A48+1</f>
        <v>8</v>
      </c>
      <c r="B49" t="str">
        <v>STANDARD / GENERAL SCOPE</v>
      </c>
      <c r="C49" t="str">
        <v>Y</v>
      </c>
      <c r="I49" s="8">
        <f>H49*F49</f>
        <v>0</v>
      </c>
    </row>
    <row r="50" ht="14.25" customHeight="1">
      <c r="A50">
        <f>A49+1</f>
        <v>9</v>
      </c>
      <c r="C50" t="str">
        <v>Y</v>
      </c>
      <c r="I50" s="8">
        <f>H50*F50</f>
        <v>0</v>
      </c>
    </row>
    <row r="51" ht="14.25" customHeight="1">
      <c r="A51">
        <f>A50+1</f>
        <v>10</v>
      </c>
      <c r="C51" t="str">
        <v>Y</v>
      </c>
      <c r="I51" s="8">
        <f>H51*F51</f>
        <v>0</v>
      </c>
    </row>
    <row r="52" ht="14.25" customHeight="1">
      <c r="I52" s="8">
        <f>H52*F52</f>
        <v>0</v>
      </c>
    </row>
    <row r="53" ht="14.25" customHeight="1">
      <c r="A53" t="str">
        <v>C</v>
      </c>
      <c r="B53" t="str">
        <v>Exclusions</v>
      </c>
    </row>
    <row r="54" ht="14.25" customHeight="1">
      <c r="A54">
        <v>1</v>
      </c>
      <c r="C54" t="str">
        <v>N</v>
      </c>
    </row>
    <row r="55" ht="14.25" customHeight="1">
      <c r="A55">
        <f>A54+1</f>
        <v>2</v>
      </c>
      <c r="C55" t="str">
        <v>N</v>
      </c>
    </row>
    <row r="56" ht="14.25" customHeight="1">
      <c r="A56">
        <f>A55+1</f>
        <v>3</v>
      </c>
      <c r="C56" t="str">
        <v>N</v>
      </c>
    </row>
    <row r="57" ht="14.25" customHeight="1">
      <c r="A57">
        <f>A56+1</f>
        <v>4</v>
      </c>
      <c r="C57" t="str">
        <v>N</v>
      </c>
    </row>
    <row r="58" ht="14.25" customHeight="1">
      <c r="A58">
        <f>A57+1</f>
        <v>5</v>
      </c>
      <c r="C58" t="str">
        <v>N</v>
      </c>
    </row>
    <row r="59" ht="14.25" customHeight="1">
      <c r="A59">
        <f>A58+1</f>
        <v>6</v>
      </c>
      <c r="C59" t="str">
        <v>N</v>
      </c>
    </row>
    <row r="60" ht="14.25" customHeight="1">
      <c r="A60">
        <f>A59+1</f>
        <v>7</v>
      </c>
      <c r="C60" t="str">
        <v>N</v>
      </c>
    </row>
    <row r="61" ht="14.25" customHeight="1">
      <c r="A61">
        <f>A60+1</f>
        <v>8</v>
      </c>
      <c r="C61" t="str">
        <v>N</v>
      </c>
    </row>
    <row r="62" ht="14.25" customHeight="1"/>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Activity 1</v>
      </c>
      <c r="C66" t="str">
        <v>---&gt;</v>
      </c>
    </row>
    <row r="67" ht="14.25" customHeight="1">
      <c r="A67">
        <f>A66+1</f>
        <v>4</v>
      </c>
      <c r="B67" t="str">
        <v>Activity 2</v>
      </c>
      <c r="C67" t="str">
        <v>---&gt;</v>
      </c>
    </row>
    <row r="68" ht="14.25" customHeight="1">
      <c r="A68">
        <f>A67+1</f>
        <v>5</v>
      </c>
      <c r="B68" t="str">
        <v>Activity 3</v>
      </c>
      <c r="C68" t="str">
        <v>---&gt;</v>
      </c>
    </row>
    <row r="69" ht="14.25" customHeight="1">
      <c r="A69">
        <f>A68+1</f>
        <v>6</v>
      </c>
      <c r="B69" t="str">
        <v>Duration for Submittals and Shop Drawings</v>
      </c>
      <c r="C69" t="str">
        <v>---&gt;</v>
      </c>
    </row>
    <row r="70" ht="14.25" customHeight="1">
      <c r="A70">
        <f>A69+1</f>
        <v>7</v>
      </c>
      <c r="B70" t="str">
        <v>Advise of Lead Times:</v>
      </c>
    </row>
    <row r="71" ht="14.25" customHeight="1">
      <c r="A71">
        <f>A70+1</f>
        <v>8</v>
      </c>
      <c r="B71" t="str">
        <v>Material 1</v>
      </c>
      <c r="C71" t="str">
        <v>---&gt;</v>
      </c>
    </row>
    <row r="72" ht="14.25" customHeight="1">
      <c r="A72">
        <f>A71+1</f>
        <v>9</v>
      </c>
      <c r="B72" t="str">
        <v>Material 2</v>
      </c>
      <c r="C72" t="str">
        <v>---&gt;</v>
      </c>
    </row>
    <row r="73" ht="14.25" customHeight="1">
      <c r="A73">
        <f>A72+1</f>
        <v>10</v>
      </c>
      <c r="B73" t="str">
        <v>Material 3</v>
      </c>
      <c r="C73" t="str">
        <v>---&gt;</v>
      </c>
    </row>
    <row r="74" ht="14.25" customHeight="1"/>
    <row r="75" ht="14.25" customHeight="1"/>
    <row r="76" ht="14.25" customHeight="1">
      <c r="B76" t="str">
        <v>Allowances</v>
      </c>
    </row>
    <row r="77" ht="14.25" customHeight="1">
      <c r="A77">
        <v>1</v>
      </c>
    </row>
    <row r="78" ht="14.25" customHeight="1">
      <c r="A78">
        <f>A77+1</f>
        <v>2</v>
      </c>
    </row>
    <row r="79" ht="14.25" customHeight="1">
      <c r="A79">
        <f>A78+1</f>
        <v>3</v>
      </c>
    </row>
    <row r="80" ht="14.25" customHeight="1">
      <c r="A80">
        <f>A79+1</f>
        <v>4</v>
      </c>
    </row>
    <row r="81" ht="14.25" customHeight="1"/>
    <row r="82" ht="14.25" customHeight="1"/>
    <row r="83" ht="14.25" customHeight="1">
      <c r="B83" t="str">
        <v>Alternates</v>
      </c>
    </row>
    <row r="84" ht="14.25" customHeight="1">
      <c r="A84">
        <v>1</v>
      </c>
      <c r="C84" t="str">
        <v>#</v>
      </c>
    </row>
    <row r="85" ht="14.25" customHeight="1">
      <c r="A85">
        <f>A84+1</f>
        <v>2</v>
      </c>
      <c r="C85" t="str">
        <v>#</v>
      </c>
    </row>
    <row r="86" ht="14.25" customHeight="1">
      <c r="A86">
        <f>A85+1</f>
        <v>3</v>
      </c>
      <c r="C86" t="str">
        <v>#</v>
      </c>
    </row>
    <row r="87" ht="14.25" customHeight="1">
      <c r="A87">
        <f>A86+1</f>
        <v>4</v>
      </c>
      <c r="C87" t="str">
        <v>#</v>
      </c>
    </row>
    <row r="88" ht="14.25" customHeight="1">
      <c r="C88" t="str">
        <v>#</v>
      </c>
    </row>
    <row r="89" ht="14.25" customHeight="1">
      <c r="B89" t="str">
        <v>Unit Prices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xl/worksheets/sheet79.xml><?xml version="1.0" encoding="utf-8"?>
<worksheet xmlns="http://schemas.openxmlformats.org/spreadsheetml/2006/main" xmlns:r="http://schemas.openxmlformats.org/officeDocument/2006/relationships">
  <dimension ref="A1:AO1000"/>
  <sheetViews>
    <sheetView workbookViewId="0" rightToLeft="0"/>
  </sheetViews>
  <cols>
    <col min="1" max="1" customWidth="1" width="10"/>
    <col min="2" max="2" customWidth="1" width="71.43"/>
    <col min="3" max="3" customWidth="1" width="9.14"/>
    <col min="4" max="4" customWidth="1" width="21"/>
    <col min="5" max="5" customWidth="1" width="0.14"/>
    <col min="6" max="6" customWidth="1" width="10.43" level="1" outlineLevel="1"/>
    <col min="7" max="7" customWidth="1" width="5.43" level="1" outlineLevel="1"/>
    <col min="8" max="8" customWidth="1" width="9.14" level="1" outlineLevel="1"/>
    <col min="9" max="9" customWidth="1" width="9.14" level="1" outlineLevel="1"/>
    <col min="10" max="10" customWidth="1" width="6.43"/>
    <col min="11" max="11" customWidth="1" width="14"/>
    <col min="12" max="12" customWidth="1" width="14"/>
    <col min="13" max="13" customWidth="1" width="6.43"/>
    <col min="14" max="14" customWidth="1" width="14"/>
    <col min="15" max="15" customWidth="1" width="14"/>
    <col min="16" max="16" customWidth="1" width="6.43"/>
    <col min="17" max="17" customWidth="1" width="14"/>
    <col min="18" max="18" customWidth="1" width="14"/>
    <col min="19" max="19" customWidth="1" width="6.43"/>
    <col min="20" max="20" customWidth="1" width="14"/>
    <col min="21" max="21" customWidth="1" width="14"/>
    <col min="22" max="22" customWidth="1" width="6.43"/>
    <col min="23" max="23" customWidth="1" width="14"/>
    <col min="24" max="24" customWidth="1" width="14"/>
    <col min="25" max="25" customWidth="1" width="6.43"/>
    <col min="26" max="26" customWidth="1" width="14"/>
    <col min="27" max="27" customWidth="1" width="14"/>
    <col min="28" max="28" customWidth="1" width="6.43"/>
    <col min="29" max="29" customWidth="1" width="14"/>
    <col min="30" max="30" customWidth="1" width="14"/>
    <col min="31" max="31" customWidth="1" width="9.14"/>
    <col min="32" max="32" customWidth="1" width="9.14"/>
    <col min="33" max="33" customWidth="1" width="9.14"/>
    <col min="34" max="34" customWidth="1" width="9.14"/>
    <col min="35" max="35" customWidth="1" width="18.43"/>
    <col min="36" max="36" customWidth="1" width="18.43"/>
    <col min="37" max="37" customWidth="1" width="18.43"/>
    <col min="38" max="38" customWidth="1" width="18.43"/>
    <col min="39" max="39" customWidth="1" width="18.43"/>
    <col min="40" max="40" customWidth="1" width="18.43"/>
    <col min="41" max="41" customWidth="1" width="18.43"/>
  </cols>
  <sheetData>
    <row r="1" ht="15" customHeight="1">
      <c r="A1" t="str">
        <v>Project:</v>
      </c>
      <c r="B1" t="str">
        <f>'Bid Sheet'!$C$2</f>
        <v>Jelleff Recreation Center</v>
      </c>
      <c r="I1" t="str">
        <v>Subcontractor:</v>
      </c>
      <c r="K1" t="str">
        <v>Bidder 1</v>
      </c>
      <c r="N1" t="str">
        <v>Bidder 2</v>
      </c>
      <c r="Q1" t="str">
        <v>Bidder 3</v>
      </c>
      <c r="T1" t="str">
        <v>Bidder 4</v>
      </c>
      <c r="W1" t="str">
        <v>Bidder 5</v>
      </c>
      <c r="Z1" t="str">
        <v>Bidder 6</v>
      </c>
      <c r="AC1" t="str">
        <v>Bidder 7</v>
      </c>
      <c r="AH1" t="str">
        <v>Bid Summary</v>
      </c>
      <c r="AJ1" t="str">
        <v>Base</v>
      </c>
      <c r="AK1" t="str">
        <v>Adj</v>
      </c>
      <c r="AL1" t="str">
        <v>Bond</v>
      </c>
      <c r="AM1" t="str">
        <v>Total</v>
      </c>
      <c r="AN1" t="str">
        <v>Cert %</v>
      </c>
      <c r="AO1" t="str">
        <v>Total $</v>
      </c>
    </row>
    <row r="2" ht="14.25" customHeight="1" outlineLevel="1">
      <c r="A2" t="str">
        <v>Bid Date:</v>
      </c>
      <c r="B2" s="7">
        <f>'Bid Sheet'!$K$1</f>
        <v>46054</v>
      </c>
      <c r="F2" t="str">
        <v>Return to Bid Sheet</v>
      </c>
      <c r="I2" t="str">
        <v>Contact:</v>
      </c>
      <c r="K2" t="str">
        <v>Name</v>
      </c>
      <c r="N2" t="str">
        <v>Name</v>
      </c>
      <c r="Q2" t="str">
        <v>Name</v>
      </c>
      <c r="T2" t="str">
        <v>Name</v>
      </c>
      <c r="W2" t="str">
        <v>Name</v>
      </c>
      <c r="Z2" t="str">
        <v>Name</v>
      </c>
      <c r="AC2" t="str">
        <v>Name</v>
      </c>
      <c r="AH2" t="str">
        <v>MCN</v>
      </c>
      <c r="AM2" s="8">
        <f>I9</f>
        <v>0</v>
      </c>
    </row>
    <row r="3" ht="14.25" customHeight="1" outlineLevel="1">
      <c r="I3" t="str">
        <v>Email:</v>
      </c>
      <c r="K3" t="str">
        <v>Email</v>
      </c>
      <c r="N3" t="str">
        <v>Email</v>
      </c>
      <c r="Q3" t="str">
        <v>Email</v>
      </c>
      <c r="T3" t="str">
        <v>Email</v>
      </c>
      <c r="W3" t="str">
        <v>Email</v>
      </c>
      <c r="Z3" t="str">
        <v>Email</v>
      </c>
      <c r="AC3" t="str">
        <v>Email</v>
      </c>
      <c r="AH3">
        <v>1</v>
      </c>
      <c r="AI3" t="str">
        <f>IFNA(INDEX($K$1:$AE$1,1,MATCH($AH3,$K$10:$AE$10,0)),"")</f>
        <v/>
      </c>
      <c r="AJ3" s="3" t="str">
        <f t="array" ref="AJ3">IFNA(INDEX($K$6:$AE$6,1,MATCH($AH3,$K$10:$AE$10,0)+1),"")</f>
        <v/>
      </c>
      <c r="AK3" s="3" t="str">
        <f t="array" ref="AK3">IFNA(INDEX($K$7:$AE$7,1,MATCH($AH3,$K$10:$AE$10,0)+1),"")</f>
        <v/>
      </c>
      <c r="AL3" s="3" t="str">
        <f t="array" ref="AL3">IFNA(INDEX($K$8:$AE$8,1,MATCH($AH3,$K$10:$AE$10,0)+1),"")</f>
        <v/>
      </c>
      <c r="AM3" s="3" t="str">
        <f t="array" ref="AM3">IFNA(INDEX($K$9:$AE$9,1,MATCH($AH3,$K$10:$AE$10,0)+1),"")</f>
        <v/>
      </c>
      <c r="AO3" s="9">
        <f>IFERROR(AN3*AM3,0)</f>
        <v>0</v>
      </c>
    </row>
    <row r="4" ht="14.25" customHeight="1" outlineLevel="1">
      <c r="A4" t="str">
        <v>Trade:</v>
      </c>
      <c r="B4" t="str">
        <v>08 - INT GLASS</v>
      </c>
      <c r="I4" t="str">
        <v>Phone:</v>
      </c>
      <c r="K4" t="str">
        <v>Number</v>
      </c>
      <c r="N4" t="str">
        <v>Number</v>
      </c>
      <c r="Q4" t="str">
        <v>Number</v>
      </c>
      <c r="T4" t="str">
        <v>Number</v>
      </c>
      <c r="W4" t="str">
        <v>Number</v>
      </c>
      <c r="Z4" t="str">
        <v>Number</v>
      </c>
      <c r="AC4" t="str">
        <v>Number</v>
      </c>
      <c r="AH4">
        <v>2</v>
      </c>
      <c r="AI4" t="str">
        <f>IFNA(INDEX($K$1:$AE$1,1,MATCH($AH4,$K$10:$AE$10,0)),"")</f>
        <v/>
      </c>
      <c r="AJ4" s="3" t="str">
        <f t="array" ref="AJ4">IFNA(INDEX($K$6:$AE$6,1,MATCH($AH4,$K$10:$AE$10,0)+1),"")</f>
        <v/>
      </c>
      <c r="AK4" s="3" t="str">
        <f t="array" ref="AK4">IFNA(INDEX($K$7:$AE$7,1,MATCH($AH4,$K$10:$AE$10,0)+1),"")</f>
        <v/>
      </c>
      <c r="AL4" s="3" t="str">
        <f t="array" ref="AL4">IFNA(INDEX($K$8:$AE$8,1,MATCH($AH4,$K$10:$AE$10,0)+1),"")</f>
        <v/>
      </c>
      <c r="AM4" s="3" t="str">
        <f t="array" ref="AM4">IFNA(INDEX($K$9:$AE$9,1,MATCH($AH4,$K$10:$AE$10,0)+1),"")</f>
        <v/>
      </c>
      <c r="AO4" s="9">
        <f>IFERROR(AN4*AM4,0)</f>
        <v>0</v>
      </c>
    </row>
    <row r="5" ht="14.25" customHeight="1" outlineLevel="1">
      <c r="A5" t="str">
        <v>Rev/Date:</v>
      </c>
      <c r="B5" t="str">
        <v>Date Issued MM-DD-YYYY</v>
      </c>
      <c r="C5" t="str">
        <v>Bidder:</v>
      </c>
      <c r="K5" t="str">
        <v>Level Scope?</v>
      </c>
      <c r="L5" s="4" t="str">
        <v>NO</v>
      </c>
      <c r="N5" t="str">
        <v>Level Scope?</v>
      </c>
      <c r="O5" s="4" t="str">
        <v>NO</v>
      </c>
      <c r="Q5" t="str">
        <v>Level Scope?</v>
      </c>
      <c r="R5" s="4" t="str">
        <v>NO</v>
      </c>
      <c r="T5" t="str">
        <v>Level Scope?</v>
      </c>
      <c r="U5" s="4" t="str">
        <v>NO</v>
      </c>
      <c r="W5" t="str">
        <v>Level Scope?</v>
      </c>
      <c r="X5" s="4" t="str">
        <v>NO</v>
      </c>
      <c r="Z5" t="str">
        <v>Level Scope?</v>
      </c>
      <c r="AA5" s="4" t="str">
        <v>NO</v>
      </c>
      <c r="AC5" t="str">
        <v>Level Scope?</v>
      </c>
      <c r="AD5" s="4" t="str">
        <v>NO</v>
      </c>
      <c r="AH5">
        <v>3</v>
      </c>
      <c r="AI5" t="str">
        <f>IFNA(INDEX($K$1:$AE$1,1,MATCH($AH5,$K$10:$AE$10,0)),"")</f>
        <v/>
      </c>
      <c r="AJ5" s="3" t="str">
        <f t="array" ref="AJ5">IFNA(INDEX($K$6:$AE$6,1,MATCH($AH5,$K$10:$AE$10,0)+1),"")</f>
        <v/>
      </c>
      <c r="AK5" s="3" t="str">
        <f t="array" ref="AK5">IFNA(INDEX($K$7:$AE$7,1,MATCH($AH5,$K$10:$AE$10,0)+1),"")</f>
        <v/>
      </c>
      <c r="AL5" s="3" t="str">
        <f t="array" ref="AL5">IFNA(INDEX($K$8:$AE$8,1,MATCH($AH5,$K$10:$AE$10,0)+1),"")</f>
        <v/>
      </c>
      <c r="AM5" s="3" t="str">
        <f t="array" ref="AM5">IFNA(INDEX($K$9:$AE$9,1,MATCH($AH5,$K$10:$AE$10,0)+1),"")</f>
        <v/>
      </c>
      <c r="AO5" s="9">
        <f>IFERROR(AN5*AM5,0)</f>
        <v>0</v>
      </c>
    </row>
    <row r="6" ht="14.25" customHeight="1" outlineLevel="1">
      <c r="K6" t="str">
        <v>Base Bid:</v>
      </c>
      <c r="N6" t="str">
        <v>Base Bid:</v>
      </c>
      <c r="Q6" t="str">
        <v>Base Bid:</v>
      </c>
      <c r="T6" t="str">
        <v>Base Bid:</v>
      </c>
      <c r="W6" t="str">
        <v>Base Bid:</v>
      </c>
      <c r="Z6" t="str">
        <v>Base Bid:</v>
      </c>
      <c r="AC6" t="str">
        <v>Base Bid:</v>
      </c>
      <c r="AH6">
        <v>4</v>
      </c>
      <c r="AI6" t="str">
        <f>IFNA(INDEX($K$1:$AE$1,1,MATCH($AH6,$K$10:$AE$10,0)),"")</f>
        <v/>
      </c>
      <c r="AJ6" s="3" t="str">
        <f t="array" ref="AJ6">IFNA(INDEX($K$6:$AE$6,1,MATCH($AH6,$K$10:$AE$10,0)+1),"")</f>
        <v/>
      </c>
      <c r="AK6" s="3" t="str">
        <f t="array" ref="AK6">IFNA(INDEX($K$7:$AE$7,1,MATCH($AH6,$K$10:$AE$10,0)+1),"")</f>
        <v/>
      </c>
      <c r="AL6" s="3" t="str">
        <f t="array" ref="AL6">IFNA(INDEX($K$8:$AE$8,1,MATCH($AH6,$K$10:$AE$10,0)+1),"")</f>
        <v/>
      </c>
      <c r="AM6" s="3" t="str">
        <f t="array" ref="AM6">IFNA(INDEX($K$9:$AE$9,1,MATCH($AH6,$K$10:$AE$10,0)+1),"")</f>
        <v/>
      </c>
      <c r="AO6" s="9">
        <f>IFERROR(AN6*AM6,0)</f>
        <v>0</v>
      </c>
    </row>
    <row r="7" ht="14.25" customHeight="1" outlineLevel="1">
      <c r="A7" t="str">
        <v>Contact:</v>
      </c>
      <c r="B7" t="str">
        <v>MCN Estimator Name</v>
      </c>
      <c r="C7" t="str">
        <v>Contact:</v>
      </c>
      <c r="G7" s="8" t="str">
        <v>| MCN Budget</v>
      </c>
      <c r="I7" s="8">
        <f>SUM(I20:I81,I13:I18)</f>
        <v>0</v>
      </c>
      <c r="K7" t="str">
        <v>Adjustments:</v>
      </c>
      <c r="L7" s="4">
        <f>SUM(L13:L18,L20:L81)</f>
        <v>0</v>
      </c>
      <c r="N7" t="str">
        <v>Adjustments:</v>
      </c>
      <c r="O7" s="4">
        <f>SUM(O13:O18,O20:O81)</f>
        <v>0</v>
      </c>
      <c r="Q7" t="str">
        <v>Adjustments:</v>
      </c>
      <c r="R7" s="4">
        <f>SUM(R13:R18,R20:R81)</f>
        <v>0</v>
      </c>
      <c r="T7" t="str">
        <v>Adjustments:</v>
      </c>
      <c r="U7" s="4">
        <f>SUM(U13:U18,U20:U81)</f>
        <v>0</v>
      </c>
      <c r="W7" t="str">
        <v>Adjustments:</v>
      </c>
      <c r="X7" s="4">
        <f>SUM(X13:X18,X20:X81)</f>
        <v>0</v>
      </c>
      <c r="Z7" t="str">
        <v>Adjustments:</v>
      </c>
      <c r="AA7" s="4">
        <f>SUM(AA13:AA18,AA20:AA81)</f>
        <v>0</v>
      </c>
      <c r="AC7" t="str">
        <v>Adjustments:</v>
      </c>
      <c r="AD7" s="4">
        <f>SUM(AD13:AD18,AD20:AD81)</f>
        <v>0</v>
      </c>
      <c r="AH7">
        <v>5</v>
      </c>
      <c r="AI7" t="str">
        <f>IFNA(INDEX($K$1:$AE$1,1,MATCH($AH7,$K$10:$AE$10,0)),"")</f>
        <v/>
      </c>
      <c r="AJ7" s="3" t="str">
        <f t="array" ref="AJ7">IFNA(INDEX($K$6:$AE$6,1,MATCH($AH7,$K$10:$AE$10,0)+1),"")</f>
        <v/>
      </c>
      <c r="AK7" s="3" t="str">
        <f t="array" ref="AK7">IFNA(INDEX($K$7:$AE$7,1,MATCH($AH7,$K$10:$AE$10,0)+1),"")</f>
        <v/>
      </c>
      <c r="AL7" s="3" t="str">
        <f t="array" ref="AL7">IFNA(INDEX($K$8:$AE$8,1,MATCH($AH7,$K$10:$AE$10,0)+1),"")</f>
        <v/>
      </c>
      <c r="AM7" s="3" t="str">
        <f t="array" ref="AM7">IFNA(INDEX($K$9:$AE$9,1,MATCH($AH7,$K$10:$AE$10,0)+1),"")</f>
        <v/>
      </c>
      <c r="AO7" s="9">
        <f>IFERROR(AN7*AM7,0)</f>
        <v>0</v>
      </c>
    </row>
    <row r="8" ht="15" customHeight="1" outlineLevel="1">
      <c r="A8" t="str">
        <v>Email:</v>
      </c>
      <c r="B8" t="str">
        <v>MCN email</v>
      </c>
      <c r="C8" t="str">
        <v>Email:</v>
      </c>
      <c r="F8" s="10">
        <v>0.02</v>
      </c>
      <c r="G8" s="8" t="str">
        <v>| Bond</v>
      </c>
      <c r="I8" s="8">
        <f>F8*I7</f>
        <v>0</v>
      </c>
      <c r="J8" s="10">
        <v>0.02</v>
      </c>
      <c r="K8" t="str">
        <v>Bond:</v>
      </c>
      <c r="L8" s="4">
        <f>J8*SUM(L6:L7)</f>
        <v>0</v>
      </c>
      <c r="M8" s="10">
        <v>0.02</v>
      </c>
      <c r="N8" t="str">
        <v>Bond:</v>
      </c>
      <c r="O8" s="4">
        <f>M8*SUM(O6:O7)</f>
        <v>0</v>
      </c>
      <c r="P8" s="10">
        <v>0.02</v>
      </c>
      <c r="Q8" t="str">
        <v>Bond:</v>
      </c>
      <c r="R8" s="4">
        <f>P8*SUM(R6:R7)</f>
        <v>0</v>
      </c>
      <c r="S8" s="10">
        <v>0.02</v>
      </c>
      <c r="T8" t="str">
        <v>Bond:</v>
      </c>
      <c r="U8" s="4">
        <f>S8*SUM(U6:U7)</f>
        <v>0</v>
      </c>
      <c r="V8" s="10">
        <v>0.02</v>
      </c>
      <c r="W8" t="str">
        <v>Bond:</v>
      </c>
      <c r="X8" s="4">
        <f>V8*SUM(X6:X7)</f>
        <v>0</v>
      </c>
      <c r="Y8" s="10">
        <v>0.02</v>
      </c>
      <c r="Z8" t="str">
        <v>Bond:</v>
      </c>
      <c r="AA8" s="4">
        <f>Y8*SUM(AA6:AA7)</f>
        <v>0</v>
      </c>
      <c r="AB8" s="10">
        <v>0.02</v>
      </c>
      <c r="AC8" t="str">
        <v>Bond:</v>
      </c>
      <c r="AD8" s="4">
        <f>AB8*SUM(AD6:AD7)</f>
        <v>0</v>
      </c>
      <c r="AH8">
        <v>6</v>
      </c>
      <c r="AI8" t="str">
        <f>IFNA(INDEX($K$1:$AE$1,1,MATCH($AH8,$K$10:$AE$10,0)),"")</f>
        <v/>
      </c>
      <c r="AJ8" s="3" t="str">
        <f t="array" ref="AJ8">IFNA(INDEX($K$6:$AE$6,1,MATCH($AH8,$K$10:$AE$10,0)+1),"")</f>
        <v/>
      </c>
      <c r="AK8" s="3" t="str">
        <f t="array" ref="AK8">IFNA(INDEX($K$7:$AE$7,1,MATCH($AH8,$K$10:$AE$10,0)+1),"")</f>
        <v/>
      </c>
      <c r="AL8" s="3" t="str">
        <f t="array" ref="AL8">IFNA(INDEX($K$8:$AE$8,1,MATCH($AH8,$K$10:$AE$10,0)+1),"")</f>
        <v/>
      </c>
      <c r="AM8" s="3" t="str">
        <f t="array" ref="AM8">IFNA(INDEX($K$9:$AE$9,1,MATCH($AH8,$K$10:$AE$10,0)+1),"")</f>
        <v/>
      </c>
      <c r="AO8" s="9">
        <f>IFERROR(AN8*AM8,0)</f>
        <v>0</v>
      </c>
    </row>
    <row r="9" ht="15" customHeight="1" outlineLevel="1">
      <c r="A9" t="str">
        <v>Phone:</v>
      </c>
      <c r="B9" t="str">
        <v>MCN Cell</v>
      </c>
      <c r="C9" t="str">
        <v>Phone:</v>
      </c>
      <c r="G9" t="str">
        <v>-----</v>
      </c>
      <c r="H9" s="8" t="str">
        <v xml:space="preserve">  --------&gt;</v>
      </c>
      <c r="I9" s="8">
        <f>SUM(I7:I8)</f>
        <v>0</v>
      </c>
      <c r="K9" t="str">
        <v>Total Bid:</v>
      </c>
      <c r="L9" s="4" t="str">
        <f>IF(L5="FULL SCOPE",SUM(L6:L8),"not level")</f>
        <v>not level</v>
      </c>
      <c r="N9" t="str">
        <v>Total Bid:</v>
      </c>
      <c r="O9" s="4" t="str">
        <f>IF(O5="FULL SCOPE",SUM(O6:O8),"not level")</f>
        <v>not level</v>
      </c>
      <c r="Q9" t="str">
        <v>Total Bid:</v>
      </c>
      <c r="R9" s="4" t="str">
        <f>IF(R5="FULL SCOPE",SUM(R6:R8),"not level")</f>
        <v>not level</v>
      </c>
      <c r="T9" t="str">
        <v>Total Bid:</v>
      </c>
      <c r="U9" s="4" t="str">
        <f>IF(U5="FULL SCOPE",SUM(U6:U8),"not level")</f>
        <v>not level</v>
      </c>
      <c r="W9" t="str">
        <v>Total Bid:</v>
      </c>
      <c r="X9" s="4" t="str">
        <f>IF(X5="FULL SCOPE",SUM(X6:X8),"not level")</f>
        <v>not level</v>
      </c>
      <c r="Z9" t="str">
        <v>Total Bid:</v>
      </c>
      <c r="AA9" s="4" t="str">
        <f>IF(AA5="FULL SCOPE",SUM(AA6:AA8),"not level")</f>
        <v>not level</v>
      </c>
      <c r="AC9" t="str">
        <v>Total Bid:</v>
      </c>
      <c r="AD9" s="4" t="str">
        <f>IF(AD5="FULL SCOPE",SUM(AD6:AD8),"not level")</f>
        <v>not level</v>
      </c>
      <c r="AH9">
        <v>7</v>
      </c>
      <c r="AI9" t="str">
        <f>IFNA(INDEX($K$1:$AE$1,1,MATCH($AH9,$K$10:$AE$10,0)),"")</f>
        <v/>
      </c>
      <c r="AJ9" s="3" t="str">
        <f t="array" ref="AJ9">IFNA(INDEX($K$6:$AE$6,1,MATCH($AH9,$K$10:$AE$10,0)+1),"")</f>
        <v/>
      </c>
      <c r="AK9" s="3" t="str">
        <f t="array" ref="AK9">IFNA(INDEX($K$7:$AE$7,1,MATCH($AH9,$K$10:$AE$10,0)+1),"")</f>
        <v/>
      </c>
      <c r="AL9" s="3" t="str">
        <f t="array" ref="AL9">IFNA(INDEX($K$8:$AE$8,1,MATCH($AH9,$K$10:$AE$10,0)+1),"")</f>
        <v/>
      </c>
      <c r="AM9" s="3" t="str">
        <f t="array" ref="AM9">IFNA(INDEX($K$9:$AE$9,1,MATCH($AH9,$K$10:$AE$10,0)+1),"")</f>
        <v/>
      </c>
      <c r="AO9" s="9">
        <f>IFERROR(AN9*AM9,0)</f>
        <v>0</v>
      </c>
    </row>
    <row r="10" hidden="1" ht="14.25" customHeight="1" outlineLevel="1">
      <c r="A10" t="str">
        <v>HIDE</v>
      </c>
      <c r="B10" t="str">
        <v>Rank</v>
      </c>
      <c r="D10" t="str">
        <v>HIDE</v>
      </c>
      <c r="F10" t="str">
        <v>HIDE</v>
      </c>
      <c r="H10" s="8" t="str">
        <v>HIDE</v>
      </c>
      <c r="I10" s="8" t="str">
        <v>RANK</v>
      </c>
      <c r="K10" t="str">
        <f>IF(L5="NO","INCOMPLETE",RANK.EQ(L9,$L$9:$AE$9,1))</f>
        <v>INCOMPLETE</v>
      </c>
      <c r="N10" t="str">
        <f>IF(O5="NO","INCOMPLETE",RANK.EQ(O9,$L$9:$AE$9,1))</f>
        <v>INCOMPLETE</v>
      </c>
      <c r="Q10" t="str">
        <f>IF(R5="NO","INCOMPLETE",RANK.EQ(R9,$L$9:$AE$9,1))</f>
        <v>INCOMPLETE</v>
      </c>
      <c r="T10" t="str">
        <f>IF(U5="NO","INCOMPLETE",RANK.EQ(U9,$L$9:$AE$9,1))</f>
        <v>INCOMPLETE</v>
      </c>
      <c r="W10" t="str">
        <f>IF(X5="NO","INCOMPLETE",RANK.EQ(X9,$L$9:$AE$9,1))</f>
        <v>INCOMPLETE</v>
      </c>
      <c r="Z10" t="str">
        <f>IF(AA5="NO","INCOMPLETE",RANK.EQ(AA9,$L$9:$AE$9,1))</f>
        <v>INCOMPLETE</v>
      </c>
      <c r="AC10" t="str">
        <f>IF(AD5="NO","INCOMPLETE",RANK.EQ(AD9,$L$9:$AE$9,1))</f>
        <v>INCOMPLETE</v>
      </c>
    </row>
    <row r="11" ht="14.25" customHeight="1" outlineLevel="1">
      <c r="F11" t="str">
        <v>MCN Budget</v>
      </c>
    </row>
    <row r="12" ht="14.25" customHeight="1" xml:space="preserve">
      <c r="A12" t="str" xml:space="preserve">
        <v xml:space="preserve">Scope Items to include, 
but not necessarily limted to the following:</v>
      </c>
      <c r="C12" t="str" xml:space="preserve">
        <v xml:space="preserve">Desired
Scope</v>
      </c>
      <c r="D12" t="str" xml:space="preserve">
        <v xml:space="preserve">Response 
/ Comment</v>
      </c>
      <c r="F12" t="str">
        <v>QTY</v>
      </c>
      <c r="G12" t="str">
        <v>UOM</v>
      </c>
      <c r="H12" t="str" xml:space="preserve">
        <v xml:space="preserve">$
/UOM</v>
      </c>
      <c r="I12" t="str">
        <v>COST</v>
      </c>
      <c r="J12" t="str">
        <v>Y/N/P</v>
      </c>
      <c r="K12" t="str">
        <v>Note</v>
      </c>
      <c r="L12" s="8" t="str">
        <v>Adjustment</v>
      </c>
      <c r="M12" t="str">
        <v>Y/N/P</v>
      </c>
      <c r="N12" t="str">
        <v>Note</v>
      </c>
      <c r="O12" s="8" t="str">
        <v>Adjustment</v>
      </c>
      <c r="P12" t="str">
        <v>Y/N/P</v>
      </c>
      <c r="Q12" t="str">
        <v>Note</v>
      </c>
      <c r="R12" s="8" t="str">
        <v>Adjustment</v>
      </c>
      <c r="S12" t="str">
        <v>Y/N/P</v>
      </c>
      <c r="T12" t="str">
        <v>Note</v>
      </c>
      <c r="U12" s="8" t="str">
        <v>Adjustment</v>
      </c>
      <c r="V12" t="str">
        <v>Y/N/P</v>
      </c>
      <c r="W12" t="str">
        <v>Note</v>
      </c>
      <c r="X12" s="8" t="str">
        <v>Adjustment</v>
      </c>
      <c r="Y12" t="str">
        <v>Y/N/P</v>
      </c>
      <c r="Z12" t="str">
        <v>Note</v>
      </c>
      <c r="AA12" s="8" t="str">
        <v>Adjustment</v>
      </c>
      <c r="AB12" t="str">
        <v>Y/N/P</v>
      </c>
      <c r="AC12" t="str">
        <v>Note</v>
      </c>
      <c r="AD12" s="8" t="str">
        <v>Adjustment</v>
      </c>
    </row>
    <row r="13" ht="14.25" customHeight="1"/>
    <row r="14" ht="14.25" customHeight="1">
      <c r="B14" t="str">
        <v>Section 1 - General</v>
      </c>
    </row>
    <row r="15" ht="14.25" customHeight="1"/>
    <row r="16" ht="14.25" customHeight="1">
      <c r="A16">
        <f>A15+1</f>
        <v>1</v>
      </c>
      <c r="B16" t="str">
        <v>Acknowledge receipt and completition of the Building Connected General Bid Form with list of Drawings, Specs, Reports, Exhibits, Instructions to Bidders, RFIs and Bid Notices as applicable, Schedule, Logistics plan, and other information required for Bid</v>
      </c>
      <c r="C16" t="str">
        <v>Y</v>
      </c>
    </row>
    <row r="17" ht="14.25" customHeight="1"/>
    <row r="18" ht="14.25" customHeight="1">
      <c r="B18" t="str">
        <v>Section 2 - Bid Breakdown</v>
      </c>
    </row>
    <row r="19" ht="14.25" customHeight="1">
      <c r="A19">
        <v>1</v>
      </c>
      <c r="B19" t="str">
        <v>Base Bid</v>
      </c>
      <c r="C19" t="str">
        <v>#</v>
      </c>
      <c r="D19" t="str">
        <v>$</v>
      </c>
      <c r="F19" t="str">
        <v>xxx</v>
      </c>
      <c r="G19" t="str">
        <v>xx</v>
      </c>
      <c r="H19" s="8" t="str">
        <v>xxx</v>
      </c>
      <c r="I19" s="8" t="str">
        <v>xxx</v>
      </c>
      <c r="L19" s="8" t="str">
        <f>L6</f>
        <v/>
      </c>
      <c r="O19" s="8" t="str">
        <f>O6</f>
        <v/>
      </c>
      <c r="R19" s="8" t="str">
        <f>R6</f>
        <v/>
      </c>
      <c r="U19" s="8" t="str">
        <f>U6</f>
        <v/>
      </c>
      <c r="X19" s="8" t="str">
        <f>X6</f>
        <v/>
      </c>
      <c r="AA19" s="8" t="str">
        <f>AA6</f>
        <v/>
      </c>
      <c r="AD19" s="8" t="str">
        <f>AD6</f>
        <v/>
      </c>
    </row>
    <row r="20" ht="14.25" customHeight="1">
      <c r="A20">
        <f>A19+1</f>
        <v>2</v>
      </c>
      <c r="I20" s="8">
        <f>H20*F20</f>
        <v>0</v>
      </c>
    </row>
    <row r="21" ht="14.25" customHeight="1">
      <c r="A21">
        <f>A20+1</f>
        <v>3</v>
      </c>
      <c r="B21" t="str">
        <v>Key Cost Breakdown</v>
      </c>
      <c r="I21" s="8">
        <f>H21*F21</f>
        <v>0</v>
      </c>
    </row>
    <row r="22" ht="14.25" customHeight="1">
      <c r="A22">
        <f>A21+1</f>
        <v>4</v>
      </c>
      <c r="B22" t="str">
        <v>Building</v>
      </c>
      <c r="C22" t="str">
        <v>#</v>
      </c>
      <c r="D22" t="str">
        <v>$</v>
      </c>
      <c r="I22" s="8">
        <f>H22*F22</f>
        <v>0</v>
      </c>
    </row>
    <row r="23" ht="14.25" customHeight="1">
      <c r="A23">
        <f>A22+1</f>
        <v>5</v>
      </c>
      <c r="B23" t="str">
        <v>Garage</v>
      </c>
      <c r="C23" t="str">
        <v>#</v>
      </c>
      <c r="D23" t="str">
        <v>$</v>
      </c>
      <c r="I23" s="8">
        <f>H23*F23</f>
        <v>0</v>
      </c>
    </row>
    <row r="24" ht="14.25" customHeight="1">
      <c r="A24">
        <f>A23+1</f>
        <v>6</v>
      </c>
      <c r="B24" t="str">
        <v>Site</v>
      </c>
      <c r="C24" t="str">
        <v>#</v>
      </c>
      <c r="D24" t="str">
        <v>$</v>
      </c>
      <c r="I24" s="8">
        <f>H24*F24</f>
        <v>0</v>
      </c>
    </row>
    <row r="25" ht="14.25" customHeight="1">
      <c r="A25">
        <f>A24+1</f>
        <v>7</v>
      </c>
      <c r="B25" t="str">
        <v>Demolition</v>
      </c>
      <c r="C25" t="str">
        <v>#</v>
      </c>
      <c r="D25" t="str">
        <v>$</v>
      </c>
      <c r="I25" s="8">
        <f>H25*F25</f>
        <v>0</v>
      </c>
    </row>
    <row r="26" ht="14.25" customHeight="1">
      <c r="A26">
        <f>A25+1</f>
        <v>8</v>
      </c>
      <c r="I26" s="8">
        <f>H26*F26</f>
        <v>0</v>
      </c>
    </row>
    <row r="27" ht="14.25" customHeight="1">
      <c r="A27">
        <f>A26+1</f>
        <v>9</v>
      </c>
      <c r="B27" t="str">
        <v>Key Quantity Breakdown</v>
      </c>
      <c r="I27" s="8">
        <f>H27*F27</f>
        <v>0</v>
      </c>
    </row>
    <row r="28" ht="14.25" customHeight="1">
      <c r="A28">
        <f>A27+1</f>
        <v>10</v>
      </c>
      <c r="B28" t="str">
        <v>Stuff</v>
      </c>
      <c r="C28" t="str">
        <v>#</v>
      </c>
      <c r="D28" t="str">
        <v>CY</v>
      </c>
      <c r="I28" s="8">
        <f>H28*F28</f>
        <v>0</v>
      </c>
    </row>
    <row r="29" ht="14.25" customHeight="1">
      <c r="A29">
        <f>A28+1</f>
        <v>11</v>
      </c>
      <c r="B29" t="str">
        <v>Thing</v>
      </c>
      <c r="C29" t="str">
        <v>#</v>
      </c>
      <c r="D29" t="str">
        <v>SF</v>
      </c>
      <c r="I29" s="8">
        <f>H29*F29</f>
        <v>0</v>
      </c>
    </row>
    <row r="30" ht="14.25" customHeight="1">
      <c r="A30">
        <f>A29+1</f>
        <v>12</v>
      </c>
      <c r="B30" t="str">
        <v>Stuff 2</v>
      </c>
      <c r="C30" t="str">
        <v>#</v>
      </c>
      <c r="D30" t="str">
        <v>LF</v>
      </c>
      <c r="I30" s="8">
        <f>H30*F30</f>
        <v>0</v>
      </c>
    </row>
    <row r="31" ht="14.25" customHeight="1">
      <c r="A31">
        <f>A30+1</f>
        <v>13</v>
      </c>
      <c r="B31" t="str">
        <v>Item</v>
      </c>
      <c r="C31" t="str">
        <v>#</v>
      </c>
      <c r="D31" t="str">
        <v>EA</v>
      </c>
      <c r="I31" s="8">
        <f>H31*F31</f>
        <v>0</v>
      </c>
    </row>
    <row r="32" ht="14.25" customHeight="1">
      <c r="I32" s="8">
        <f>H32*F32</f>
        <v>0</v>
      </c>
    </row>
    <row r="33" ht="14.25" customHeight="1">
      <c r="B33" t="str">
        <v>Section 3 - Scope of Work</v>
      </c>
    </row>
    <row r="34" ht="14.25" customHeight="1">
      <c r="B34" t="str">
        <v>Furnish and Install All Items UON</v>
      </c>
      <c r="C34" t="str">
        <v>Y</v>
      </c>
    </row>
    <row r="35" ht="14.25" customHeight="1">
      <c r="A35" t="str">
        <v>A</v>
      </c>
      <c r="B35" t="str">
        <v>Specifications</v>
      </c>
    </row>
    <row r="36" ht="14.25" customHeight="1">
      <c r="B36" t="str">
        <v>Division 01 - General Requirements</v>
      </c>
      <c r="C36" t="str">
        <v>Y</v>
      </c>
    </row>
    <row r="37" ht="14.25" customHeight="1">
      <c r="B37" t="str">
        <v>00 00 00 - Spec Section</v>
      </c>
      <c r="C37" t="str">
        <v>Y</v>
      </c>
    </row>
    <row r="38" ht="14.25" customHeight="1">
      <c r="B38" t="str">
        <v>00 00 00 - Spec Section</v>
      </c>
      <c r="C38" t="str">
        <v>Y</v>
      </c>
    </row>
    <row r="39" ht="14.25" customHeight="1">
      <c r="B39" t="str">
        <v>00 00 00 - Spec Section (as applicable to this Bid Package)</v>
      </c>
      <c r="C39" t="str">
        <v>Y</v>
      </c>
    </row>
    <row r="40" ht="14.25" customHeight="1">
      <c r="B40" t="str">
        <v>Geotech Report ID # by Engineer dated YYYY-MM-DD</v>
      </c>
      <c r="C40" t="str">
        <v>Y</v>
      </c>
    </row>
    <row r="41" ht="14.25" customHeight="1">
      <c r="A41" t="str">
        <v>B</v>
      </c>
      <c r="B41" t="str">
        <v>Inclusions</v>
      </c>
    </row>
    <row r="42" ht="14.25" customHeight="1">
      <c r="A42">
        <v>1</v>
      </c>
      <c r="B42" t="str">
        <v>SPECIFIC SCOPE ITEMS</v>
      </c>
      <c r="C42" t="str">
        <v>Y</v>
      </c>
      <c r="I42" s="8">
        <f>H42*F42</f>
        <v>0</v>
      </c>
    </row>
    <row r="43" ht="14.25" customHeight="1">
      <c r="A43">
        <f>A42+1</f>
        <v>2</v>
      </c>
      <c r="B43" t="str">
        <v>Scope</v>
      </c>
      <c r="C43" t="str">
        <v>Y</v>
      </c>
      <c r="I43" s="8">
        <f>H43*F43</f>
        <v>0</v>
      </c>
    </row>
    <row r="44" ht="14.25" customHeight="1">
      <c r="A44">
        <f>A43+1</f>
        <v>3</v>
      </c>
      <c r="B44" t="str">
        <v>Scope</v>
      </c>
      <c r="C44" t="str">
        <v>Y</v>
      </c>
      <c r="I44" s="8">
        <f>H44*F44</f>
        <v>0</v>
      </c>
    </row>
    <row r="45" ht="14.25" customHeight="1">
      <c r="A45">
        <f>A44+1</f>
        <v>4</v>
      </c>
      <c r="B45" t="str">
        <v>Scope</v>
      </c>
      <c r="C45" t="str">
        <v>Y</v>
      </c>
      <c r="I45" s="8">
        <f>H45*F45</f>
        <v>0</v>
      </c>
    </row>
    <row r="46" ht="14.25" customHeight="1">
      <c r="A46">
        <f>A45+1</f>
        <v>5</v>
      </c>
      <c r="B46" t="str">
        <v>Scope</v>
      </c>
      <c r="C46" t="str">
        <v>Y</v>
      </c>
      <c r="I46" s="8">
        <f>H46*F46</f>
        <v>0</v>
      </c>
    </row>
    <row r="47" ht="14.25" customHeight="1">
      <c r="A47">
        <f>A46+1</f>
        <v>6</v>
      </c>
      <c r="B47" t="str">
        <v>Scope</v>
      </c>
      <c r="C47" t="str">
        <v>Y</v>
      </c>
      <c r="I47" s="8">
        <f>H47*F47</f>
        <v>0</v>
      </c>
    </row>
    <row r="48" ht="14.25" customHeight="1">
      <c r="A48">
        <f>A47+1</f>
        <v>7</v>
      </c>
      <c r="C48" t="str">
        <v>Y</v>
      </c>
      <c r="I48" s="8">
        <f>H48*F48</f>
        <v>0</v>
      </c>
    </row>
    <row r="49" ht="14.25" customHeight="1">
      <c r="A49">
        <f>A48+1</f>
        <v>8</v>
      </c>
      <c r="B49" t="str">
        <v>STANDARD / GENERAL SCOPE</v>
      </c>
      <c r="C49" t="str">
        <v>Y</v>
      </c>
      <c r="I49" s="8">
        <f>H49*F49</f>
        <v>0</v>
      </c>
    </row>
    <row r="50" ht="14.25" customHeight="1">
      <c r="A50">
        <f>A49+1</f>
        <v>9</v>
      </c>
      <c r="C50" t="str">
        <v>Y</v>
      </c>
      <c r="I50" s="8">
        <f>H50*F50</f>
        <v>0</v>
      </c>
    </row>
    <row r="51" ht="14.25" customHeight="1">
      <c r="A51">
        <f>A50+1</f>
        <v>10</v>
      </c>
      <c r="C51" t="str">
        <v>Y</v>
      </c>
      <c r="I51" s="8">
        <f>H51*F51</f>
        <v>0</v>
      </c>
    </row>
    <row r="52" ht="14.25" customHeight="1">
      <c r="I52" s="8">
        <f>H52*F52</f>
        <v>0</v>
      </c>
    </row>
    <row r="53" ht="14.25" customHeight="1">
      <c r="A53" t="str">
        <v>C</v>
      </c>
      <c r="B53" t="str">
        <v>Exclusions</v>
      </c>
    </row>
    <row r="54" ht="14.25" customHeight="1">
      <c r="A54">
        <v>1</v>
      </c>
      <c r="C54" t="str">
        <v>N</v>
      </c>
    </row>
    <row r="55" ht="14.25" customHeight="1">
      <c r="A55">
        <f>A54+1</f>
        <v>2</v>
      </c>
      <c r="C55" t="str">
        <v>N</v>
      </c>
    </row>
    <row r="56" ht="14.25" customHeight="1">
      <c r="A56">
        <f>A55+1</f>
        <v>3</v>
      </c>
      <c r="C56" t="str">
        <v>N</v>
      </c>
    </row>
    <row r="57" ht="14.25" customHeight="1">
      <c r="A57">
        <f>A56+1</f>
        <v>4</v>
      </c>
      <c r="C57" t="str">
        <v>N</v>
      </c>
    </row>
    <row r="58" ht="14.25" customHeight="1">
      <c r="A58">
        <f>A57+1</f>
        <v>5</v>
      </c>
      <c r="C58" t="str">
        <v>N</v>
      </c>
    </row>
    <row r="59" ht="14.25" customHeight="1">
      <c r="A59">
        <f>A58+1</f>
        <v>6</v>
      </c>
      <c r="C59" t="str">
        <v>N</v>
      </c>
    </row>
    <row r="60" ht="14.25" customHeight="1">
      <c r="A60">
        <f>A59+1</f>
        <v>7</v>
      </c>
      <c r="C60" t="str">
        <v>N</v>
      </c>
    </row>
    <row r="61" ht="14.25" customHeight="1">
      <c r="A61">
        <f>A60+1</f>
        <v>8</v>
      </c>
      <c r="C61" t="str">
        <v>N</v>
      </c>
    </row>
    <row r="62" ht="14.25" customHeight="1"/>
    <row r="63" ht="14.25" customHeight="1">
      <c r="A63" t="str">
        <v>D</v>
      </c>
      <c r="B63" t="str">
        <v>Schedule</v>
      </c>
    </row>
    <row r="64" ht="14.25" customHeight="1">
      <c r="A64">
        <v>1</v>
      </c>
      <c r="B64" t="str">
        <v>Meet MCN Schedule</v>
      </c>
      <c r="C64" t="str">
        <v>Y</v>
      </c>
    </row>
    <row r="65" ht="14.25" customHeight="1">
      <c r="A65">
        <f>A64+1</f>
        <v>2</v>
      </c>
      <c r="B65" t="str">
        <v>Advise of Durations</v>
      </c>
    </row>
    <row r="66" ht="14.25" customHeight="1">
      <c r="A66">
        <f>A65+1</f>
        <v>3</v>
      </c>
      <c r="B66" t="str">
        <v>Activity 1</v>
      </c>
      <c r="C66" t="str">
        <v>---&gt;</v>
      </c>
    </row>
    <row r="67" ht="14.25" customHeight="1">
      <c r="A67">
        <f>A66+1</f>
        <v>4</v>
      </c>
      <c r="B67" t="str">
        <v>Activity 2</v>
      </c>
      <c r="C67" t="str">
        <v>---&gt;</v>
      </c>
    </row>
    <row r="68" ht="14.25" customHeight="1">
      <c r="A68">
        <f>A67+1</f>
        <v>5</v>
      </c>
      <c r="B68" t="str">
        <v>Activity 3</v>
      </c>
      <c r="C68" t="str">
        <v>---&gt;</v>
      </c>
    </row>
    <row r="69" ht="14.25" customHeight="1">
      <c r="A69">
        <f>A68+1</f>
        <v>6</v>
      </c>
      <c r="B69" t="str">
        <v>Duration for Submittals and Shop Drawings</v>
      </c>
      <c r="C69" t="str">
        <v>---&gt;</v>
      </c>
    </row>
    <row r="70" ht="14.25" customHeight="1">
      <c r="A70">
        <f>A69+1</f>
        <v>7</v>
      </c>
      <c r="B70" t="str">
        <v>Advise of Lead Times:</v>
      </c>
    </row>
    <row r="71" ht="14.25" customHeight="1">
      <c r="A71">
        <f>A70+1</f>
        <v>8</v>
      </c>
      <c r="B71" t="str">
        <v>Material 1</v>
      </c>
      <c r="C71" t="str">
        <v>---&gt;</v>
      </c>
    </row>
    <row r="72" ht="14.25" customHeight="1">
      <c r="A72">
        <f>A71+1</f>
        <v>9</v>
      </c>
      <c r="B72" t="str">
        <v>Material 2</v>
      </c>
      <c r="C72" t="str">
        <v>---&gt;</v>
      </c>
    </row>
    <row r="73" ht="14.25" customHeight="1">
      <c r="A73">
        <f>A72+1</f>
        <v>10</v>
      </c>
      <c r="B73" t="str">
        <v>Material 3</v>
      </c>
      <c r="C73" t="str">
        <v>---&gt;</v>
      </c>
    </row>
    <row r="74" ht="14.25" customHeight="1"/>
    <row r="75" ht="14.25" customHeight="1"/>
    <row r="76" ht="14.25" customHeight="1">
      <c r="B76" t="str">
        <v>Allowances</v>
      </c>
    </row>
    <row r="77" ht="14.25" customHeight="1">
      <c r="A77">
        <v>1</v>
      </c>
    </row>
    <row r="78" ht="14.25" customHeight="1">
      <c r="A78">
        <f>A77+1</f>
        <v>2</v>
      </c>
    </row>
    <row r="79" ht="14.25" customHeight="1">
      <c r="A79">
        <f>A78+1</f>
        <v>3</v>
      </c>
    </row>
    <row r="80" ht="14.25" customHeight="1">
      <c r="A80">
        <f>A79+1</f>
        <v>4</v>
      </c>
    </row>
    <row r="81" ht="14.25" customHeight="1"/>
    <row r="82" ht="14.25" customHeight="1"/>
    <row r="83" ht="14.25" customHeight="1">
      <c r="B83" t="str">
        <v>Alternates</v>
      </c>
    </row>
    <row r="84" ht="14.25" customHeight="1">
      <c r="A84">
        <v>1</v>
      </c>
      <c r="C84" t="str">
        <v>#</v>
      </c>
    </row>
    <row r="85" ht="14.25" customHeight="1">
      <c r="A85">
        <f>A84+1</f>
        <v>2</v>
      </c>
      <c r="C85" t="str">
        <v>#</v>
      </c>
    </row>
    <row r="86" ht="14.25" customHeight="1">
      <c r="A86">
        <f>A85+1</f>
        <v>3</v>
      </c>
      <c r="C86" t="str">
        <v>#</v>
      </c>
    </row>
    <row r="87" ht="14.25" customHeight="1">
      <c r="A87">
        <f>A86+1</f>
        <v>4</v>
      </c>
      <c r="C87" t="str">
        <v>#</v>
      </c>
    </row>
    <row r="88" ht="14.25" customHeight="1">
      <c r="C88" t="str">
        <v>#</v>
      </c>
    </row>
    <row r="89" ht="14.25" customHeight="1">
      <c r="B89" t="str">
        <v>Unit Prices</v>
      </c>
    </row>
    <row r="90" ht="14.25" customHeight="1">
      <c r="A90">
        <v>1</v>
      </c>
      <c r="C90" t="str">
        <v>#</v>
      </c>
    </row>
    <row r="91" ht="14.25" customHeight="1">
      <c r="A91">
        <f>A90+1</f>
        <v>2</v>
      </c>
      <c r="C91" t="str">
        <v>#</v>
      </c>
    </row>
    <row r="92" ht="14.25" customHeight="1">
      <c r="A92">
        <f>A91+1</f>
        <v>3</v>
      </c>
      <c r="C92" t="str">
        <v>#</v>
      </c>
    </row>
    <row r="93" ht="14.25" customHeight="1">
      <c r="A93">
        <f>A92+1</f>
        <v>4</v>
      </c>
      <c r="C93" t="str">
        <v>#</v>
      </c>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hyperlinks>
    <hyperlink ref="F2" location="'Bid Sheet'!A1"/>
  </hyperlinks>
  <pageMargins left="0.7" right="0.7" top="0.25" bottom="0.75" header="0" footer="0"/>
  <ignoredErrors>
    <ignoredError numberStoredAsText="1" sqref="A1:AO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GCs n GRs</vt:lpstr>
      <vt:lpstr>ScopeCrossOver</vt:lpstr>
      <vt:lpstr>RFI Log</vt:lpstr>
      <vt:lpstr>SOWTemplate</vt:lpstr>
      <vt:lpstr>VEs</vt:lpstr>
      <vt:lpstr>MCN Summary</vt:lpstr>
      <vt:lpstr>Bid Sheet</vt:lpstr>
      <vt:lpstr>Demo</vt:lpstr>
      <vt:lpstr>Conc</vt:lpstr>
      <vt:lpstr>Masonry</vt:lpstr>
      <vt:lpstr>SS &amp; MM</vt:lpstr>
      <vt:lpstr>Rough Carpentry</vt:lpstr>
      <vt:lpstr>Millwork</vt:lpstr>
      <vt:lpstr>Waterproof</vt:lpstr>
      <vt:lpstr>MetPanel</vt:lpstr>
      <vt:lpstr>Roof</vt:lpstr>
      <vt:lpstr>Sealants</vt:lpstr>
      <vt:lpstr>DFH</vt:lpstr>
      <vt:lpstr>SpecDoor</vt:lpstr>
      <vt:lpstr>Alum</vt:lpstr>
      <vt:lpstr>GWB</vt:lpstr>
      <vt:lpstr>Tile</vt:lpstr>
      <vt:lpstr>Floor</vt:lpstr>
      <vt:lpstr>Paint</vt:lpstr>
      <vt:lpstr>Sign</vt:lpstr>
      <vt:lpstr>Specialties</vt:lpstr>
      <vt:lpstr>Kitch Eq</vt:lpstr>
      <vt:lpstr>Athl Eq</vt:lpstr>
      <vt:lpstr>FFE</vt:lpstr>
      <vt:lpstr>POOL</vt:lpstr>
      <vt:lpstr>Elev</vt:lpstr>
      <vt:lpstr>FireP</vt:lpstr>
      <vt:lpstr>Plumb</vt:lpstr>
      <vt:lpstr>HVAC</vt:lpstr>
      <vt:lpstr>Elect</vt:lpstr>
      <vt:lpstr>LV</vt:lpstr>
      <vt:lpstr>EARTH</vt:lpstr>
      <vt:lpstr>Ashalt</vt:lpstr>
      <vt:lpstr>SiteConc</vt:lpstr>
      <vt:lpstr>Fence</vt:lpstr>
      <vt:lpstr>Lscape</vt:lpstr>
      <vt:lpstr>WetUtil</vt:lpstr>
      <vt:lpstr>DryUtil</vt:lpstr>
      <vt:lpstr>Geotherm</vt:lpstr>
      <vt:lpstr>FinalClean</vt:lpstr>
      <vt:lpstr>NA</vt:lpstr>
      <vt:lpstr>Version History</vt:lpstr>
      <vt:lpstr>SpecMatrix</vt:lpstr>
      <vt:lpstr>Alternates</vt:lpstr>
      <vt:lpstr>Survey</vt:lpstr>
      <vt:lpstr>Gyp</vt:lpstr>
      <vt:lpstr>Precast</vt:lpstr>
      <vt:lpstr>Stone</vt:lpstr>
      <vt:lpstr>MiscMetal</vt:lpstr>
      <vt:lpstr>Rails</vt:lpstr>
      <vt:lpstr>FbrGls</vt:lpstr>
      <vt:lpstr>DeepFnd</vt:lpstr>
      <vt:lpstr>DeWater</vt:lpstr>
      <vt:lpstr>SegWall</vt:lpstr>
      <vt:lpstr>Pavers</vt:lpstr>
      <vt:lpstr>SiteFurn</vt:lpstr>
      <vt:lpstr>Abatement</vt:lpstr>
      <vt:lpstr>ResCab</vt:lpstr>
      <vt:lpstr>Counter</vt:lpstr>
      <vt:lpstr>WT</vt:lpstr>
      <vt:lpstr>SOE</vt:lpstr>
      <vt:lpstr>Terrazzo</vt:lpstr>
      <vt:lpstr>TA</vt:lpstr>
      <vt:lpstr>TPart</vt:lpstr>
      <vt:lpstr>Lockers</vt:lpstr>
      <vt:lpstr>WoodFram</vt:lpstr>
      <vt:lpstr>Trim</vt:lpstr>
      <vt:lpstr>Insulation - Residential</vt:lpstr>
      <vt:lpstr>AVB</vt:lpstr>
      <vt:lpstr>SAFP</vt:lpstr>
      <vt:lpstr>EIFS</vt:lpstr>
      <vt:lpstr>ExtPanel</vt:lpstr>
      <vt:lpstr>Glz</vt:lpstr>
      <vt:lpstr>IntGlass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2022-07-27T14:40:13Z</dcterms:created>
  <dc:creator>Tim Raimundo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{B7D99E49-3606-46B5-B02A-FD9EFB72385B}</vt:lpwstr>
  </property>
  <property fmtid="{D5CDD505-2E9C-101B-9397-08002B2CF9AE}" pid="5" name="ContentTypeId">
    <vt:lpwstr>0x010100D1E020EB015FF349AD445625046D0C3B</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i4>242600</vt:i4>
  </property>
  <property fmtid="{D5CDD505-2E9C-101B-9397-08002B2CF9AE}" pid="10" name="MediaServiceImageTags">
    <vt:lpwstr/>
  </property>
</Properties>
</file>