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0" yWindow="0" windowWidth="25520" windowHeight="16020" tabRatio="930" firstSheet="4" activeTab="16"/>
  </bookViews>
  <sheets>
    <sheet name="Fermentation" sheetId="25" r:id="rId1"/>
    <sheet name="Calculation" sheetId="2" r:id="rId2"/>
    <sheet name="Plate Count" sheetId="3" r:id="rId3"/>
    <sheet name="Flow cytometer" sheetId="22" r:id="rId4"/>
    <sheet name="OD600nm" sheetId="4" r:id="rId5"/>
    <sheet name="CDM" sheetId="5" r:id="rId6"/>
    <sheet name="H2" sheetId="17" r:id="rId7"/>
    <sheet name="CO2" sheetId="7" r:id="rId8"/>
    <sheet name="Metabolites" sheetId="8" r:id="rId9"/>
    <sheet name="D-Fructose" sheetId="19" r:id="rId10"/>
    <sheet name="Formic acid" sheetId="18" r:id="rId11"/>
    <sheet name="Acetic acid" sheetId="15" r:id="rId12"/>
    <sheet name="Propionic acid" sheetId="20" r:id="rId13"/>
    <sheet name="Butyric acid" sheetId="21" r:id="rId14"/>
    <sheet name="Lactic acid" sheetId="14" r:id="rId15"/>
    <sheet name="Ethanol" sheetId="16" r:id="rId16"/>
    <sheet name="Graph" sheetId="13" r:id="rId17"/>
    <sheet name="Graph (2)" sheetId="24" r:id="rId18"/>
    <sheet name="Carbon recovery" sheetId="23" r:id="rId19"/>
  </sheets>
  <definedNames>
    <definedName name="_2012_05_10_FPRAU_fruc1" localSheetId="7">'CO2'!$I$5:$I$293</definedName>
    <definedName name="_2012_06_08_BIF_REC_OLI_1" localSheetId="7">'CO2'!$N$5:$N$201</definedName>
    <definedName name="_2012_06_08_BIF_REC_OLI_1" localSheetId="6">'H2'!$K$5:$K$244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9" i="7" l="1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01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65" i="17"/>
  <c r="F60" i="17"/>
  <c r="F61" i="17"/>
  <c r="F62" i="17"/>
  <c r="F63" i="17"/>
  <c r="F64" i="17"/>
  <c r="F59" i="17"/>
  <c r="F54" i="17"/>
  <c r="F55" i="17"/>
  <c r="F56" i="17"/>
  <c r="F57" i="17"/>
  <c r="F58" i="17"/>
  <c r="F53" i="17"/>
  <c r="F48" i="17"/>
  <c r="F49" i="17"/>
  <c r="F50" i="17"/>
  <c r="F51" i="17"/>
  <c r="F52" i="17"/>
  <c r="F47" i="17"/>
  <c r="F42" i="17"/>
  <c r="F43" i="17"/>
  <c r="F44" i="17"/>
  <c r="F45" i="17"/>
  <c r="F46" i="17"/>
  <c r="F41" i="17"/>
  <c r="F36" i="17"/>
  <c r="F37" i="17"/>
  <c r="F38" i="17"/>
  <c r="F39" i="17"/>
  <c r="F40" i="17"/>
  <c r="F35" i="17"/>
  <c r="F30" i="17"/>
  <c r="F31" i="17"/>
  <c r="F32" i="17"/>
  <c r="F33" i="17"/>
  <c r="F34" i="17"/>
  <c r="F29" i="17"/>
  <c r="F24" i="17"/>
  <c r="F25" i="17"/>
  <c r="F26" i="17"/>
  <c r="F27" i="17"/>
  <c r="F28" i="17"/>
  <c r="F23" i="17"/>
  <c r="F18" i="17"/>
  <c r="F19" i="17"/>
  <c r="F20" i="17"/>
  <c r="F21" i="17"/>
  <c r="F22" i="17"/>
  <c r="F17" i="17"/>
  <c r="F12" i="17"/>
  <c r="F13" i="17"/>
  <c r="F14" i="17"/>
  <c r="F15" i="17"/>
  <c r="F16" i="17"/>
  <c r="F11" i="17"/>
  <c r="F6" i="17"/>
  <c r="F7" i="17"/>
  <c r="F8" i="17"/>
  <c r="F9" i="17"/>
  <c r="F10" i="17"/>
  <c r="X5" i="22"/>
  <c r="X6" i="22"/>
  <c r="X7" i="22"/>
  <c r="X8" i="22"/>
  <c r="X9" i="22"/>
  <c r="X10" i="22"/>
  <c r="X11" i="22"/>
  <c r="X12" i="22"/>
  <c r="X13" i="22"/>
  <c r="X14" i="22"/>
  <c r="X15" i="22"/>
  <c r="X4" i="22"/>
  <c r="Q4" i="22"/>
  <c r="H15" i="22"/>
  <c r="U15" i="22"/>
  <c r="L15" i="22"/>
  <c r="V15" i="22"/>
  <c r="P15" i="22"/>
  <c r="W15" i="22"/>
  <c r="H14" i="22"/>
  <c r="U14" i="22"/>
  <c r="L14" i="22"/>
  <c r="V14" i="22"/>
  <c r="P14" i="22"/>
  <c r="W14" i="22"/>
  <c r="H13" i="22"/>
  <c r="U13" i="22"/>
  <c r="L13" i="22"/>
  <c r="V13" i="22"/>
  <c r="P13" i="22"/>
  <c r="W13" i="22"/>
  <c r="H12" i="22"/>
  <c r="U12" i="22"/>
  <c r="L12" i="22"/>
  <c r="V12" i="22"/>
  <c r="P12" i="22"/>
  <c r="W12" i="22"/>
  <c r="H11" i="22"/>
  <c r="U11" i="22"/>
  <c r="L11" i="22"/>
  <c r="V11" i="22"/>
  <c r="P11" i="22"/>
  <c r="W11" i="22"/>
  <c r="H10" i="22"/>
  <c r="U10" i="22"/>
  <c r="L10" i="22"/>
  <c r="V10" i="22"/>
  <c r="P10" i="22"/>
  <c r="W10" i="22"/>
  <c r="H9" i="22"/>
  <c r="U9" i="22"/>
  <c r="L9" i="22"/>
  <c r="V9" i="22"/>
  <c r="P9" i="22"/>
  <c r="W9" i="22"/>
  <c r="H8" i="22"/>
  <c r="U8" i="22"/>
  <c r="L8" i="22"/>
  <c r="V8" i="22"/>
  <c r="P8" i="22"/>
  <c r="W8" i="22"/>
  <c r="H7" i="22"/>
  <c r="U7" i="22"/>
  <c r="L7" i="22"/>
  <c r="V7" i="22"/>
  <c r="P7" i="22"/>
  <c r="W7" i="22"/>
  <c r="H6" i="22"/>
  <c r="U6" i="22"/>
  <c r="L6" i="22"/>
  <c r="V6" i="22"/>
  <c r="P6" i="22"/>
  <c r="W6" i="22"/>
  <c r="H5" i="22"/>
  <c r="U5" i="22"/>
  <c r="L5" i="22"/>
  <c r="V5" i="22"/>
  <c r="P5" i="22"/>
  <c r="W5" i="22"/>
  <c r="H4" i="22"/>
  <c r="U4" i="22"/>
  <c r="L4" i="22"/>
  <c r="V4" i="22"/>
  <c r="P4" i="22"/>
  <c r="W4" i="22"/>
  <c r="D33" i="23"/>
  <c r="C5" i="7"/>
  <c r="D5" i="7"/>
  <c r="E5" i="7"/>
  <c r="G5" i="7"/>
  <c r="C6" i="7"/>
  <c r="D6" i="7"/>
  <c r="E6" i="7"/>
  <c r="G6" i="7"/>
  <c r="C7" i="7"/>
  <c r="D7" i="7"/>
  <c r="E7" i="7"/>
  <c r="G7" i="7"/>
  <c r="C8" i="7"/>
  <c r="D8" i="7"/>
  <c r="E8" i="7"/>
  <c r="G8" i="7"/>
  <c r="C9" i="7"/>
  <c r="D9" i="7"/>
  <c r="E9" i="7"/>
  <c r="G9" i="7"/>
  <c r="C10" i="7"/>
  <c r="D10" i="7"/>
  <c r="E10" i="7"/>
  <c r="G10" i="7"/>
  <c r="C11" i="7"/>
  <c r="D11" i="7"/>
  <c r="E11" i="7"/>
  <c r="G11" i="7"/>
  <c r="C12" i="7"/>
  <c r="D12" i="7"/>
  <c r="E12" i="7"/>
  <c r="G12" i="7"/>
  <c r="C13" i="7"/>
  <c r="D13" i="7"/>
  <c r="E13" i="7"/>
  <c r="G13" i="7"/>
  <c r="C14" i="7"/>
  <c r="D14" i="7"/>
  <c r="E14" i="7"/>
  <c r="G14" i="7"/>
  <c r="C15" i="7"/>
  <c r="D15" i="7"/>
  <c r="E15" i="7"/>
  <c r="G15" i="7"/>
  <c r="C16" i="7"/>
  <c r="D16" i="7"/>
  <c r="E16" i="7"/>
  <c r="G16" i="7"/>
  <c r="C17" i="7"/>
  <c r="D17" i="7"/>
  <c r="E17" i="7"/>
  <c r="G17" i="7"/>
  <c r="C18" i="7"/>
  <c r="D18" i="7"/>
  <c r="E18" i="7"/>
  <c r="G18" i="7"/>
  <c r="C19" i="7"/>
  <c r="D19" i="7"/>
  <c r="E19" i="7"/>
  <c r="G19" i="7"/>
  <c r="C20" i="7"/>
  <c r="D20" i="7"/>
  <c r="E20" i="7"/>
  <c r="G20" i="7"/>
  <c r="C21" i="7"/>
  <c r="D21" i="7"/>
  <c r="E21" i="7"/>
  <c r="G21" i="7"/>
  <c r="C22" i="7"/>
  <c r="D22" i="7"/>
  <c r="E22" i="7"/>
  <c r="G22" i="7"/>
  <c r="C23" i="7"/>
  <c r="D23" i="7"/>
  <c r="E23" i="7"/>
  <c r="G23" i="7"/>
  <c r="C24" i="7"/>
  <c r="D24" i="7"/>
  <c r="E24" i="7"/>
  <c r="G24" i="7"/>
  <c r="C25" i="7"/>
  <c r="D25" i="7"/>
  <c r="E25" i="7"/>
  <c r="G25" i="7"/>
  <c r="C26" i="7"/>
  <c r="D26" i="7"/>
  <c r="E26" i="7"/>
  <c r="G26" i="7"/>
  <c r="C27" i="7"/>
  <c r="D27" i="7"/>
  <c r="E27" i="7"/>
  <c r="G27" i="7"/>
  <c r="C28" i="7"/>
  <c r="D28" i="7"/>
  <c r="E28" i="7"/>
  <c r="G28" i="7"/>
  <c r="C29" i="7"/>
  <c r="D29" i="7"/>
  <c r="E29" i="7"/>
  <c r="G29" i="7"/>
  <c r="C30" i="7"/>
  <c r="D30" i="7"/>
  <c r="E30" i="7"/>
  <c r="G30" i="7"/>
  <c r="C31" i="7"/>
  <c r="D31" i="7"/>
  <c r="E31" i="7"/>
  <c r="G31" i="7"/>
  <c r="C32" i="7"/>
  <c r="D32" i="7"/>
  <c r="E32" i="7"/>
  <c r="G32" i="7"/>
  <c r="C33" i="7"/>
  <c r="D33" i="7"/>
  <c r="E33" i="7"/>
  <c r="G33" i="7"/>
  <c r="C34" i="7"/>
  <c r="D34" i="7"/>
  <c r="E34" i="7"/>
  <c r="G34" i="7"/>
  <c r="C35" i="7"/>
  <c r="D35" i="7"/>
  <c r="E35" i="7"/>
  <c r="G35" i="7"/>
  <c r="C36" i="7"/>
  <c r="D36" i="7"/>
  <c r="E36" i="7"/>
  <c r="G36" i="7"/>
  <c r="C37" i="7"/>
  <c r="D37" i="7"/>
  <c r="E37" i="7"/>
  <c r="G37" i="7"/>
  <c r="C38" i="7"/>
  <c r="D38" i="7"/>
  <c r="E38" i="7"/>
  <c r="G38" i="7"/>
  <c r="C39" i="7"/>
  <c r="D39" i="7"/>
  <c r="E39" i="7"/>
  <c r="G39" i="7"/>
  <c r="C40" i="7"/>
  <c r="D40" i="7"/>
  <c r="E40" i="7"/>
  <c r="G40" i="7"/>
  <c r="C41" i="7"/>
  <c r="D41" i="7"/>
  <c r="E41" i="7"/>
  <c r="G41" i="7"/>
  <c r="C42" i="7"/>
  <c r="D42" i="7"/>
  <c r="E42" i="7"/>
  <c r="G42" i="7"/>
  <c r="C43" i="7"/>
  <c r="D43" i="7"/>
  <c r="E43" i="7"/>
  <c r="G43" i="7"/>
  <c r="C44" i="7"/>
  <c r="D44" i="7"/>
  <c r="E44" i="7"/>
  <c r="G44" i="7"/>
  <c r="C45" i="7"/>
  <c r="D45" i="7"/>
  <c r="E45" i="7"/>
  <c r="G45" i="7"/>
  <c r="C46" i="7"/>
  <c r="D46" i="7"/>
  <c r="E46" i="7"/>
  <c r="G46" i="7"/>
  <c r="C47" i="7"/>
  <c r="D47" i="7"/>
  <c r="E47" i="7"/>
  <c r="G47" i="7"/>
  <c r="C48" i="7"/>
  <c r="D48" i="7"/>
  <c r="E48" i="7"/>
  <c r="G48" i="7"/>
  <c r="C49" i="7"/>
  <c r="D49" i="7"/>
  <c r="E49" i="7"/>
  <c r="G49" i="7"/>
  <c r="C50" i="7"/>
  <c r="D50" i="7"/>
  <c r="E50" i="7"/>
  <c r="G50" i="7"/>
  <c r="C51" i="7"/>
  <c r="D51" i="7"/>
  <c r="E51" i="7"/>
  <c r="G51" i="7"/>
  <c r="C52" i="7"/>
  <c r="D52" i="7"/>
  <c r="E52" i="7"/>
  <c r="G52" i="7"/>
  <c r="C53" i="7"/>
  <c r="D53" i="7"/>
  <c r="E53" i="7"/>
  <c r="G53" i="7"/>
  <c r="C54" i="7"/>
  <c r="D54" i="7"/>
  <c r="E54" i="7"/>
  <c r="G54" i="7"/>
  <c r="C55" i="7"/>
  <c r="D55" i="7"/>
  <c r="E55" i="7"/>
  <c r="G55" i="7"/>
  <c r="C56" i="7"/>
  <c r="D56" i="7"/>
  <c r="E56" i="7"/>
  <c r="G56" i="7"/>
  <c r="C57" i="7"/>
  <c r="D57" i="7"/>
  <c r="E57" i="7"/>
  <c r="G57" i="7"/>
  <c r="C58" i="7"/>
  <c r="D58" i="7"/>
  <c r="E58" i="7"/>
  <c r="G58" i="7"/>
  <c r="C59" i="7"/>
  <c r="D59" i="7"/>
  <c r="E59" i="7"/>
  <c r="G59" i="7"/>
  <c r="C60" i="7"/>
  <c r="D60" i="7"/>
  <c r="E60" i="7"/>
  <c r="G60" i="7"/>
  <c r="C61" i="7"/>
  <c r="D61" i="7"/>
  <c r="E61" i="7"/>
  <c r="G61" i="7"/>
  <c r="C62" i="7"/>
  <c r="D62" i="7"/>
  <c r="E62" i="7"/>
  <c r="G62" i="7"/>
  <c r="C63" i="7"/>
  <c r="D63" i="7"/>
  <c r="E63" i="7"/>
  <c r="G63" i="7"/>
  <c r="C64" i="7"/>
  <c r="D64" i="7"/>
  <c r="E64" i="7"/>
  <c r="G64" i="7"/>
  <c r="C65" i="7"/>
  <c r="D65" i="7"/>
  <c r="E65" i="7"/>
  <c r="G65" i="7"/>
  <c r="C66" i="7"/>
  <c r="D66" i="7"/>
  <c r="E66" i="7"/>
  <c r="G66" i="7"/>
  <c r="C67" i="7"/>
  <c r="D67" i="7"/>
  <c r="E67" i="7"/>
  <c r="G67" i="7"/>
  <c r="C68" i="7"/>
  <c r="D68" i="7"/>
  <c r="E68" i="7"/>
  <c r="G68" i="7"/>
  <c r="C69" i="7"/>
  <c r="D69" i="7"/>
  <c r="E69" i="7"/>
  <c r="G69" i="7"/>
  <c r="C70" i="7"/>
  <c r="D70" i="7"/>
  <c r="E70" i="7"/>
  <c r="G70" i="7"/>
  <c r="C71" i="7"/>
  <c r="D71" i="7"/>
  <c r="E71" i="7"/>
  <c r="G71" i="7"/>
  <c r="C72" i="7"/>
  <c r="D72" i="7"/>
  <c r="E72" i="7"/>
  <c r="G72" i="7"/>
  <c r="C73" i="7"/>
  <c r="D73" i="7"/>
  <c r="E73" i="7"/>
  <c r="G73" i="7"/>
  <c r="C74" i="7"/>
  <c r="D74" i="7"/>
  <c r="E74" i="7"/>
  <c r="G74" i="7"/>
  <c r="C75" i="7"/>
  <c r="D75" i="7"/>
  <c r="E75" i="7"/>
  <c r="G75" i="7"/>
  <c r="C76" i="7"/>
  <c r="D76" i="7"/>
  <c r="E76" i="7"/>
  <c r="G76" i="7"/>
  <c r="C77" i="7"/>
  <c r="D77" i="7"/>
  <c r="E77" i="7"/>
  <c r="G77" i="7"/>
  <c r="C78" i="7"/>
  <c r="D78" i="7"/>
  <c r="E78" i="7"/>
  <c r="G78" i="7"/>
  <c r="C79" i="7"/>
  <c r="D79" i="7"/>
  <c r="E79" i="7"/>
  <c r="G79" i="7"/>
  <c r="C80" i="7"/>
  <c r="D80" i="7"/>
  <c r="E80" i="7"/>
  <c r="G80" i="7"/>
  <c r="C81" i="7"/>
  <c r="D81" i="7"/>
  <c r="E81" i="7"/>
  <c r="G81" i="7"/>
  <c r="C82" i="7"/>
  <c r="D82" i="7"/>
  <c r="E82" i="7"/>
  <c r="G82" i="7"/>
  <c r="C83" i="7"/>
  <c r="D83" i="7"/>
  <c r="E83" i="7"/>
  <c r="G83" i="7"/>
  <c r="C84" i="7"/>
  <c r="D84" i="7"/>
  <c r="E84" i="7"/>
  <c r="G84" i="7"/>
  <c r="C85" i="7"/>
  <c r="D85" i="7"/>
  <c r="E85" i="7"/>
  <c r="G85" i="7"/>
  <c r="C86" i="7"/>
  <c r="D86" i="7"/>
  <c r="E86" i="7"/>
  <c r="G86" i="7"/>
  <c r="C87" i="7"/>
  <c r="D87" i="7"/>
  <c r="E87" i="7"/>
  <c r="G87" i="7"/>
  <c r="C88" i="7"/>
  <c r="D88" i="7"/>
  <c r="E88" i="7"/>
  <c r="G88" i="7"/>
  <c r="C89" i="7"/>
  <c r="D89" i="7"/>
  <c r="E89" i="7"/>
  <c r="G89" i="7"/>
  <c r="C90" i="7"/>
  <c r="D90" i="7"/>
  <c r="E90" i="7"/>
  <c r="G90" i="7"/>
  <c r="C91" i="7"/>
  <c r="D91" i="7"/>
  <c r="E91" i="7"/>
  <c r="G91" i="7"/>
  <c r="C92" i="7"/>
  <c r="D92" i="7"/>
  <c r="E92" i="7"/>
  <c r="G92" i="7"/>
  <c r="C93" i="7"/>
  <c r="D93" i="7"/>
  <c r="E93" i="7"/>
  <c r="G93" i="7"/>
  <c r="C94" i="7"/>
  <c r="D94" i="7"/>
  <c r="E94" i="7"/>
  <c r="G94" i="7"/>
  <c r="C95" i="7"/>
  <c r="D95" i="7"/>
  <c r="E95" i="7"/>
  <c r="G95" i="7"/>
  <c r="C96" i="7"/>
  <c r="D96" i="7"/>
  <c r="E96" i="7"/>
  <c r="G96" i="7"/>
  <c r="C97" i="7"/>
  <c r="D97" i="7"/>
  <c r="E97" i="7"/>
  <c r="G97" i="7"/>
  <c r="C98" i="7"/>
  <c r="D98" i="7"/>
  <c r="E98" i="7"/>
  <c r="G98" i="7"/>
  <c r="C99" i="7"/>
  <c r="D99" i="7"/>
  <c r="E99" i="7"/>
  <c r="G99" i="7"/>
  <c r="C100" i="7"/>
  <c r="D100" i="7"/>
  <c r="E100" i="7"/>
  <c r="G100" i="7"/>
  <c r="C101" i="7"/>
  <c r="D101" i="7"/>
  <c r="E101" i="7"/>
  <c r="G101" i="7"/>
  <c r="B8" i="23"/>
  <c r="F33" i="23"/>
  <c r="C5" i="17"/>
  <c r="D5" i="17"/>
  <c r="E5" i="17"/>
  <c r="F5" i="17"/>
  <c r="G5" i="17"/>
  <c r="C6" i="17"/>
  <c r="D6" i="17"/>
  <c r="E6" i="17"/>
  <c r="G6" i="17"/>
  <c r="C7" i="17"/>
  <c r="D7" i="17"/>
  <c r="E7" i="17"/>
  <c r="G7" i="17"/>
  <c r="C8" i="17"/>
  <c r="D8" i="17"/>
  <c r="E8" i="17"/>
  <c r="G8" i="17"/>
  <c r="C9" i="17"/>
  <c r="D9" i="17"/>
  <c r="E9" i="17"/>
  <c r="G9" i="17"/>
  <c r="C10" i="17"/>
  <c r="D10" i="17"/>
  <c r="E10" i="17"/>
  <c r="G10" i="17"/>
  <c r="C11" i="17"/>
  <c r="D11" i="17"/>
  <c r="E11" i="17"/>
  <c r="G11" i="17"/>
  <c r="C12" i="17"/>
  <c r="D12" i="17"/>
  <c r="E12" i="17"/>
  <c r="G12" i="17"/>
  <c r="C13" i="17"/>
  <c r="D13" i="17"/>
  <c r="E13" i="17"/>
  <c r="G13" i="17"/>
  <c r="C14" i="17"/>
  <c r="D14" i="17"/>
  <c r="E14" i="17"/>
  <c r="G14" i="17"/>
  <c r="C15" i="17"/>
  <c r="D15" i="17"/>
  <c r="E15" i="17"/>
  <c r="G15" i="17"/>
  <c r="C16" i="17"/>
  <c r="D16" i="17"/>
  <c r="E16" i="17"/>
  <c r="G16" i="17"/>
  <c r="C17" i="17"/>
  <c r="D17" i="17"/>
  <c r="E17" i="17"/>
  <c r="G17" i="17"/>
  <c r="C18" i="17"/>
  <c r="D18" i="17"/>
  <c r="E18" i="17"/>
  <c r="G18" i="17"/>
  <c r="C19" i="17"/>
  <c r="D19" i="17"/>
  <c r="E19" i="17"/>
  <c r="G19" i="17"/>
  <c r="C20" i="17"/>
  <c r="D20" i="17"/>
  <c r="E20" i="17"/>
  <c r="G20" i="17"/>
  <c r="C21" i="17"/>
  <c r="D21" i="17"/>
  <c r="E21" i="17"/>
  <c r="G21" i="17"/>
  <c r="C22" i="17"/>
  <c r="D22" i="17"/>
  <c r="E22" i="17"/>
  <c r="G22" i="17"/>
  <c r="C23" i="17"/>
  <c r="D23" i="17"/>
  <c r="E23" i="17"/>
  <c r="G23" i="17"/>
  <c r="C24" i="17"/>
  <c r="D24" i="17"/>
  <c r="E24" i="17"/>
  <c r="G24" i="17"/>
  <c r="C25" i="17"/>
  <c r="D25" i="17"/>
  <c r="E25" i="17"/>
  <c r="G25" i="17"/>
  <c r="C26" i="17"/>
  <c r="D26" i="17"/>
  <c r="E26" i="17"/>
  <c r="G26" i="17"/>
  <c r="C27" i="17"/>
  <c r="D27" i="17"/>
  <c r="E27" i="17"/>
  <c r="G27" i="17"/>
  <c r="C28" i="17"/>
  <c r="D28" i="17"/>
  <c r="E28" i="17"/>
  <c r="G28" i="17"/>
  <c r="C29" i="17"/>
  <c r="D29" i="17"/>
  <c r="E29" i="17"/>
  <c r="G29" i="17"/>
  <c r="C30" i="17"/>
  <c r="D30" i="17"/>
  <c r="E30" i="17"/>
  <c r="G30" i="17"/>
  <c r="C31" i="17"/>
  <c r="D31" i="17"/>
  <c r="E31" i="17"/>
  <c r="G31" i="17"/>
  <c r="C32" i="17"/>
  <c r="D32" i="17"/>
  <c r="E32" i="17"/>
  <c r="G32" i="17"/>
  <c r="C33" i="17"/>
  <c r="D33" i="17"/>
  <c r="E33" i="17"/>
  <c r="G33" i="17"/>
  <c r="C34" i="17"/>
  <c r="D34" i="17"/>
  <c r="E34" i="17"/>
  <c r="G34" i="17"/>
  <c r="C35" i="17"/>
  <c r="D35" i="17"/>
  <c r="E35" i="17"/>
  <c r="G35" i="17"/>
  <c r="C36" i="17"/>
  <c r="D36" i="17"/>
  <c r="E36" i="17"/>
  <c r="G36" i="17"/>
  <c r="C37" i="17"/>
  <c r="D37" i="17"/>
  <c r="E37" i="17"/>
  <c r="G37" i="17"/>
  <c r="C38" i="17"/>
  <c r="D38" i="17"/>
  <c r="E38" i="17"/>
  <c r="G38" i="17"/>
  <c r="C39" i="17"/>
  <c r="D39" i="17"/>
  <c r="E39" i="17"/>
  <c r="G39" i="17"/>
  <c r="C40" i="17"/>
  <c r="D40" i="17"/>
  <c r="E40" i="17"/>
  <c r="G40" i="17"/>
  <c r="C41" i="17"/>
  <c r="D41" i="17"/>
  <c r="E41" i="17"/>
  <c r="G41" i="17"/>
  <c r="C42" i="17"/>
  <c r="D42" i="17"/>
  <c r="E42" i="17"/>
  <c r="G42" i="17"/>
  <c r="C43" i="17"/>
  <c r="D43" i="17"/>
  <c r="E43" i="17"/>
  <c r="G43" i="17"/>
  <c r="C44" i="17"/>
  <c r="D44" i="17"/>
  <c r="E44" i="17"/>
  <c r="G44" i="17"/>
  <c r="C45" i="17"/>
  <c r="D45" i="17"/>
  <c r="E45" i="17"/>
  <c r="G45" i="17"/>
  <c r="C46" i="17"/>
  <c r="D46" i="17"/>
  <c r="E46" i="17"/>
  <c r="G46" i="17"/>
  <c r="C47" i="17"/>
  <c r="D47" i="17"/>
  <c r="E47" i="17"/>
  <c r="G47" i="17"/>
  <c r="C48" i="17"/>
  <c r="D48" i="17"/>
  <c r="E48" i="17"/>
  <c r="G48" i="17"/>
  <c r="C49" i="17"/>
  <c r="D49" i="17"/>
  <c r="E49" i="17"/>
  <c r="G49" i="17"/>
  <c r="C50" i="17"/>
  <c r="D50" i="17"/>
  <c r="E50" i="17"/>
  <c r="G50" i="17"/>
  <c r="C51" i="17"/>
  <c r="D51" i="17"/>
  <c r="E51" i="17"/>
  <c r="G51" i="17"/>
  <c r="C52" i="17"/>
  <c r="D52" i="17"/>
  <c r="E52" i="17"/>
  <c r="G52" i="17"/>
  <c r="C53" i="17"/>
  <c r="D53" i="17"/>
  <c r="E53" i="17"/>
  <c r="G53" i="17"/>
  <c r="C54" i="17"/>
  <c r="D54" i="17"/>
  <c r="E54" i="17"/>
  <c r="G54" i="17"/>
  <c r="C55" i="17"/>
  <c r="D55" i="17"/>
  <c r="E55" i="17"/>
  <c r="G55" i="17"/>
  <c r="C56" i="17"/>
  <c r="D56" i="17"/>
  <c r="E56" i="17"/>
  <c r="G56" i="17"/>
  <c r="C57" i="17"/>
  <c r="D57" i="17"/>
  <c r="E57" i="17"/>
  <c r="G57" i="17"/>
  <c r="C58" i="17"/>
  <c r="D58" i="17"/>
  <c r="E58" i="17"/>
  <c r="G58" i="17"/>
  <c r="C59" i="17"/>
  <c r="D59" i="17"/>
  <c r="E59" i="17"/>
  <c r="G59" i="17"/>
  <c r="C60" i="17"/>
  <c r="D60" i="17"/>
  <c r="E60" i="17"/>
  <c r="G60" i="17"/>
  <c r="C61" i="17"/>
  <c r="D61" i="17"/>
  <c r="E61" i="17"/>
  <c r="G61" i="17"/>
  <c r="C62" i="17"/>
  <c r="D62" i="17"/>
  <c r="E62" i="17"/>
  <c r="G62" i="17"/>
  <c r="C63" i="17"/>
  <c r="D63" i="17"/>
  <c r="E63" i="17"/>
  <c r="G63" i="17"/>
  <c r="C64" i="17"/>
  <c r="D64" i="17"/>
  <c r="E64" i="17"/>
  <c r="G64" i="17"/>
  <c r="C65" i="17"/>
  <c r="D65" i="17"/>
  <c r="E65" i="17"/>
  <c r="G65" i="17"/>
  <c r="C66" i="17"/>
  <c r="D66" i="17"/>
  <c r="E66" i="17"/>
  <c r="G66" i="17"/>
  <c r="C67" i="17"/>
  <c r="D67" i="17"/>
  <c r="E67" i="17"/>
  <c r="G67" i="17"/>
  <c r="C68" i="17"/>
  <c r="D68" i="17"/>
  <c r="E68" i="17"/>
  <c r="G68" i="17"/>
  <c r="C69" i="17"/>
  <c r="D69" i="17"/>
  <c r="E69" i="17"/>
  <c r="G69" i="17"/>
  <c r="C70" i="17"/>
  <c r="D70" i="17"/>
  <c r="E70" i="17"/>
  <c r="G70" i="17"/>
  <c r="C71" i="17"/>
  <c r="D71" i="17"/>
  <c r="E71" i="17"/>
  <c r="G71" i="17"/>
  <c r="C72" i="17"/>
  <c r="D72" i="17"/>
  <c r="E72" i="17"/>
  <c r="G72" i="17"/>
  <c r="C73" i="17"/>
  <c r="D73" i="17"/>
  <c r="E73" i="17"/>
  <c r="G73" i="17"/>
  <c r="C74" i="17"/>
  <c r="D74" i="17"/>
  <c r="E74" i="17"/>
  <c r="G74" i="17"/>
  <c r="C75" i="17"/>
  <c r="D75" i="17"/>
  <c r="E75" i="17"/>
  <c r="G75" i="17"/>
  <c r="C76" i="17"/>
  <c r="D76" i="17"/>
  <c r="E76" i="17"/>
  <c r="G76" i="17"/>
  <c r="C77" i="17"/>
  <c r="D77" i="17"/>
  <c r="E77" i="17"/>
  <c r="G77" i="17"/>
  <c r="C78" i="17"/>
  <c r="D78" i="17"/>
  <c r="E78" i="17"/>
  <c r="G78" i="17"/>
  <c r="C79" i="17"/>
  <c r="D79" i="17"/>
  <c r="E79" i="17"/>
  <c r="G79" i="17"/>
  <c r="C80" i="17"/>
  <c r="D80" i="17"/>
  <c r="E80" i="17"/>
  <c r="G80" i="17"/>
  <c r="C81" i="17"/>
  <c r="D81" i="17"/>
  <c r="E81" i="17"/>
  <c r="G81" i="17"/>
  <c r="C82" i="17"/>
  <c r="D82" i="17"/>
  <c r="E82" i="17"/>
  <c r="G82" i="17"/>
  <c r="C83" i="17"/>
  <c r="D83" i="17"/>
  <c r="E83" i="17"/>
  <c r="G83" i="17"/>
  <c r="C84" i="17"/>
  <c r="D84" i="17"/>
  <c r="E84" i="17"/>
  <c r="G84" i="17"/>
  <c r="C85" i="17"/>
  <c r="D85" i="17"/>
  <c r="E85" i="17"/>
  <c r="G85" i="17"/>
  <c r="C86" i="17"/>
  <c r="D86" i="17"/>
  <c r="E86" i="17"/>
  <c r="G86" i="17"/>
  <c r="C87" i="17"/>
  <c r="D87" i="17"/>
  <c r="E87" i="17"/>
  <c r="G87" i="17"/>
  <c r="C88" i="17"/>
  <c r="D88" i="17"/>
  <c r="E88" i="17"/>
  <c r="G88" i="17"/>
  <c r="C89" i="17"/>
  <c r="D89" i="17"/>
  <c r="E89" i="17"/>
  <c r="G89" i="17"/>
  <c r="C90" i="17"/>
  <c r="D90" i="17"/>
  <c r="E90" i="17"/>
  <c r="G90" i="17"/>
  <c r="C91" i="17"/>
  <c r="D91" i="17"/>
  <c r="E91" i="17"/>
  <c r="G91" i="17"/>
  <c r="C92" i="17"/>
  <c r="D92" i="17"/>
  <c r="E92" i="17"/>
  <c r="G92" i="17"/>
  <c r="C93" i="17"/>
  <c r="D93" i="17"/>
  <c r="E93" i="17"/>
  <c r="G93" i="17"/>
  <c r="C94" i="17"/>
  <c r="D94" i="17"/>
  <c r="E94" i="17"/>
  <c r="G94" i="17"/>
  <c r="C95" i="17"/>
  <c r="D95" i="17"/>
  <c r="E95" i="17"/>
  <c r="G95" i="17"/>
  <c r="C96" i="17"/>
  <c r="D96" i="17"/>
  <c r="E96" i="17"/>
  <c r="G96" i="17"/>
  <c r="C97" i="17"/>
  <c r="D97" i="17"/>
  <c r="E97" i="17"/>
  <c r="G97" i="17"/>
  <c r="C98" i="17"/>
  <c r="D98" i="17"/>
  <c r="E98" i="17"/>
  <c r="G98" i="17"/>
  <c r="C99" i="17"/>
  <c r="D99" i="17"/>
  <c r="E99" i="17"/>
  <c r="G99" i="17"/>
  <c r="C100" i="17"/>
  <c r="D100" i="17"/>
  <c r="E100" i="17"/>
  <c r="G100" i="17"/>
  <c r="C101" i="17"/>
  <c r="D101" i="17"/>
  <c r="E101" i="17"/>
  <c r="G101" i="17"/>
  <c r="B7" i="23"/>
  <c r="F32" i="23"/>
  <c r="D32" i="23"/>
  <c r="D29" i="23"/>
  <c r="D28" i="23"/>
  <c r="F26" i="23"/>
  <c r="F25" i="23"/>
  <c r="D27" i="23"/>
  <c r="C102" i="7"/>
  <c r="D102" i="7"/>
  <c r="E102" i="7"/>
  <c r="G102" i="7"/>
  <c r="C103" i="7"/>
  <c r="D103" i="7"/>
  <c r="E103" i="7"/>
  <c r="G103" i="7"/>
  <c r="C104" i="7"/>
  <c r="D104" i="7"/>
  <c r="E104" i="7"/>
  <c r="G104" i="7"/>
  <c r="C105" i="7"/>
  <c r="D105" i="7"/>
  <c r="E105" i="7"/>
  <c r="G105" i="7"/>
  <c r="C106" i="7"/>
  <c r="D106" i="7"/>
  <c r="E106" i="7"/>
  <c r="G106" i="7"/>
  <c r="C107" i="7"/>
  <c r="D107" i="7"/>
  <c r="E107" i="7"/>
  <c r="G107" i="7"/>
  <c r="C108" i="7"/>
  <c r="D108" i="7"/>
  <c r="E108" i="7"/>
  <c r="G108" i="7"/>
  <c r="C109" i="7"/>
  <c r="D109" i="7"/>
  <c r="E109" i="7"/>
  <c r="G109" i="7"/>
  <c r="C110" i="7"/>
  <c r="D110" i="7"/>
  <c r="E110" i="7"/>
  <c r="G110" i="7"/>
  <c r="C111" i="7"/>
  <c r="D111" i="7"/>
  <c r="E111" i="7"/>
  <c r="G111" i="7"/>
  <c r="C112" i="7"/>
  <c r="D112" i="7"/>
  <c r="E112" i="7"/>
  <c r="G112" i="7"/>
  <c r="C113" i="7"/>
  <c r="D113" i="7"/>
  <c r="E113" i="7"/>
  <c r="G113" i="7"/>
  <c r="C114" i="7"/>
  <c r="D114" i="7"/>
  <c r="E114" i="7"/>
  <c r="G114" i="7"/>
  <c r="C115" i="7"/>
  <c r="D115" i="7"/>
  <c r="E115" i="7"/>
  <c r="G115" i="7"/>
  <c r="C116" i="7"/>
  <c r="D116" i="7"/>
  <c r="E116" i="7"/>
  <c r="G116" i="7"/>
  <c r="C117" i="7"/>
  <c r="D117" i="7"/>
  <c r="E117" i="7"/>
  <c r="G117" i="7"/>
  <c r="C118" i="7"/>
  <c r="D118" i="7"/>
  <c r="E118" i="7"/>
  <c r="G118" i="7"/>
  <c r="C119" i="7"/>
  <c r="D119" i="7"/>
  <c r="E119" i="7"/>
  <c r="G119" i="7"/>
  <c r="C120" i="7"/>
  <c r="D120" i="7"/>
  <c r="E120" i="7"/>
  <c r="G120" i="7"/>
  <c r="C121" i="7"/>
  <c r="D121" i="7"/>
  <c r="E121" i="7"/>
  <c r="G121" i="7"/>
  <c r="C122" i="7"/>
  <c r="D122" i="7"/>
  <c r="E122" i="7"/>
  <c r="G122" i="7"/>
  <c r="C123" i="7"/>
  <c r="D123" i="7"/>
  <c r="E123" i="7"/>
  <c r="G123" i="7"/>
  <c r="C124" i="7"/>
  <c r="D124" i="7"/>
  <c r="E124" i="7"/>
  <c r="G124" i="7"/>
  <c r="C125" i="7"/>
  <c r="D125" i="7"/>
  <c r="E125" i="7"/>
  <c r="G125" i="7"/>
  <c r="C126" i="7"/>
  <c r="D126" i="7"/>
  <c r="E126" i="7"/>
  <c r="G126" i="7"/>
  <c r="C127" i="7"/>
  <c r="D127" i="7"/>
  <c r="E127" i="7"/>
  <c r="G127" i="7"/>
  <c r="C128" i="7"/>
  <c r="D128" i="7"/>
  <c r="E128" i="7"/>
  <c r="G128" i="7"/>
  <c r="C129" i="7"/>
  <c r="D129" i="7"/>
  <c r="E129" i="7"/>
  <c r="G129" i="7"/>
  <c r="C130" i="7"/>
  <c r="D130" i="7"/>
  <c r="E130" i="7"/>
  <c r="G130" i="7"/>
  <c r="C131" i="7"/>
  <c r="D131" i="7"/>
  <c r="E131" i="7"/>
  <c r="G131" i="7"/>
  <c r="C132" i="7"/>
  <c r="D132" i="7"/>
  <c r="E132" i="7"/>
  <c r="G132" i="7"/>
  <c r="C133" i="7"/>
  <c r="D133" i="7"/>
  <c r="E133" i="7"/>
  <c r="G133" i="7"/>
  <c r="C134" i="7"/>
  <c r="D134" i="7"/>
  <c r="E134" i="7"/>
  <c r="G134" i="7"/>
  <c r="C135" i="7"/>
  <c r="D135" i="7"/>
  <c r="E135" i="7"/>
  <c r="G135" i="7"/>
  <c r="C136" i="7"/>
  <c r="D136" i="7"/>
  <c r="E136" i="7"/>
  <c r="G136" i="7"/>
  <c r="C137" i="7"/>
  <c r="D137" i="7"/>
  <c r="E137" i="7"/>
  <c r="G137" i="7"/>
  <c r="C138" i="7"/>
  <c r="D138" i="7"/>
  <c r="E138" i="7"/>
  <c r="G138" i="7"/>
  <c r="C139" i="7"/>
  <c r="D139" i="7"/>
  <c r="E139" i="7"/>
  <c r="G139" i="7"/>
  <c r="C140" i="7"/>
  <c r="D140" i="7"/>
  <c r="E140" i="7"/>
  <c r="G140" i="7"/>
  <c r="C141" i="7"/>
  <c r="D141" i="7"/>
  <c r="E141" i="7"/>
  <c r="G141" i="7"/>
  <c r="C142" i="7"/>
  <c r="D142" i="7"/>
  <c r="E142" i="7"/>
  <c r="G142" i="7"/>
  <c r="C143" i="7"/>
  <c r="D143" i="7"/>
  <c r="E143" i="7"/>
  <c r="G143" i="7"/>
  <c r="C144" i="7"/>
  <c r="D144" i="7"/>
  <c r="E144" i="7"/>
  <c r="G144" i="7"/>
  <c r="C145" i="7"/>
  <c r="D145" i="7"/>
  <c r="E145" i="7"/>
  <c r="G145" i="7"/>
  <c r="C146" i="7"/>
  <c r="D146" i="7"/>
  <c r="E146" i="7"/>
  <c r="G146" i="7"/>
  <c r="C147" i="7"/>
  <c r="D147" i="7"/>
  <c r="E147" i="7"/>
  <c r="G147" i="7"/>
  <c r="C148" i="7"/>
  <c r="D148" i="7"/>
  <c r="E148" i="7"/>
  <c r="G148" i="7"/>
  <c r="C149" i="7"/>
  <c r="D149" i="7"/>
  <c r="E149" i="7"/>
  <c r="G149" i="7"/>
  <c r="C102" i="17"/>
  <c r="D102" i="17"/>
  <c r="E102" i="17"/>
  <c r="G102" i="17"/>
  <c r="C103" i="17"/>
  <c r="D103" i="17"/>
  <c r="E103" i="17"/>
  <c r="G103" i="17"/>
  <c r="C104" i="17"/>
  <c r="D104" i="17"/>
  <c r="E104" i="17"/>
  <c r="G104" i="17"/>
  <c r="C105" i="17"/>
  <c r="D105" i="17"/>
  <c r="E105" i="17"/>
  <c r="G105" i="17"/>
  <c r="C106" i="17"/>
  <c r="D106" i="17"/>
  <c r="E106" i="17"/>
  <c r="G106" i="17"/>
  <c r="C107" i="17"/>
  <c r="D107" i="17"/>
  <c r="E107" i="17"/>
  <c r="G107" i="17"/>
  <c r="C108" i="17"/>
  <c r="D108" i="17"/>
  <c r="E108" i="17"/>
  <c r="G108" i="17"/>
  <c r="C109" i="17"/>
  <c r="D109" i="17"/>
  <c r="E109" i="17"/>
  <c r="G109" i="17"/>
  <c r="C110" i="17"/>
  <c r="D110" i="17"/>
  <c r="E110" i="17"/>
  <c r="G110" i="17"/>
  <c r="C111" i="17"/>
  <c r="D111" i="17"/>
  <c r="E111" i="17"/>
  <c r="G111" i="17"/>
  <c r="C112" i="17"/>
  <c r="D112" i="17"/>
  <c r="E112" i="17"/>
  <c r="G112" i="17"/>
  <c r="C113" i="17"/>
  <c r="D113" i="17"/>
  <c r="E113" i="17"/>
  <c r="G113" i="17"/>
  <c r="C114" i="17"/>
  <c r="D114" i="17"/>
  <c r="E114" i="17"/>
  <c r="G114" i="17"/>
  <c r="C115" i="17"/>
  <c r="D115" i="17"/>
  <c r="E115" i="17"/>
  <c r="G115" i="17"/>
  <c r="C116" i="17"/>
  <c r="D116" i="17"/>
  <c r="E116" i="17"/>
  <c r="G116" i="17"/>
  <c r="C117" i="17"/>
  <c r="D117" i="17"/>
  <c r="E117" i="17"/>
  <c r="G117" i="17"/>
  <c r="C118" i="17"/>
  <c r="D118" i="17"/>
  <c r="E118" i="17"/>
  <c r="G118" i="17"/>
  <c r="C119" i="17"/>
  <c r="D119" i="17"/>
  <c r="E119" i="17"/>
  <c r="G119" i="17"/>
  <c r="C120" i="17"/>
  <c r="D120" i="17"/>
  <c r="E120" i="17"/>
  <c r="G120" i="17"/>
  <c r="C121" i="17"/>
  <c r="D121" i="17"/>
  <c r="E121" i="17"/>
  <c r="G121" i="17"/>
  <c r="C122" i="17"/>
  <c r="D122" i="17"/>
  <c r="E122" i="17"/>
  <c r="G122" i="17"/>
  <c r="C123" i="17"/>
  <c r="D123" i="17"/>
  <c r="E123" i="17"/>
  <c r="G123" i="17"/>
  <c r="C124" i="17"/>
  <c r="D124" i="17"/>
  <c r="E124" i="17"/>
  <c r="G124" i="17"/>
  <c r="C125" i="17"/>
  <c r="D125" i="17"/>
  <c r="E125" i="17"/>
  <c r="G125" i="17"/>
  <c r="C126" i="17"/>
  <c r="D126" i="17"/>
  <c r="E126" i="17"/>
  <c r="G126" i="17"/>
  <c r="C127" i="17"/>
  <c r="D127" i="17"/>
  <c r="E127" i="17"/>
  <c r="G127" i="17"/>
  <c r="C128" i="17"/>
  <c r="D128" i="17"/>
  <c r="E128" i="17"/>
  <c r="G128" i="17"/>
  <c r="C129" i="17"/>
  <c r="D129" i="17"/>
  <c r="E129" i="17"/>
  <c r="G129" i="17"/>
  <c r="C130" i="17"/>
  <c r="D130" i="17"/>
  <c r="E130" i="17"/>
  <c r="G130" i="17"/>
  <c r="C131" i="17"/>
  <c r="D131" i="17"/>
  <c r="E131" i="17"/>
  <c r="G131" i="17"/>
  <c r="C132" i="17"/>
  <c r="D132" i="17"/>
  <c r="E132" i="17"/>
  <c r="G132" i="17"/>
  <c r="C133" i="17"/>
  <c r="D133" i="17"/>
  <c r="E133" i="17"/>
  <c r="G133" i="17"/>
  <c r="C134" i="17"/>
  <c r="D134" i="17"/>
  <c r="E134" i="17"/>
  <c r="G134" i="17"/>
  <c r="C135" i="17"/>
  <c r="D135" i="17"/>
  <c r="E135" i="17"/>
  <c r="G135" i="17"/>
  <c r="C136" i="17"/>
  <c r="D136" i="17"/>
  <c r="E136" i="17"/>
  <c r="G136" i="17"/>
  <c r="C137" i="17"/>
  <c r="D137" i="17"/>
  <c r="E137" i="17"/>
  <c r="G137" i="17"/>
  <c r="C138" i="17"/>
  <c r="D138" i="17"/>
  <c r="E138" i="17"/>
  <c r="G138" i="17"/>
  <c r="C139" i="17"/>
  <c r="D139" i="17"/>
  <c r="E139" i="17"/>
  <c r="G139" i="17"/>
  <c r="C140" i="17"/>
  <c r="D140" i="17"/>
  <c r="E140" i="17"/>
  <c r="G140" i="17"/>
  <c r="C141" i="17"/>
  <c r="D141" i="17"/>
  <c r="E141" i="17"/>
  <c r="G141" i="17"/>
  <c r="C142" i="17"/>
  <c r="D142" i="17"/>
  <c r="E142" i="17"/>
  <c r="G142" i="17"/>
  <c r="C143" i="17"/>
  <c r="D143" i="17"/>
  <c r="E143" i="17"/>
  <c r="G143" i="17"/>
  <c r="C144" i="17"/>
  <c r="D144" i="17"/>
  <c r="E144" i="17"/>
  <c r="G144" i="17"/>
  <c r="C145" i="17"/>
  <c r="D145" i="17"/>
  <c r="E145" i="17"/>
  <c r="G145" i="17"/>
  <c r="C146" i="17"/>
  <c r="D146" i="17"/>
  <c r="E146" i="17"/>
  <c r="G146" i="17"/>
  <c r="C147" i="17"/>
  <c r="D147" i="17"/>
  <c r="E147" i="17"/>
  <c r="G147" i="17"/>
  <c r="C148" i="17"/>
  <c r="D148" i="17"/>
  <c r="E148" i="17"/>
  <c r="G148" i="17"/>
  <c r="C149" i="17"/>
  <c r="D149" i="17"/>
  <c r="E149" i="17"/>
  <c r="G149" i="17"/>
  <c r="I15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L32" i="8"/>
  <c r="L21" i="8"/>
  <c r="B6" i="23"/>
  <c r="L15" i="8"/>
  <c r="L4" i="8"/>
  <c r="B5" i="23"/>
  <c r="P15" i="8"/>
  <c r="P4" i="8"/>
  <c r="B3" i="23"/>
  <c r="H4" i="8"/>
  <c r="H15" i="8"/>
  <c r="B2" i="23"/>
  <c r="T4" i="8"/>
  <c r="T15" i="8"/>
  <c r="B4" i="23"/>
  <c r="B12" i="23"/>
  <c r="G8" i="15"/>
  <c r="H8" i="15"/>
  <c r="G9" i="15"/>
  <c r="H9" i="15"/>
  <c r="G10" i="15"/>
  <c r="H10" i="15"/>
  <c r="G11" i="15"/>
  <c r="H11" i="15"/>
  <c r="G12" i="15"/>
  <c r="H12" i="15"/>
  <c r="G13" i="15"/>
  <c r="H13" i="15"/>
  <c r="G14" i="15"/>
  <c r="H14" i="15"/>
  <c r="G15" i="15"/>
  <c r="H15" i="15"/>
  <c r="G16" i="15"/>
  <c r="H16" i="15"/>
  <c r="G17" i="15"/>
  <c r="H17" i="15"/>
  <c r="G18" i="15"/>
  <c r="H18" i="15"/>
  <c r="G19" i="15"/>
  <c r="H19" i="15"/>
  <c r="H7" i="15"/>
  <c r="G7" i="15"/>
  <c r="G7" i="18"/>
  <c r="F3" i="2"/>
  <c r="F4" i="2"/>
  <c r="F5" i="2"/>
  <c r="F6" i="2"/>
  <c r="F7" i="2"/>
  <c r="F8" i="2"/>
  <c r="F9" i="2"/>
  <c r="F10" i="2"/>
  <c r="F11" i="2"/>
  <c r="F12" i="2"/>
  <c r="F13" i="2"/>
  <c r="F14" i="2"/>
  <c r="I3" i="2"/>
  <c r="J3" i="2"/>
  <c r="B10" i="23"/>
  <c r="B9" i="23"/>
  <c r="M32" i="8"/>
  <c r="M21" i="8"/>
  <c r="C6" i="23"/>
  <c r="M15" i="8"/>
  <c r="M4" i="8"/>
  <c r="C5" i="23"/>
  <c r="U4" i="8"/>
  <c r="U15" i="8"/>
  <c r="C4" i="23"/>
  <c r="Q4" i="8"/>
  <c r="Q15" i="8"/>
  <c r="C3" i="23"/>
  <c r="I4" i="8"/>
  <c r="I15" i="8"/>
  <c r="C2" i="23"/>
  <c r="P3" i="8"/>
  <c r="H5" i="3"/>
  <c r="L5" i="3"/>
  <c r="P5" i="3"/>
  <c r="Q5" i="3"/>
  <c r="H6" i="3"/>
  <c r="L6" i="3"/>
  <c r="P6" i="3"/>
  <c r="Q6" i="3"/>
  <c r="H7" i="3"/>
  <c r="L7" i="3"/>
  <c r="P7" i="3"/>
  <c r="Q7" i="3"/>
  <c r="H8" i="3"/>
  <c r="L8" i="3"/>
  <c r="P8" i="3"/>
  <c r="Q8" i="3"/>
  <c r="H9" i="3"/>
  <c r="L9" i="3"/>
  <c r="P9" i="3"/>
  <c r="Q9" i="3"/>
  <c r="H10" i="3"/>
  <c r="L10" i="3"/>
  <c r="P10" i="3"/>
  <c r="Q10" i="3"/>
  <c r="H11" i="3"/>
  <c r="L11" i="3"/>
  <c r="P11" i="3"/>
  <c r="Q11" i="3"/>
  <c r="H12" i="3"/>
  <c r="L12" i="3"/>
  <c r="P12" i="3"/>
  <c r="Q12" i="3"/>
  <c r="H13" i="3"/>
  <c r="L13" i="3"/>
  <c r="P13" i="3"/>
  <c r="Q13" i="3"/>
  <c r="H14" i="3"/>
  <c r="L14" i="3"/>
  <c r="P14" i="3"/>
  <c r="Q14" i="3"/>
  <c r="H15" i="3"/>
  <c r="L15" i="3"/>
  <c r="P15" i="3"/>
  <c r="Q15" i="3"/>
  <c r="H4" i="3"/>
  <c r="L4" i="3"/>
  <c r="P4" i="3"/>
  <c r="R4" i="3"/>
  <c r="Q4" i="3"/>
  <c r="S12" i="3"/>
  <c r="S4" i="3"/>
  <c r="R5" i="3"/>
  <c r="R6" i="3"/>
  <c r="R7" i="3"/>
  <c r="R8" i="3"/>
  <c r="R9" i="3"/>
  <c r="R10" i="3"/>
  <c r="R11" i="3"/>
  <c r="R12" i="3"/>
  <c r="R13" i="3"/>
  <c r="R14" i="3"/>
  <c r="R15" i="3"/>
  <c r="P3" i="3"/>
  <c r="L3" i="3"/>
  <c r="H3" i="3"/>
  <c r="C5" i="3"/>
  <c r="C6" i="3"/>
  <c r="C7" i="3"/>
  <c r="C8" i="3"/>
  <c r="C9" i="3"/>
  <c r="C10" i="3"/>
  <c r="C11" i="3"/>
  <c r="C12" i="3"/>
  <c r="C13" i="3"/>
  <c r="C14" i="3"/>
  <c r="C15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C5" i="2"/>
  <c r="C6" i="2"/>
  <c r="C7" i="2"/>
  <c r="C8" i="2"/>
  <c r="C9" i="2"/>
  <c r="C10" i="2"/>
  <c r="C11" i="2"/>
  <c r="C12" i="2"/>
  <c r="C13" i="2"/>
  <c r="C14" i="2"/>
  <c r="C15" i="2"/>
  <c r="J15" i="2"/>
  <c r="K15" i="2"/>
  <c r="F15" i="2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I3" i="8"/>
  <c r="H3" i="8"/>
  <c r="L3" i="8"/>
  <c r="G7" i="19"/>
  <c r="R68" i="22"/>
  <c r="R73" i="22"/>
  <c r="R63" i="22"/>
  <c r="D4" i="2"/>
  <c r="D5" i="2"/>
  <c r="D6" i="2"/>
  <c r="D7" i="2"/>
  <c r="D8" i="2"/>
  <c r="D9" i="2"/>
  <c r="D10" i="2"/>
  <c r="D11" i="2"/>
  <c r="D12" i="2"/>
  <c r="D13" i="2"/>
  <c r="D14" i="2"/>
  <c r="D15" i="2"/>
  <c r="D3" i="2"/>
  <c r="T68" i="22"/>
  <c r="Q5" i="22"/>
  <c r="T5" i="22"/>
  <c r="Q6" i="22"/>
  <c r="T6" i="22"/>
  <c r="Q7" i="22"/>
  <c r="T7" i="22"/>
  <c r="Q8" i="22"/>
  <c r="T8" i="22"/>
  <c r="Q9" i="22"/>
  <c r="T9" i="22"/>
  <c r="Q10" i="22"/>
  <c r="T10" i="22"/>
  <c r="Q11" i="22"/>
  <c r="T11" i="22"/>
  <c r="Q12" i="22"/>
  <c r="T12" i="22"/>
  <c r="Q13" i="22"/>
  <c r="T13" i="22"/>
  <c r="Q14" i="22"/>
  <c r="T14" i="22"/>
  <c r="Q15" i="22"/>
  <c r="T15" i="22"/>
  <c r="T4" i="22"/>
  <c r="S5" i="22"/>
  <c r="S6" i="22"/>
  <c r="S7" i="22"/>
  <c r="S8" i="22"/>
  <c r="S9" i="22"/>
  <c r="S10" i="22"/>
  <c r="S11" i="22"/>
  <c r="S12" i="22"/>
  <c r="S13" i="22"/>
  <c r="S14" i="22"/>
  <c r="S15" i="22"/>
  <c r="S4" i="22"/>
  <c r="R5" i="22"/>
  <c r="R6" i="22"/>
  <c r="R7" i="22"/>
  <c r="R8" i="22"/>
  <c r="R9" i="22"/>
  <c r="R10" i="22"/>
  <c r="R11" i="22"/>
  <c r="R12" i="22"/>
  <c r="R13" i="22"/>
  <c r="R14" i="22"/>
  <c r="R15" i="22"/>
  <c r="R4" i="22"/>
  <c r="T13" i="8"/>
  <c r="J4" i="4"/>
  <c r="J5" i="4"/>
  <c r="J6" i="4"/>
  <c r="J7" i="4"/>
  <c r="J8" i="4"/>
  <c r="J9" i="4"/>
  <c r="J10" i="4"/>
  <c r="J11" i="4"/>
  <c r="J12" i="4"/>
  <c r="J13" i="4"/>
  <c r="J14" i="4"/>
  <c r="J15" i="4"/>
  <c r="J3" i="4"/>
  <c r="I3" i="4"/>
  <c r="H7" i="21"/>
  <c r="G7" i="21"/>
  <c r="G8" i="21"/>
  <c r="I4" i="4"/>
  <c r="I5" i="4"/>
  <c r="I6" i="4"/>
  <c r="I7" i="4"/>
  <c r="I8" i="4"/>
  <c r="I9" i="4"/>
  <c r="I10" i="4"/>
  <c r="I11" i="4"/>
  <c r="I12" i="4"/>
  <c r="I13" i="4"/>
  <c r="I14" i="4"/>
  <c r="I15" i="4"/>
  <c r="S15" i="3"/>
  <c r="S14" i="3"/>
  <c r="S13" i="3"/>
  <c r="S11" i="3"/>
  <c r="S10" i="3"/>
  <c r="S9" i="3"/>
  <c r="S8" i="3"/>
  <c r="S7" i="3"/>
  <c r="S6" i="3"/>
  <c r="S5" i="3"/>
  <c r="G18" i="16"/>
  <c r="H18" i="16"/>
  <c r="G19" i="16"/>
  <c r="H19" i="16"/>
  <c r="G18" i="14"/>
  <c r="H18" i="14"/>
  <c r="G19" i="14"/>
  <c r="H19" i="14"/>
  <c r="G18" i="21"/>
  <c r="H18" i="21"/>
  <c r="G19" i="21"/>
  <c r="H19" i="21"/>
  <c r="G18" i="20"/>
  <c r="H18" i="20"/>
  <c r="G19" i="20"/>
  <c r="H19" i="20"/>
  <c r="G18" i="18"/>
  <c r="H18" i="18"/>
  <c r="G19" i="18"/>
  <c r="H19" i="18"/>
  <c r="H31" i="8"/>
  <c r="I31" i="8"/>
  <c r="L31" i="8"/>
  <c r="M31" i="8"/>
  <c r="P31" i="8"/>
  <c r="Q31" i="8"/>
  <c r="H32" i="8"/>
  <c r="I32" i="8"/>
  <c r="P32" i="8"/>
  <c r="Q32" i="8"/>
  <c r="L14" i="8"/>
  <c r="M14" i="8"/>
  <c r="P14" i="8"/>
  <c r="Q14" i="8"/>
  <c r="T14" i="8"/>
  <c r="U14" i="8"/>
  <c r="G18" i="19"/>
  <c r="H18" i="19"/>
  <c r="G19" i="19"/>
  <c r="H19" i="19"/>
  <c r="G13" i="5"/>
  <c r="G14" i="5"/>
  <c r="G15" i="5"/>
  <c r="H7" i="19"/>
  <c r="H17" i="21"/>
  <c r="G17" i="21"/>
  <c r="H16" i="21"/>
  <c r="G16" i="21"/>
  <c r="H15" i="21"/>
  <c r="G15" i="21"/>
  <c r="H14" i="21"/>
  <c r="G14" i="21"/>
  <c r="H13" i="21"/>
  <c r="G13" i="21"/>
  <c r="H12" i="21"/>
  <c r="G12" i="21"/>
  <c r="H11" i="21"/>
  <c r="G11" i="21"/>
  <c r="H10" i="21"/>
  <c r="G10" i="21"/>
  <c r="H9" i="21"/>
  <c r="G9" i="21"/>
  <c r="H8" i="21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7" i="19"/>
  <c r="G17" i="19"/>
  <c r="H16" i="19"/>
  <c r="G16" i="19"/>
  <c r="H15" i="19"/>
  <c r="G15" i="19"/>
  <c r="H14" i="19"/>
  <c r="G14" i="19"/>
  <c r="H13" i="19"/>
  <c r="G13" i="19"/>
  <c r="H12" i="19"/>
  <c r="G12" i="19"/>
  <c r="H11" i="19"/>
  <c r="G11" i="19"/>
  <c r="H10" i="19"/>
  <c r="G10" i="19"/>
  <c r="H9" i="19"/>
  <c r="G9" i="19"/>
  <c r="H8" i="19"/>
  <c r="G8" i="19"/>
  <c r="H17" i="18"/>
  <c r="G17" i="18"/>
  <c r="H16" i="18"/>
  <c r="G16" i="18"/>
  <c r="H15" i="18"/>
  <c r="G15" i="18"/>
  <c r="H14" i="18"/>
  <c r="G14" i="18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K8" i="7"/>
  <c r="L8" i="7"/>
  <c r="H8" i="16"/>
  <c r="H9" i="16"/>
  <c r="H10" i="16"/>
  <c r="H11" i="16"/>
  <c r="H12" i="16"/>
  <c r="H13" i="16"/>
  <c r="H14" i="16"/>
  <c r="H15" i="16"/>
  <c r="H16" i="16"/>
  <c r="H17" i="16"/>
  <c r="H7" i="16"/>
  <c r="G8" i="16"/>
  <c r="G9" i="16"/>
  <c r="G10" i="16"/>
  <c r="G11" i="16"/>
  <c r="G12" i="16"/>
  <c r="G13" i="16"/>
  <c r="G14" i="16"/>
  <c r="G15" i="16"/>
  <c r="G16" i="16"/>
  <c r="G17" i="16"/>
  <c r="G7" i="16"/>
  <c r="H8" i="14"/>
  <c r="H9" i="14"/>
  <c r="H10" i="14"/>
  <c r="H11" i="14"/>
  <c r="H12" i="14"/>
  <c r="H13" i="14"/>
  <c r="H14" i="14"/>
  <c r="H15" i="14"/>
  <c r="H16" i="14"/>
  <c r="H17" i="14"/>
  <c r="G8" i="14"/>
  <c r="G9" i="14"/>
  <c r="G10" i="14"/>
  <c r="G11" i="14"/>
  <c r="G12" i="14"/>
  <c r="G13" i="14"/>
  <c r="G14" i="14"/>
  <c r="G15" i="14"/>
  <c r="G16" i="14"/>
  <c r="G17" i="14"/>
  <c r="H7" i="14"/>
  <c r="G7" i="14"/>
  <c r="P20" i="8"/>
  <c r="L20" i="8"/>
  <c r="H20" i="8"/>
  <c r="U3" i="8"/>
  <c r="Q3" i="8"/>
  <c r="M3" i="8"/>
  <c r="Q20" i="8"/>
  <c r="M20" i="8"/>
  <c r="I20" i="8"/>
  <c r="T3" i="8"/>
  <c r="G3" i="5"/>
  <c r="P21" i="8"/>
  <c r="I21" i="8"/>
  <c r="Q21" i="8"/>
  <c r="H21" i="8"/>
  <c r="G4" i="5"/>
  <c r="L22" i="8"/>
  <c r="P5" i="8"/>
  <c r="T5" i="8"/>
  <c r="Q22" i="8"/>
  <c r="Q5" i="8"/>
  <c r="P22" i="8"/>
  <c r="H22" i="8"/>
  <c r="L5" i="8"/>
  <c r="M22" i="8"/>
  <c r="U5" i="8"/>
  <c r="I22" i="8"/>
  <c r="M5" i="8"/>
  <c r="L7" i="8"/>
  <c r="G5" i="5"/>
  <c r="M23" i="8"/>
  <c r="I23" i="8"/>
  <c r="L23" i="8"/>
  <c r="Q23" i="8"/>
  <c r="P6" i="8"/>
  <c r="P23" i="8"/>
  <c r="H23" i="8"/>
  <c r="L6" i="8"/>
  <c r="U6" i="8"/>
  <c r="Q6" i="8"/>
  <c r="T6" i="8"/>
  <c r="M6" i="8"/>
  <c r="P24" i="8"/>
  <c r="Q24" i="8"/>
  <c r="I24" i="8"/>
  <c r="M7" i="8"/>
  <c r="H24" i="8"/>
  <c r="T7" i="8"/>
  <c r="U7" i="8"/>
  <c r="M24" i="8"/>
  <c r="Q7" i="8"/>
  <c r="L24" i="8"/>
  <c r="P7" i="8"/>
  <c r="G6" i="5"/>
  <c r="U8" i="8"/>
  <c r="M8" i="8"/>
  <c r="I25" i="8"/>
  <c r="P25" i="8"/>
  <c r="L25" i="8"/>
  <c r="H25" i="8"/>
  <c r="G7" i="5"/>
  <c r="T8" i="8"/>
  <c r="Q8" i="8"/>
  <c r="M25" i="8"/>
  <c r="T9" i="8"/>
  <c r="L8" i="8"/>
  <c r="P8" i="8"/>
  <c r="Q25" i="8"/>
  <c r="L9" i="8"/>
  <c r="M26" i="8"/>
  <c r="U9" i="8"/>
  <c r="M9" i="8"/>
  <c r="H26" i="8"/>
  <c r="I26" i="8"/>
  <c r="P26" i="8"/>
  <c r="P9" i="8"/>
  <c r="Q9" i="8"/>
  <c r="L26" i="8"/>
  <c r="G8" i="5"/>
  <c r="Q26" i="8"/>
  <c r="Q27" i="8"/>
  <c r="U10" i="8"/>
  <c r="M27" i="8"/>
  <c r="H27" i="8"/>
  <c r="Q10" i="8"/>
  <c r="T10" i="8"/>
  <c r="L10" i="8"/>
  <c r="G9" i="5"/>
  <c r="P27" i="8"/>
  <c r="P10" i="8"/>
  <c r="M10" i="8"/>
  <c r="L27" i="8"/>
  <c r="I27" i="8"/>
  <c r="P28" i="8"/>
  <c r="L28" i="8"/>
  <c r="T11" i="8"/>
  <c r="L11" i="8"/>
  <c r="I28" i="8"/>
  <c r="Q11" i="8"/>
  <c r="G10" i="5"/>
  <c r="M28" i="8"/>
  <c r="H28" i="8"/>
  <c r="P11" i="8"/>
  <c r="Q28" i="8"/>
  <c r="U11" i="8"/>
  <c r="M11" i="8"/>
  <c r="Q29" i="8"/>
  <c r="U12" i="8"/>
  <c r="M12" i="8"/>
  <c r="M29" i="8"/>
  <c r="H29" i="8"/>
  <c r="P12" i="8"/>
  <c r="G11" i="5"/>
  <c r="I29" i="8"/>
  <c r="Q12" i="8"/>
  <c r="P29" i="8"/>
  <c r="L29" i="8"/>
  <c r="T12" i="8"/>
  <c r="L12" i="8"/>
  <c r="G12" i="5"/>
  <c r="H30" i="8"/>
  <c r="U13" i="8"/>
  <c r="L30" i="8"/>
  <c r="L13" i="8"/>
  <c r="Q30" i="8"/>
  <c r="I30" i="8"/>
  <c r="Q13" i="8"/>
  <c r="P30" i="8"/>
  <c r="P13" i="8"/>
  <c r="M30" i="8"/>
  <c r="M13" i="8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<sst xmlns="http://schemas.openxmlformats.org/spreadsheetml/2006/main" count="449" uniqueCount="188">
  <si>
    <t>Fermentation:</t>
  </si>
  <si>
    <t>Strain:</t>
  </si>
  <si>
    <t>Mass Filter</t>
  </si>
  <si>
    <t>Mass Filter (g)</t>
  </si>
  <si>
    <t>Sample</t>
  </si>
  <si>
    <t>Time (h)</t>
  </si>
  <si>
    <t>0'</t>
  </si>
  <si>
    <t>Mass Sample</t>
  </si>
  <si>
    <t>(g)</t>
  </si>
  <si>
    <t>Total Mass</t>
  </si>
  <si>
    <t>Samples (g)</t>
  </si>
  <si>
    <t>Base (mL)</t>
  </si>
  <si>
    <t>Acid (mL)</t>
  </si>
  <si>
    <t xml:space="preserve">Volume </t>
  </si>
  <si>
    <t>Fermentor (mL)</t>
  </si>
  <si>
    <t>Initial Volume Fermentor (mL)</t>
  </si>
  <si>
    <t>Medium</t>
  </si>
  <si>
    <t>Taken (mL)</t>
  </si>
  <si>
    <t>PC 1</t>
  </si>
  <si>
    <t>Dilution</t>
  </si>
  <si>
    <t>PC 2</t>
  </si>
  <si>
    <t>PC 3</t>
  </si>
  <si>
    <t>PC</t>
  </si>
  <si>
    <t>STDEV</t>
  </si>
  <si>
    <t>OD1</t>
  </si>
  <si>
    <t>OD2</t>
  </si>
  <si>
    <t>OD3</t>
  </si>
  <si>
    <t xml:space="preserve">OD </t>
  </si>
  <si>
    <t>average</t>
  </si>
  <si>
    <t>Mass</t>
  </si>
  <si>
    <t>Filtered (g)</t>
  </si>
  <si>
    <t>plus CDM (g)</t>
  </si>
  <si>
    <t>CDM</t>
  </si>
  <si>
    <t>(g/L)</t>
  </si>
  <si>
    <t>CPSM</t>
  </si>
  <si>
    <t>Component</t>
  </si>
  <si>
    <t>Concentration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</si>
  <si>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</si>
  <si>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</si>
  <si>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</si>
  <si>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</si>
  <si>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</si>
  <si>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</si>
  <si>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</si>
  <si>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</si>
  <si>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</si>
  <si>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</si>
  <si>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</si>
  <si>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</si>
  <si>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Flow:</t>
  </si>
  <si>
    <t>mL/min</t>
  </si>
  <si>
    <t>Production</t>
  </si>
  <si>
    <t>Sum</t>
  </si>
  <si>
    <t>(ppm)</t>
  </si>
  <si>
    <t>mL/L</t>
  </si>
  <si>
    <t>(mL/min)</t>
  </si>
  <si>
    <t>(mmol/min/fermentor)</t>
  </si>
  <si>
    <t>(mmol/min/L)</t>
  </si>
  <si>
    <t>(mM)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</si>
  <si>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</si>
  <si>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</si>
  <si>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</si>
  <si>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</si>
  <si>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</si>
  <si>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</si>
  <si>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</si>
  <si>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</si>
  <si>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Count</t>
  </si>
  <si>
    <t>Volume</t>
  </si>
  <si>
    <t>Count/mL</t>
  </si>
  <si>
    <t>Count/ml</t>
  </si>
  <si>
    <t>LOG(Count/mL)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</si>
  <si>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</si>
  <si>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</si>
  <si>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</si>
  <si>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</si>
  <si>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</si>
  <si>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amount</t>
  </si>
  <si>
    <t>STDVE</t>
  </si>
  <si>
    <t>Hydrogen produced</t>
  </si>
  <si>
    <t>Carbon dioxide produced</t>
  </si>
  <si>
    <t>Carbon recovery</t>
  </si>
  <si>
    <t>Compound</t>
  </si>
  <si>
    <t>Mass (g/l mMCB)</t>
  </si>
  <si>
    <t>Bacteriological pepton</t>
  </si>
  <si>
    <t>Neutralised soy pepton</t>
  </si>
  <si>
    <t>Trypton</t>
  </si>
  <si>
    <t>Granulated yeast extract</t>
  </si>
  <si>
    <t>Hemine</t>
  </si>
  <si>
    <t>Menadione</t>
  </si>
  <si>
    <t>/</t>
  </si>
  <si>
    <t>Selenite and tungsten</t>
  </si>
  <si>
    <t>1,0 ml of a 1000x stock solution</t>
  </si>
  <si>
    <t>Trace element solution SL-10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</si>
  <si>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</si>
  <si>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</si>
  <si>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</si>
  <si>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</si>
  <si>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</si>
  <si>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</si>
  <si>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</si>
  <si>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</si>
  <si>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</si>
  <si>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</si>
  <si>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t>Volume (microl)</t>
  </si>
  <si>
    <t>FC 1</t>
  </si>
  <si>
    <t>FC 2</t>
  </si>
  <si>
    <t>FC 3</t>
  </si>
  <si>
    <t>FC</t>
  </si>
  <si>
    <t>Lactic acid produced</t>
  </si>
  <si>
    <t>Butyric acid produced</t>
  </si>
  <si>
    <t>Hydrogen recovery</t>
  </si>
  <si>
    <t>1,5 M NaOH added</t>
  </si>
  <si>
    <r>
      <t>1,5 M 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added</t>
    </r>
  </si>
  <si>
    <t>Theoretical</t>
  </si>
  <si>
    <t>Experimental</t>
  </si>
  <si>
    <t>LN(Count/mL)</t>
  </si>
  <si>
    <t>y = lnN</t>
  </si>
  <si>
    <t>a= umax</t>
  </si>
  <si>
    <r>
      <t>h</t>
    </r>
    <r>
      <rPr>
        <vertAlign val="superscript"/>
        <sz val="11"/>
        <color theme="1"/>
        <rFont val="Calibri"/>
        <family val="2"/>
        <scheme val="minor"/>
      </rPr>
      <t>-1</t>
    </r>
  </si>
  <si>
    <t>x =t (h)</t>
  </si>
  <si>
    <r>
      <t>b = ln N</t>
    </r>
    <r>
      <rPr>
        <vertAlign val="subscript"/>
        <sz val="11"/>
        <color theme="1"/>
        <rFont val="Calibri"/>
        <family val="2"/>
        <scheme val="minor"/>
      </rPr>
      <t>O</t>
    </r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</si>
  <si>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</si>
  <si>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doubling time td</t>
  </si>
  <si>
    <t>h</t>
  </si>
  <si>
    <t>umax average</t>
  </si>
  <si>
    <t>umax STDEV</t>
  </si>
  <si>
    <r>
      <t>h</t>
    </r>
    <r>
      <rPr>
        <vertAlign val="superscript"/>
        <sz val="11"/>
        <color rgb="FF000000"/>
        <rFont val="Calibri"/>
        <family val="2"/>
        <scheme val="minor"/>
      </rPr>
      <t>-1</t>
    </r>
  </si>
  <si>
    <t>doubling time average</t>
  </si>
  <si>
    <t>D-Fructose</t>
  </si>
  <si>
    <t>D Fructose</t>
  </si>
  <si>
    <t>D-Fructose consumed</t>
  </si>
  <si>
    <t>10 ml of a 0,1 g/l stock solution</t>
  </si>
  <si>
    <t>Left (mL) after inoculation</t>
  </si>
  <si>
    <t xml:space="preserve"> Volume Fermentor (mL) after inoculation</t>
  </si>
  <si>
    <r>
      <t>Na</t>
    </r>
    <r>
      <rPr>
        <vertAlign val="subscript"/>
        <sz val="11"/>
        <rFont val="Calibri"/>
        <scheme val="minor"/>
      </rPr>
      <t>2</t>
    </r>
    <r>
      <rPr>
        <sz val="11"/>
        <rFont val="Calibri"/>
        <family val="2"/>
        <scheme val="minor"/>
      </rPr>
      <t>SO</t>
    </r>
    <r>
      <rPr>
        <vertAlign val="subscript"/>
        <sz val="11"/>
        <rFont val="Calibri"/>
        <scheme val="minor"/>
      </rPr>
      <t>4</t>
    </r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</si>
  <si>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</si>
  <si>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D - Fructose (50 mM)</t>
  </si>
  <si>
    <r>
      <t>0  g in 100 ml MilliQ,H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1.5l</t>
    </r>
  </si>
  <si>
    <t>Growth was detected on anaerobic plates</t>
  </si>
  <si>
    <t>Formate (150 mM)</t>
  </si>
  <si>
    <r>
      <t>15,3  g in 100 ml MilliQ,H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 per 1.5l</t>
    </r>
  </si>
  <si>
    <t>Acetic acid produced</t>
  </si>
  <si>
    <t>Formic acid consumed</t>
  </si>
  <si>
    <t>Na-acetate trihydrate (0 mM)</t>
  </si>
  <si>
    <t>0 g per 1.5 l</t>
  </si>
  <si>
    <t>Total nett reaction in absence of formate</t>
  </si>
  <si>
    <t>4H2 + 2CO2</t>
  </si>
  <si>
    <t>&gt;</t>
  </si>
  <si>
    <t xml:space="preserve">CH3COOH </t>
  </si>
  <si>
    <t>en 2 H2O</t>
  </si>
  <si>
    <t xml:space="preserve"> en cell biomass</t>
  </si>
  <si>
    <t>Wood-Ljungdahl pathway</t>
  </si>
  <si>
    <t>HCOOH</t>
  </si>
  <si>
    <t>CO2 + H2</t>
  </si>
  <si>
    <t xml:space="preserve"> HCOOH </t>
  </si>
  <si>
    <t>CO2 + 3H2</t>
  </si>
  <si>
    <t>CH3COOH</t>
  </si>
  <si>
    <t>en  2H2O</t>
  </si>
  <si>
    <t>CO2 + 3 H2</t>
  </si>
  <si>
    <t>en  cell biomass</t>
  </si>
  <si>
    <t>Total nett reation:</t>
  </si>
  <si>
    <t>3HCOOH</t>
  </si>
  <si>
    <t>CO2 + 5 H2</t>
  </si>
  <si>
    <t>2CH3COOH</t>
  </si>
  <si>
    <t>en  4H2O</t>
  </si>
  <si>
    <t>mM formate consumed</t>
  </si>
  <si>
    <t>mM acetate produced</t>
  </si>
  <si>
    <t xml:space="preserve">Total amount of  H2 en CO2 produced </t>
  </si>
  <si>
    <t>Total amount of  H2 converted into acetate</t>
  </si>
  <si>
    <t>Total amount of  CO2 converted into acetate</t>
  </si>
  <si>
    <t>Total amount of left-over hydrogen</t>
  </si>
  <si>
    <t>Total amount of left-over carbon dioxide</t>
  </si>
  <si>
    <t>LOG</t>
  </si>
  <si>
    <t>STDEV LOG(Count/mL)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</si>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</sst>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8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vertAlign val="subscript"/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22F91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5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6" xfId="0" applyFill="1" applyBorder="1"/>
    <xf numFmtId="1" fontId="0" fillId="0" borderId="0" xfId="0" applyNumberFormat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0" fillId="0" borderId="16" xfId="0" applyFill="1" applyBorder="1" applyAlignment="1">
      <alignment horizontal="center" vertical="center"/>
    </xf>
    <xf numFmtId="11" fontId="0" fillId="0" borderId="16" xfId="0" applyNumberFormat="1" applyFill="1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11" fontId="25" fillId="0" borderId="3" xfId="0" applyNumberFormat="1" applyFont="1" applyBorder="1" applyAlignment="1">
      <alignment horizontal="center" vertical="center"/>
    </xf>
    <xf numFmtId="11" fontId="25" fillId="0" borderId="20" xfId="0" applyNumberFormat="1" applyFont="1" applyBorder="1" applyAlignment="1">
      <alignment horizontal="center" vertical="center"/>
    </xf>
    <xf numFmtId="2" fontId="25" fillId="0" borderId="20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5" fillId="0" borderId="0" xfId="0" applyFont="1"/>
    <xf numFmtId="2" fontId="25" fillId="0" borderId="0" xfId="0" applyNumberFormat="1" applyFont="1"/>
    <xf numFmtId="0" fontId="0" fillId="0" borderId="17" xfId="0" applyBorder="1" applyAlignment="1">
      <alignment horizontal="center" vertical="center"/>
    </xf>
    <xf numFmtId="1" fontId="25" fillId="0" borderId="18" xfId="0" applyNumberFormat="1" applyFont="1" applyBorder="1" applyAlignment="1">
      <alignment horizontal="center" vertical="center"/>
    </xf>
    <xf numFmtId="1" fontId="25" fillId="0" borderId="0" xfId="0" applyNumberFormat="1" applyFont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  <xf numFmtId="2" fontId="18" fillId="0" borderId="18" xfId="0" applyNumberFormat="1" applyFont="1" applyBorder="1" applyAlignment="1">
      <alignment horizontal="center" vertical="center"/>
    </xf>
    <xf numFmtId="2" fontId="18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25" fillId="0" borderId="20" xfId="0" applyNumberFormat="1" applyFont="1" applyBorder="1" applyAlignment="1">
      <alignment horizontal="center" vertical="center"/>
    </xf>
    <xf numFmtId="164" fontId="18" fillId="0" borderId="18" xfId="0" applyNumberFormat="1" applyFont="1" applyBorder="1" applyAlignment="1">
      <alignment horizontal="center" vertical="center"/>
    </xf>
    <xf numFmtId="164" fontId="18" fillId="0" borderId="20" xfId="0" applyNumberFormat="1" applyFont="1" applyBorder="1" applyAlignment="1">
      <alignment horizontal="center" vertical="center"/>
    </xf>
    <xf numFmtId="164" fontId="24" fillId="0" borderId="20" xfId="0" applyNumberFormat="1" applyFont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4" fillId="0" borderId="18" xfId="0" applyNumberFormat="1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25" fillId="0" borderId="0" xfId="0" applyNumberFormat="1" applyFont="1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25" fillId="11" borderId="17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18" xfId="0" applyNumberForma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5" fillId="0" borderId="0" xfId="0" applyFont="1" applyAlignment="1">
      <alignment horizontal="center" vertical="center"/>
    </xf>
    <xf numFmtId="2" fontId="0" fillId="10" borderId="16" xfId="0" applyNumberFormat="1" applyFill="1" applyBorder="1" applyAlignment="1">
      <alignment horizontal="center" vertical="center"/>
    </xf>
    <xf numFmtId="0" fontId="0" fillId="12" borderId="0" xfId="0" applyFill="1"/>
    <xf numFmtId="165" fontId="0" fillId="0" borderId="0" xfId="0" applyNumberFormat="1"/>
  </cellXfs>
  <cellStyles count="375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4747EE"/>
      <color rgb="FFFEC109"/>
      <color rgb="FF51BBFF"/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chartsheet" Target="chartsheets/sheet1.xml"/><Relationship Id="rId18" Type="http://schemas.openxmlformats.org/officeDocument/2006/relationships/chartsheet" Target="chartsheets/sheet2.xml"/><Relationship Id="rId19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18.0</c:v>
                </c:pt>
                <c:pt idx="1">
                  <c:v>21.0</c:v>
                </c:pt>
                <c:pt idx="2">
                  <c:v>24.0</c:v>
                </c:pt>
                <c:pt idx="3">
                  <c:v>27.0</c:v>
                </c:pt>
              </c:numCache>
            </c:numRef>
          </c:xVal>
          <c:yVal>
            <c:numRef>
              <c:f>'Flow cytometer'!$S$10:$S$13</c:f>
              <c:numCache>
                <c:formatCode>0.00</c:formatCode>
                <c:ptCount val="4"/>
                <c:pt idx="0">
                  <c:v>9.313589083475852</c:v>
                </c:pt>
                <c:pt idx="1">
                  <c:v>9.32391691153158</c:v>
                </c:pt>
                <c:pt idx="2">
                  <c:v>9.217978872590049</c:v>
                </c:pt>
                <c:pt idx="3">
                  <c:v>9.293895851527177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333304"/>
        <c:axId val="2049705768"/>
      </c:scatterChart>
      <c:valAx>
        <c:axId val="211133330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49705768"/>
        <c:crossesAt val="0.0"/>
        <c:crossBetween val="midCat"/>
        <c:majorUnit val="6.0"/>
      </c:valAx>
      <c:valAx>
        <c:axId val="2049705768"/>
        <c:scaling>
          <c:orientation val="minMax"/>
          <c:max val="10.0"/>
          <c:min val="8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(log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1133330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9"/>
          <c:order val="0"/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37079514650833"/>
                  <c:y val="0.0311659473528152"/>
                </c:manualLayout>
              </c:layout>
              <c:numFmt formatCode="General" sourceLinked="0"/>
            </c:trendlineLbl>
          </c:trendline>
          <c:xVal>
            <c:numRef>
              <c:f>'Flow cytometer'!$D$10:$D$13</c:f>
              <c:numCache>
                <c:formatCode>0</c:formatCode>
                <c:ptCount val="4"/>
                <c:pt idx="0">
                  <c:v>18.0</c:v>
                </c:pt>
                <c:pt idx="1">
                  <c:v>21.0</c:v>
                </c:pt>
                <c:pt idx="2">
                  <c:v>24.0</c:v>
                </c:pt>
                <c:pt idx="3">
                  <c:v>27.0</c:v>
                </c:pt>
              </c:numCache>
            </c:numRef>
          </c:xVal>
          <c:yVal>
            <c:numRef>
              <c:f>'Flow cytometer'!$T$10:$T$13</c:f>
              <c:numCache>
                <c:formatCode>0.00</c:formatCode>
                <c:ptCount val="4"/>
                <c:pt idx="0">
                  <c:v>21.44533138588357</c:v>
                </c:pt>
                <c:pt idx="1">
                  <c:v>21.46911208880769</c:v>
                </c:pt>
                <c:pt idx="2">
                  <c:v>21.2251807395599</c:v>
                </c:pt>
                <c:pt idx="3">
                  <c:v>21.39998604356568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312552"/>
        <c:axId val="2133694584"/>
      </c:scatterChart>
      <c:valAx>
        <c:axId val="2133312552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3694584"/>
        <c:crossesAt val="0.0"/>
        <c:crossBetween val="midCat"/>
        <c:majorUnit val="6.0"/>
      </c:valAx>
      <c:valAx>
        <c:axId val="2133694584"/>
        <c:scaling>
          <c:orientation val="minMax"/>
          <c:max val="23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Cell growth (ln (events/ml))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331255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2"/>
          <c:order val="0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Metabolites!$Q$4:$Q$15</c:f>
                <c:numCache>
                  <c:formatCode>General</c:formatCode>
                  <c:ptCount val="12"/>
                  <c:pt idx="0">
                    <c:v>0.0576869544569152</c:v>
                  </c:pt>
                  <c:pt idx="1">
                    <c:v>0.167634403225551</c:v>
                  </c:pt>
                  <c:pt idx="2">
                    <c:v>0.116965348352515</c:v>
                  </c:pt>
                  <c:pt idx="3">
                    <c:v>0.102189433188703</c:v>
                  </c:pt>
                  <c:pt idx="4">
                    <c:v>0.422529068655271</c:v>
                  </c:pt>
                  <c:pt idx="5">
                    <c:v>0.188406946804036</c:v>
                  </c:pt>
                  <c:pt idx="6">
                    <c:v>1.731947028455073</c:v>
                  </c:pt>
                  <c:pt idx="7">
                    <c:v>0.679176233061241</c:v>
                  </c:pt>
                  <c:pt idx="8">
                    <c:v>1.22655522007492</c:v>
                  </c:pt>
                  <c:pt idx="9">
                    <c:v>0.304369854591603</c:v>
                  </c:pt>
                  <c:pt idx="10">
                    <c:v>0.316798188782896</c:v>
                  </c:pt>
                  <c:pt idx="11">
                    <c:v>0.832155646092678</c:v>
                  </c:pt>
                </c:numCache>
              </c:numRef>
            </c:plus>
            <c:minus>
              <c:numRef>
                <c:f>Metabolites!$Q$4:$Q$15</c:f>
                <c:numCache>
                  <c:formatCode>General</c:formatCode>
                  <c:ptCount val="12"/>
                  <c:pt idx="0">
                    <c:v>0.0576869544569152</c:v>
                  </c:pt>
                  <c:pt idx="1">
                    <c:v>0.167634403225551</c:v>
                  </c:pt>
                  <c:pt idx="2">
                    <c:v>0.116965348352515</c:v>
                  </c:pt>
                  <c:pt idx="3">
                    <c:v>0.102189433188703</c:v>
                  </c:pt>
                  <c:pt idx="4">
                    <c:v>0.422529068655271</c:v>
                  </c:pt>
                  <c:pt idx="5">
                    <c:v>0.188406946804036</c:v>
                  </c:pt>
                  <c:pt idx="6">
                    <c:v>1.731947028455073</c:v>
                  </c:pt>
                  <c:pt idx="7">
                    <c:v>0.679176233061241</c:v>
                  </c:pt>
                  <c:pt idx="8">
                    <c:v>1.22655522007492</c:v>
                  </c:pt>
                  <c:pt idx="9">
                    <c:v>0.304369854591603</c:v>
                  </c:pt>
                  <c:pt idx="10">
                    <c:v>0.316798188782896</c:v>
                  </c:pt>
                  <c:pt idx="11">
                    <c:v>0.832155646092678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Metabolites!$P$4:$P$15</c:f>
              <c:numCache>
                <c:formatCode>0</c:formatCode>
                <c:ptCount val="12"/>
                <c:pt idx="0">
                  <c:v>2.131557035803497</c:v>
                </c:pt>
                <c:pt idx="1">
                  <c:v>2.886483485983903</c:v>
                </c:pt>
                <c:pt idx="2">
                  <c:v>7.438245906189287</c:v>
                </c:pt>
                <c:pt idx="3">
                  <c:v>12.38740697699959</c:v>
                </c:pt>
                <c:pt idx="4">
                  <c:v>21.24453920400575</c:v>
                </c:pt>
                <c:pt idx="5">
                  <c:v>35.36041508823445</c:v>
                </c:pt>
                <c:pt idx="6">
                  <c:v>44.98973569987949</c:v>
                </c:pt>
                <c:pt idx="7">
                  <c:v>44.44924582799546</c:v>
                </c:pt>
                <c:pt idx="8">
                  <c:v>33.58112566982977</c:v>
                </c:pt>
                <c:pt idx="9">
                  <c:v>44.75925671145286</c:v>
                </c:pt>
                <c:pt idx="10">
                  <c:v>44.99201415665022</c:v>
                </c:pt>
                <c:pt idx="11">
                  <c:v>44.06848508543867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Metabolites!$U$4:$U$15</c:f>
                <c:numCache>
                  <c:formatCode>General</c:formatCode>
                  <c:ptCount val="12"/>
                  <c:pt idx="0">
                    <c:v>0.586708062872885</c:v>
                  </c:pt>
                  <c:pt idx="1">
                    <c:v>1.019299778979672</c:v>
                  </c:pt>
                  <c:pt idx="2">
                    <c:v>0.42793212260683</c:v>
                  </c:pt>
                  <c:pt idx="3">
                    <c:v>0.793914320392537</c:v>
                  </c:pt>
                  <c:pt idx="4">
                    <c:v>1.25282159322803</c:v>
                  </c:pt>
                  <c:pt idx="5">
                    <c:v>0.160909081548865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Metabolites!$U$4:$U$15</c:f>
                <c:numCache>
                  <c:formatCode>General</c:formatCode>
                  <c:ptCount val="12"/>
                  <c:pt idx="0">
                    <c:v>0.586708062872885</c:v>
                  </c:pt>
                  <c:pt idx="1">
                    <c:v>1.019299778979672</c:v>
                  </c:pt>
                  <c:pt idx="2">
                    <c:v>0.42793212260683</c:v>
                  </c:pt>
                  <c:pt idx="3">
                    <c:v>0.793914320392537</c:v>
                  </c:pt>
                  <c:pt idx="4">
                    <c:v>1.25282159322803</c:v>
                  </c:pt>
                  <c:pt idx="5">
                    <c:v>0.160909081548865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Metabolites!$T$4:$T$15</c:f>
              <c:numCache>
                <c:formatCode>0</c:formatCode>
                <c:ptCount val="12"/>
                <c:pt idx="0">
                  <c:v>138.8804402925628</c:v>
                </c:pt>
                <c:pt idx="1">
                  <c:v>135.8389456151785</c:v>
                </c:pt>
                <c:pt idx="2">
                  <c:v>117.5754942428851</c:v>
                </c:pt>
                <c:pt idx="3">
                  <c:v>111.5810302008231</c:v>
                </c:pt>
                <c:pt idx="4">
                  <c:v>80.19835710604863</c:v>
                </c:pt>
                <c:pt idx="5">
                  <c:v>28.29424681773588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0"/>
          <c:order val="4"/>
          <c:tx>
            <c:v>H2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0.000214470925062488</c:v>
                </c:pt>
                <c:pt idx="1">
                  <c:v>0.174004031376178</c:v>
                </c:pt>
                <c:pt idx="2">
                  <c:v>0.80951654669775</c:v>
                </c:pt>
                <c:pt idx="3">
                  <c:v>1.851051985195155</c:v>
                </c:pt>
                <c:pt idx="4">
                  <c:v>3.293679416368247</c:v>
                </c:pt>
                <c:pt idx="5">
                  <c:v>4.835400651617478</c:v>
                </c:pt>
                <c:pt idx="6">
                  <c:v>6.262917254016782</c:v>
                </c:pt>
                <c:pt idx="7">
                  <c:v>7.817603519362763</c:v>
                </c:pt>
                <c:pt idx="8">
                  <c:v>9.514018952305472</c:v>
                </c:pt>
                <c:pt idx="9">
                  <c:v>11.42610376164327</c:v>
                </c:pt>
                <c:pt idx="10">
                  <c:v>13.5919122684327</c:v>
                </c:pt>
                <c:pt idx="11">
                  <c:v>16.13733260232407</c:v>
                </c:pt>
                <c:pt idx="12">
                  <c:v>19.30214753342607</c:v>
                </c:pt>
                <c:pt idx="13">
                  <c:v>23.07198875885643</c:v>
                </c:pt>
                <c:pt idx="14">
                  <c:v>27.90767019433305</c:v>
                </c:pt>
                <c:pt idx="15">
                  <c:v>33.16128090765525</c:v>
                </c:pt>
                <c:pt idx="16">
                  <c:v>38.06728221209384</c:v>
                </c:pt>
                <c:pt idx="17">
                  <c:v>42.82297188401702</c:v>
                </c:pt>
                <c:pt idx="18">
                  <c:v>47.22572615536743</c:v>
                </c:pt>
                <c:pt idx="19">
                  <c:v>51.2598736044983</c:v>
                </c:pt>
                <c:pt idx="20">
                  <c:v>54.80943092974198</c:v>
                </c:pt>
                <c:pt idx="21">
                  <c:v>57.8108780332784</c:v>
                </c:pt>
                <c:pt idx="22">
                  <c:v>60.20504959990042</c:v>
                </c:pt>
                <c:pt idx="23">
                  <c:v>61.98470339497277</c:v>
                </c:pt>
                <c:pt idx="24">
                  <c:v>63.23277166094591</c:v>
                </c:pt>
                <c:pt idx="25">
                  <c:v>64.07027838778858</c:v>
                </c:pt>
                <c:pt idx="26">
                  <c:v>64.62480588333024</c:v>
                </c:pt>
                <c:pt idx="27">
                  <c:v>65.00713234999181</c:v>
                </c:pt>
                <c:pt idx="28">
                  <c:v>65.29796142286383</c:v>
                </c:pt>
                <c:pt idx="29">
                  <c:v>65.53923939024336</c:v>
                </c:pt>
                <c:pt idx="30">
                  <c:v>65.74642567701975</c:v>
                </c:pt>
                <c:pt idx="31">
                  <c:v>65.9450549575522</c:v>
                </c:pt>
                <c:pt idx="32">
                  <c:v>66.1335057855663</c:v>
                </c:pt>
                <c:pt idx="33">
                  <c:v>66.27793558661992</c:v>
                </c:pt>
                <c:pt idx="34">
                  <c:v>66.37340797479774</c:v>
                </c:pt>
                <c:pt idx="35">
                  <c:v>66.42063507706479</c:v>
                </c:pt>
                <c:pt idx="36">
                  <c:v>66.43570798186568</c:v>
                </c:pt>
                <c:pt idx="37">
                  <c:v>66.44432735906715</c:v>
                </c:pt>
                <c:pt idx="38">
                  <c:v>66.45294673626863</c:v>
                </c:pt>
                <c:pt idx="39">
                  <c:v>66.46410430381946</c:v>
                </c:pt>
                <c:pt idx="40">
                  <c:v>66.47452154957377</c:v>
                </c:pt>
                <c:pt idx="41">
                  <c:v>66.48488566405403</c:v>
                </c:pt>
                <c:pt idx="42">
                  <c:v>66.49949544610544</c:v>
                </c:pt>
                <c:pt idx="43">
                  <c:v>66.51611108102268</c:v>
                </c:pt>
                <c:pt idx="44">
                  <c:v>66.53107053574753</c:v>
                </c:pt>
                <c:pt idx="45">
                  <c:v>66.54034408447816</c:v>
                </c:pt>
                <c:pt idx="46">
                  <c:v>66.5514944471082</c:v>
                </c:pt>
                <c:pt idx="47">
                  <c:v>66.56915860191578</c:v>
                </c:pt>
                <c:pt idx="48">
                  <c:v>66.58742616378434</c:v>
                </c:pt>
                <c:pt idx="49">
                  <c:v>66.6087288848591</c:v>
                </c:pt>
                <c:pt idx="50">
                  <c:v>66.63072428025611</c:v>
                </c:pt>
                <c:pt idx="51">
                  <c:v>66.64948662678445</c:v>
                </c:pt>
                <c:pt idx="52">
                  <c:v>66.66634411892656</c:v>
                </c:pt>
                <c:pt idx="53">
                  <c:v>66.67621643411318</c:v>
                </c:pt>
                <c:pt idx="54">
                  <c:v>66.68676898360852</c:v>
                </c:pt>
                <c:pt idx="55">
                  <c:v>66.70440736614492</c:v>
                </c:pt>
                <c:pt idx="56">
                  <c:v>66.72210620317615</c:v>
                </c:pt>
                <c:pt idx="57">
                  <c:v>66.74332035712905</c:v>
                </c:pt>
                <c:pt idx="58">
                  <c:v>66.76574673565609</c:v>
                </c:pt>
                <c:pt idx="59">
                  <c:v>66.79071892013213</c:v>
                </c:pt>
                <c:pt idx="60">
                  <c:v>66.81763954094004</c:v>
                </c:pt>
                <c:pt idx="61">
                  <c:v>66.8429286514075</c:v>
                </c:pt>
                <c:pt idx="62">
                  <c:v>66.8690545041986</c:v>
                </c:pt>
                <c:pt idx="63">
                  <c:v>66.89743242993698</c:v>
                </c:pt>
                <c:pt idx="64">
                  <c:v>66.92651825869805</c:v>
                </c:pt>
                <c:pt idx="65">
                  <c:v>66.95637664784318</c:v>
                </c:pt>
                <c:pt idx="66">
                  <c:v>66.98668526140906</c:v>
                </c:pt>
                <c:pt idx="67">
                  <c:v>67.01654317513242</c:v>
                </c:pt>
                <c:pt idx="68">
                  <c:v>67.04595086443504</c:v>
                </c:pt>
                <c:pt idx="69">
                  <c:v>67.07555157497823</c:v>
                </c:pt>
                <c:pt idx="70">
                  <c:v>67.10360764017507</c:v>
                </c:pt>
                <c:pt idx="71">
                  <c:v>67.13076278110864</c:v>
                </c:pt>
                <c:pt idx="72">
                  <c:v>67.16139325521606</c:v>
                </c:pt>
                <c:pt idx="73">
                  <c:v>67.19981018715133</c:v>
                </c:pt>
                <c:pt idx="74">
                  <c:v>67.2369396769204</c:v>
                </c:pt>
                <c:pt idx="75">
                  <c:v>67.267827354208</c:v>
                </c:pt>
                <c:pt idx="76">
                  <c:v>67.30141780428539</c:v>
                </c:pt>
                <c:pt idx="77">
                  <c:v>67.33590917862605</c:v>
                </c:pt>
                <c:pt idx="78">
                  <c:v>67.36995032854597</c:v>
                </c:pt>
                <c:pt idx="79">
                  <c:v>67.40637239071413</c:v>
                </c:pt>
                <c:pt idx="80">
                  <c:v>67.44086376505478</c:v>
                </c:pt>
                <c:pt idx="81">
                  <c:v>67.47123656056027</c:v>
                </c:pt>
                <c:pt idx="82">
                  <c:v>67.5025749376904</c:v>
                </c:pt>
                <c:pt idx="83">
                  <c:v>67.53507191768573</c:v>
                </c:pt>
                <c:pt idx="84">
                  <c:v>67.56763307962066</c:v>
                </c:pt>
                <c:pt idx="85">
                  <c:v>67.59935749923193</c:v>
                </c:pt>
                <c:pt idx="86">
                  <c:v>67.63217586434703</c:v>
                </c:pt>
                <c:pt idx="87">
                  <c:v>67.67355277225225</c:v>
                </c:pt>
                <c:pt idx="88">
                  <c:v>67.71537990457821</c:v>
                </c:pt>
                <c:pt idx="89">
                  <c:v>67.75057918194156</c:v>
                </c:pt>
                <c:pt idx="90">
                  <c:v>67.78410545007935</c:v>
                </c:pt>
                <c:pt idx="91">
                  <c:v>67.81608707287079</c:v>
                </c:pt>
                <c:pt idx="92">
                  <c:v>67.849420319768</c:v>
                </c:pt>
                <c:pt idx="93">
                  <c:v>67.88436239395118</c:v>
                </c:pt>
                <c:pt idx="94">
                  <c:v>67.91866074705126</c:v>
                </c:pt>
                <c:pt idx="95">
                  <c:v>67.95250840030883</c:v>
                </c:pt>
                <c:pt idx="96">
                  <c:v>67.98603716804196</c:v>
                </c:pt>
              </c:numCache>
            </c:numRef>
          </c:yVal>
          <c:smooth val="0"/>
        </c:ser>
        <c:ser>
          <c:idx val="1"/>
          <c:order val="5"/>
          <c:tx>
            <c:v>CO2</c:v>
          </c:tx>
          <c:spPr>
            <a:ln>
              <a:solidFill>
                <a:srgbClr val="51BBFF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0.0474709375300423</c:v>
                </c:pt>
                <c:pt idx="2">
                  <c:v>0.173103697005384</c:v>
                </c:pt>
                <c:pt idx="3">
                  <c:v>0.344726689278504</c:v>
                </c:pt>
                <c:pt idx="4">
                  <c:v>0.544839783815612</c:v>
                </c:pt>
                <c:pt idx="5">
                  <c:v>0.771149060427081</c:v>
                </c:pt>
                <c:pt idx="6">
                  <c:v>1.027982949287597</c:v>
                </c:pt>
                <c:pt idx="7">
                  <c:v>1.318166598841168</c:v>
                </c:pt>
                <c:pt idx="8">
                  <c:v>1.64692044277718</c:v>
                </c:pt>
                <c:pt idx="9">
                  <c:v>2.027389443428222</c:v>
                </c:pt>
                <c:pt idx="10">
                  <c:v>2.472257284760067</c:v>
                </c:pt>
                <c:pt idx="11">
                  <c:v>3.014617338703519</c:v>
                </c:pt>
                <c:pt idx="12">
                  <c:v>3.704763256280842</c:v>
                </c:pt>
                <c:pt idx="13">
                  <c:v>4.532695450846617</c:v>
                </c:pt>
                <c:pt idx="14">
                  <c:v>5.419437289233051</c:v>
                </c:pt>
                <c:pt idx="15">
                  <c:v>6.419080665710441</c:v>
                </c:pt>
                <c:pt idx="16">
                  <c:v>7.605559116699649</c:v>
                </c:pt>
                <c:pt idx="17">
                  <c:v>8.957332542476885</c:v>
                </c:pt>
                <c:pt idx="18">
                  <c:v>10.49052250248864</c:v>
                </c:pt>
                <c:pt idx="19">
                  <c:v>12.19371389631985</c:v>
                </c:pt>
                <c:pt idx="20">
                  <c:v>14.03811208006005</c:v>
                </c:pt>
                <c:pt idx="21">
                  <c:v>16.03075646381102</c:v>
                </c:pt>
                <c:pt idx="22">
                  <c:v>18.16233705178839</c:v>
                </c:pt>
                <c:pt idx="23">
                  <c:v>20.43050387698351</c:v>
                </c:pt>
                <c:pt idx="24">
                  <c:v>22.91408486426395</c:v>
                </c:pt>
                <c:pt idx="25">
                  <c:v>25.65650967658408</c:v>
                </c:pt>
                <c:pt idx="26">
                  <c:v>28.65199392418903</c:v>
                </c:pt>
                <c:pt idx="27">
                  <c:v>31.87395427463844</c:v>
                </c:pt>
                <c:pt idx="28">
                  <c:v>35.28798763827471</c:v>
                </c:pt>
                <c:pt idx="29">
                  <c:v>38.90809773810182</c:v>
                </c:pt>
                <c:pt idx="30">
                  <c:v>42.75801410607707</c:v>
                </c:pt>
                <c:pt idx="31">
                  <c:v>46.7734243403059</c:v>
                </c:pt>
                <c:pt idx="32">
                  <c:v>50.86388275528583</c:v>
                </c:pt>
                <c:pt idx="33">
                  <c:v>54.9874588340487</c:v>
                </c:pt>
                <c:pt idx="34">
                  <c:v>59.07302259811497</c:v>
                </c:pt>
                <c:pt idx="35">
                  <c:v>62.95563920093806</c:v>
                </c:pt>
                <c:pt idx="36">
                  <c:v>66.50222232473357</c:v>
                </c:pt>
                <c:pt idx="37">
                  <c:v>69.62960568695218</c:v>
                </c:pt>
                <c:pt idx="38">
                  <c:v>72.2911211461391</c:v>
                </c:pt>
                <c:pt idx="39">
                  <c:v>74.54234831233468</c:v>
                </c:pt>
                <c:pt idx="40">
                  <c:v>76.44200583813091</c:v>
                </c:pt>
                <c:pt idx="41">
                  <c:v>78.0384943608331</c:v>
                </c:pt>
                <c:pt idx="42">
                  <c:v>79.41167621630616</c:v>
                </c:pt>
                <c:pt idx="43">
                  <c:v>80.59781485203592</c:v>
                </c:pt>
                <c:pt idx="44">
                  <c:v>81.58979460213638</c:v>
                </c:pt>
                <c:pt idx="45">
                  <c:v>82.39483153465096</c:v>
                </c:pt>
                <c:pt idx="46">
                  <c:v>83.06602659564026</c:v>
                </c:pt>
                <c:pt idx="47">
                  <c:v>83.64936417259374</c:v>
                </c:pt>
                <c:pt idx="48">
                  <c:v>84.14606459538642</c:v>
                </c:pt>
                <c:pt idx="49">
                  <c:v>84.56874777436724</c:v>
                </c:pt>
                <c:pt idx="50">
                  <c:v>84.92048984252541</c:v>
                </c:pt>
                <c:pt idx="51">
                  <c:v>85.2141206296723</c:v>
                </c:pt>
                <c:pt idx="52">
                  <c:v>85.455013053565</c:v>
                </c:pt>
                <c:pt idx="53">
                  <c:v>85.65062359973417</c:v>
                </c:pt>
                <c:pt idx="54">
                  <c:v>85.81394794019683</c:v>
                </c:pt>
                <c:pt idx="55">
                  <c:v>85.95009549285651</c:v>
                </c:pt>
                <c:pt idx="56">
                  <c:v>86.06113472647399</c:v>
                </c:pt>
                <c:pt idx="57">
                  <c:v>86.15095488021678</c:v>
                </c:pt>
                <c:pt idx="58">
                  <c:v>86.22280527122929</c:v>
                </c:pt>
                <c:pt idx="59">
                  <c:v>86.28042915226924</c:v>
                </c:pt>
                <c:pt idx="60">
                  <c:v>86.32836892472162</c:v>
                </c:pt>
                <c:pt idx="61">
                  <c:v>86.36893999271854</c:v>
                </c:pt>
                <c:pt idx="62">
                  <c:v>86.40210969452522</c:v>
                </c:pt>
                <c:pt idx="63">
                  <c:v>86.4297459622949</c:v>
                </c:pt>
                <c:pt idx="64">
                  <c:v>86.45271311281418</c:v>
                </c:pt>
                <c:pt idx="65">
                  <c:v>86.47172142621461</c:v>
                </c:pt>
                <c:pt idx="66">
                  <c:v>86.48783584727178</c:v>
                </c:pt>
                <c:pt idx="67">
                  <c:v>86.49525242695881</c:v>
                </c:pt>
                <c:pt idx="68">
                  <c:v>86.49525242695881</c:v>
                </c:pt>
                <c:pt idx="69">
                  <c:v>86.49525242695881</c:v>
                </c:pt>
                <c:pt idx="70">
                  <c:v>86.49525242695881</c:v>
                </c:pt>
                <c:pt idx="71">
                  <c:v>86.49525242695881</c:v>
                </c:pt>
                <c:pt idx="72">
                  <c:v>86.49525242695881</c:v>
                </c:pt>
                <c:pt idx="73">
                  <c:v>86.49525242695881</c:v>
                </c:pt>
                <c:pt idx="74">
                  <c:v>86.49525242695881</c:v>
                </c:pt>
                <c:pt idx="75">
                  <c:v>86.49525242695881</c:v>
                </c:pt>
                <c:pt idx="76">
                  <c:v>86.49525242695881</c:v>
                </c:pt>
                <c:pt idx="77">
                  <c:v>86.49525242695881</c:v>
                </c:pt>
                <c:pt idx="78">
                  <c:v>86.49525242695881</c:v>
                </c:pt>
                <c:pt idx="79">
                  <c:v>86.49525242695881</c:v>
                </c:pt>
                <c:pt idx="80">
                  <c:v>86.49525242695881</c:v>
                </c:pt>
                <c:pt idx="81">
                  <c:v>86.49525242695881</c:v>
                </c:pt>
                <c:pt idx="82">
                  <c:v>86.49525242695881</c:v>
                </c:pt>
                <c:pt idx="83">
                  <c:v>86.49525242695881</c:v>
                </c:pt>
                <c:pt idx="84">
                  <c:v>86.49525242695881</c:v>
                </c:pt>
                <c:pt idx="85">
                  <c:v>86.49525242695881</c:v>
                </c:pt>
                <c:pt idx="86">
                  <c:v>86.49525242695881</c:v>
                </c:pt>
                <c:pt idx="87">
                  <c:v>86.49525242695881</c:v>
                </c:pt>
                <c:pt idx="88">
                  <c:v>86.49525242695881</c:v>
                </c:pt>
                <c:pt idx="89">
                  <c:v>86.49525242695881</c:v>
                </c:pt>
                <c:pt idx="90">
                  <c:v>86.49525242695881</c:v>
                </c:pt>
                <c:pt idx="91">
                  <c:v>86.49525242695881</c:v>
                </c:pt>
                <c:pt idx="92">
                  <c:v>86.49525242695881</c:v>
                </c:pt>
                <c:pt idx="93">
                  <c:v>86.49525242695881</c:v>
                </c:pt>
                <c:pt idx="94">
                  <c:v>86.49525242695881</c:v>
                </c:pt>
                <c:pt idx="95">
                  <c:v>86.49525242695881</c:v>
                </c:pt>
                <c:pt idx="96">
                  <c:v>86.49525242695881</c:v>
                </c:pt>
              </c:numCache>
            </c:numRef>
          </c:yVal>
          <c:smooth val="0"/>
        </c:ser>
        <c:ser>
          <c:idx val="3"/>
          <c:order val="6"/>
          <c:tx>
            <c:v>lactic acid</c:v>
          </c:tx>
          <c:spPr>
            <a:ln>
              <a:solidFill>
                <a:srgbClr val="4747EE"/>
              </a:solidFill>
            </a:ln>
          </c:spPr>
          <c:marker>
            <c:symbol val="triangle"/>
            <c:size val="8"/>
            <c:spPr>
              <a:solidFill>
                <a:srgbClr val="4747EE"/>
              </a:solidFill>
              <a:ln>
                <a:solidFill>
                  <a:srgbClr val="4747EE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Metabolites!$L$4:$L$15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64616"/>
        <c:axId val="2139257496"/>
      </c:scatterChart>
      <c:scatterChart>
        <c:scatterStyle val="lineMarker"/>
        <c:varyColors val="0"/>
        <c:ser>
          <c:idx val="8"/>
          <c:order val="2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38272.0</c:v>
                </c:pt>
                <c:pt idx="1">
                  <c:v>9731.0</c:v>
                </c:pt>
                <c:pt idx="2">
                  <c:v>62634.0</c:v>
                </c:pt>
                <c:pt idx="3">
                  <c:v>6900.0</c:v>
                </c:pt>
                <c:pt idx="4">
                  <c:v>7211.0</c:v>
                </c:pt>
                <c:pt idx="5">
                  <c:v>12732.0</c:v>
                </c:pt>
                <c:pt idx="6">
                  <c:v>14003.0</c:v>
                </c:pt>
                <c:pt idx="7">
                  <c:v>12839.0</c:v>
                </c:pt>
                <c:pt idx="8">
                  <c:v>11133.0</c:v>
                </c:pt>
                <c:pt idx="9">
                  <c:v>12601.0</c:v>
                </c:pt>
              </c:numCache>
            </c:numRef>
          </c:yVal>
          <c:smooth val="0"/>
        </c:ser>
        <c:ser>
          <c:idx val="9"/>
          <c:order val="3"/>
          <c:tx>
            <c:v>count (log (count/ml))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ysClr val="window" lastClr="FFFFFF"/>
              </a:solidFill>
              <a:ln w="25400"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'Flow cytometer'!$X$4:$X$15</c:f>
                <c:numCache>
                  <c:formatCode>General</c:formatCode>
                  <c:ptCount val="12"/>
                  <c:pt idx="0">
                    <c:v>0.0140353534862448</c:v>
                  </c:pt>
                  <c:pt idx="1">
                    <c:v>0.00626189517014275</c:v>
                  </c:pt>
                  <c:pt idx="2">
                    <c:v>0.0251287997628556</c:v>
                  </c:pt>
                  <c:pt idx="3">
                    <c:v>0.0130221100708093</c:v>
                  </c:pt>
                  <c:pt idx="4">
                    <c:v>0.0144209569149505</c:v>
                  </c:pt>
                  <c:pt idx="5">
                    <c:v>0.0071365420317909</c:v>
                  </c:pt>
                  <c:pt idx="6">
                    <c:v>0.012676917297882</c:v>
                  </c:pt>
                  <c:pt idx="7">
                    <c:v>0.0307952485730155</c:v>
                  </c:pt>
                  <c:pt idx="8">
                    <c:v>0.0117474095618692</c:v>
                  </c:pt>
                  <c:pt idx="9">
                    <c:v>0.0117008798071063</c:v>
                  </c:pt>
                  <c:pt idx="10">
                    <c:v>0.0179678122208241</c:v>
                  </c:pt>
                  <c:pt idx="11">
                    <c:v>0.0485076223723121</c:v>
                  </c:pt>
                </c:numCache>
              </c:numRef>
            </c:plus>
            <c:minus>
              <c:numRef>
                <c:f>'Flow cytometer'!$X$4:$X$15</c:f>
                <c:numCache>
                  <c:formatCode>General</c:formatCode>
                  <c:ptCount val="12"/>
                  <c:pt idx="0">
                    <c:v>0.0140353534862448</c:v>
                  </c:pt>
                  <c:pt idx="1">
                    <c:v>0.00626189517014275</c:v>
                  </c:pt>
                  <c:pt idx="2">
                    <c:v>0.0251287997628556</c:v>
                  </c:pt>
                  <c:pt idx="3">
                    <c:v>0.0130221100708093</c:v>
                  </c:pt>
                  <c:pt idx="4">
                    <c:v>0.0144209569149505</c:v>
                  </c:pt>
                  <c:pt idx="5">
                    <c:v>0.0071365420317909</c:v>
                  </c:pt>
                  <c:pt idx="6">
                    <c:v>0.012676917297882</c:v>
                  </c:pt>
                  <c:pt idx="7">
                    <c:v>0.0307952485730155</c:v>
                  </c:pt>
                  <c:pt idx="8">
                    <c:v>0.0117474095618692</c:v>
                  </c:pt>
                  <c:pt idx="9">
                    <c:v>0.0117008798071063</c:v>
                  </c:pt>
                  <c:pt idx="10">
                    <c:v>0.0179678122208241</c:v>
                  </c:pt>
                  <c:pt idx="11">
                    <c:v>0.0485076223723121</c:v>
                  </c:pt>
                </c:numCache>
              </c:numRef>
            </c:minus>
          </c:errBars>
          <c:xVal>
            <c:numRef>
              <c:f>'Flow cytometer'!$D$4:$D$15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'Flow cytometer'!$S$4:$S$15</c:f>
              <c:numCache>
                <c:formatCode>0.00</c:formatCode>
                <c:ptCount val="12"/>
                <c:pt idx="0">
                  <c:v>7.74737318248376</c:v>
                </c:pt>
                <c:pt idx="1">
                  <c:v>8.146285771147976</c:v>
                </c:pt>
                <c:pt idx="2">
                  <c:v>8.941957281916117</c:v>
                </c:pt>
                <c:pt idx="3">
                  <c:v>9.000746202250716</c:v>
                </c:pt>
                <c:pt idx="4">
                  <c:v>9.043277082219147</c:v>
                </c:pt>
                <c:pt idx="5">
                  <c:v>9.285498429192843</c:v>
                </c:pt>
                <c:pt idx="6">
                  <c:v>9.313589083475852</c:v>
                </c:pt>
                <c:pt idx="7">
                  <c:v>9.32391691153158</c:v>
                </c:pt>
                <c:pt idx="8">
                  <c:v>9.217978872590049</c:v>
                </c:pt>
                <c:pt idx="9">
                  <c:v>9.293895851527177</c:v>
                </c:pt>
                <c:pt idx="10">
                  <c:v>9.195085018319364</c:v>
                </c:pt>
                <c:pt idx="11">
                  <c:v>9.399850675431371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2424"/>
        <c:axId val="2133938616"/>
      </c:scatterChart>
      <c:valAx>
        <c:axId val="2139764616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9257496"/>
        <c:crosses val="autoZero"/>
        <c:crossBetween val="midCat"/>
        <c:majorUnit val="6.0"/>
      </c:valAx>
      <c:valAx>
        <c:axId val="2139257496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9764616"/>
        <c:crosses val="autoZero"/>
        <c:crossBetween val="midCat"/>
      </c:valAx>
      <c:valAx>
        <c:axId val="2133938616"/>
        <c:scaling>
          <c:orientation val="minMax"/>
          <c:max val="10.0"/>
          <c:min val="6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</a:t>
                </a:r>
                <a:r>
                  <a:rPr lang="nl-NL" sz="1050" baseline="0"/>
                  <a:t> growth </a:t>
                </a:r>
                <a:r>
                  <a:rPr lang="nl-NL" sz="1050"/>
                  <a:t>(log (events/ml))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43942424"/>
        <c:crosses val="max"/>
        <c:crossBetween val="midCat"/>
        <c:majorUnit val="1.0"/>
        <c:minorUnit val="0.2"/>
      </c:valAx>
      <c:valAx>
        <c:axId val="2143942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3393861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2"/>
          <c:order val="0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FEC109"/>
              </a:solidFill>
            </a:ln>
          </c:spPr>
          <c:marker>
            <c:symbol val="triangle"/>
            <c:size val="8"/>
            <c:spPr>
              <a:solidFill>
                <a:srgbClr val="FEC109"/>
              </a:solidFill>
              <a:ln>
                <a:solidFill>
                  <a:srgbClr val="FEC109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Metabolites!$Q$4:$Q$15</c:f>
                <c:numCache>
                  <c:formatCode>General</c:formatCode>
                  <c:ptCount val="12"/>
                  <c:pt idx="0">
                    <c:v>0.0576869544569152</c:v>
                  </c:pt>
                  <c:pt idx="1">
                    <c:v>0.167634403225551</c:v>
                  </c:pt>
                  <c:pt idx="2">
                    <c:v>0.116965348352515</c:v>
                  </c:pt>
                  <c:pt idx="3">
                    <c:v>0.102189433188703</c:v>
                  </c:pt>
                  <c:pt idx="4">
                    <c:v>0.422529068655271</c:v>
                  </c:pt>
                  <c:pt idx="5">
                    <c:v>0.188406946804036</c:v>
                  </c:pt>
                  <c:pt idx="6">
                    <c:v>1.731947028455073</c:v>
                  </c:pt>
                  <c:pt idx="7">
                    <c:v>0.679176233061241</c:v>
                  </c:pt>
                  <c:pt idx="8">
                    <c:v>1.22655522007492</c:v>
                  </c:pt>
                  <c:pt idx="9">
                    <c:v>0.304369854591603</c:v>
                  </c:pt>
                  <c:pt idx="10">
                    <c:v>0.316798188782896</c:v>
                  </c:pt>
                  <c:pt idx="11">
                    <c:v>0.832155646092678</c:v>
                  </c:pt>
                </c:numCache>
              </c:numRef>
            </c:plus>
            <c:minus>
              <c:numRef>
                <c:f>Metabolites!$Q$4:$Q$15</c:f>
                <c:numCache>
                  <c:formatCode>General</c:formatCode>
                  <c:ptCount val="12"/>
                  <c:pt idx="0">
                    <c:v>0.0576869544569152</c:v>
                  </c:pt>
                  <c:pt idx="1">
                    <c:v>0.167634403225551</c:v>
                  </c:pt>
                  <c:pt idx="2">
                    <c:v>0.116965348352515</c:v>
                  </c:pt>
                  <c:pt idx="3">
                    <c:v>0.102189433188703</c:v>
                  </c:pt>
                  <c:pt idx="4">
                    <c:v>0.422529068655271</c:v>
                  </c:pt>
                  <c:pt idx="5">
                    <c:v>0.188406946804036</c:v>
                  </c:pt>
                  <c:pt idx="6">
                    <c:v>1.731947028455073</c:v>
                  </c:pt>
                  <c:pt idx="7">
                    <c:v>0.679176233061241</c:v>
                  </c:pt>
                  <c:pt idx="8">
                    <c:v>1.22655522007492</c:v>
                  </c:pt>
                  <c:pt idx="9">
                    <c:v>0.304369854591603</c:v>
                  </c:pt>
                  <c:pt idx="10">
                    <c:v>0.316798188782896</c:v>
                  </c:pt>
                  <c:pt idx="11">
                    <c:v>0.832155646092678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Metabolites!$P$4:$P$15</c:f>
              <c:numCache>
                <c:formatCode>0</c:formatCode>
                <c:ptCount val="12"/>
                <c:pt idx="0">
                  <c:v>2.131557035803497</c:v>
                </c:pt>
                <c:pt idx="1">
                  <c:v>2.886483485983903</c:v>
                </c:pt>
                <c:pt idx="2">
                  <c:v>7.438245906189287</c:v>
                </c:pt>
                <c:pt idx="3">
                  <c:v>12.38740697699959</c:v>
                </c:pt>
                <c:pt idx="4">
                  <c:v>21.24453920400575</c:v>
                </c:pt>
                <c:pt idx="5">
                  <c:v>35.36041508823445</c:v>
                </c:pt>
                <c:pt idx="6">
                  <c:v>44.98973569987949</c:v>
                </c:pt>
                <c:pt idx="7">
                  <c:v>44.44924582799546</c:v>
                </c:pt>
                <c:pt idx="8">
                  <c:v>33.58112566982977</c:v>
                </c:pt>
                <c:pt idx="9">
                  <c:v>44.75925671145286</c:v>
                </c:pt>
                <c:pt idx="10">
                  <c:v>44.99201415665022</c:v>
                </c:pt>
                <c:pt idx="11">
                  <c:v>44.06848508543867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triangle"/>
            <c:size val="8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Metabolites!$U$4:$U$15</c:f>
                <c:numCache>
                  <c:formatCode>General</c:formatCode>
                  <c:ptCount val="12"/>
                  <c:pt idx="0">
                    <c:v>0.586708062872885</c:v>
                  </c:pt>
                  <c:pt idx="1">
                    <c:v>1.019299778979672</c:v>
                  </c:pt>
                  <c:pt idx="2">
                    <c:v>0.42793212260683</c:v>
                  </c:pt>
                  <c:pt idx="3">
                    <c:v>0.793914320392537</c:v>
                  </c:pt>
                  <c:pt idx="4">
                    <c:v>1.25282159322803</c:v>
                  </c:pt>
                  <c:pt idx="5">
                    <c:v>0.160909081548865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Metabolites!$U$4:$U$15</c:f>
                <c:numCache>
                  <c:formatCode>General</c:formatCode>
                  <c:ptCount val="12"/>
                  <c:pt idx="0">
                    <c:v>0.586708062872885</c:v>
                  </c:pt>
                  <c:pt idx="1">
                    <c:v>1.019299778979672</c:v>
                  </c:pt>
                  <c:pt idx="2">
                    <c:v>0.42793212260683</c:v>
                  </c:pt>
                  <c:pt idx="3">
                    <c:v>0.793914320392537</c:v>
                  </c:pt>
                  <c:pt idx="4">
                    <c:v>1.25282159322803</c:v>
                  </c:pt>
                  <c:pt idx="5">
                    <c:v>0.160909081548865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Metabolites!$T$4:$T$15</c:f>
              <c:numCache>
                <c:formatCode>0</c:formatCode>
                <c:ptCount val="12"/>
                <c:pt idx="0">
                  <c:v>138.8804402925628</c:v>
                </c:pt>
                <c:pt idx="1">
                  <c:v>135.8389456151785</c:v>
                </c:pt>
                <c:pt idx="2">
                  <c:v>117.5754942428851</c:v>
                </c:pt>
                <c:pt idx="3">
                  <c:v>111.5810302008231</c:v>
                </c:pt>
                <c:pt idx="4">
                  <c:v>80.19835710604863</c:v>
                </c:pt>
                <c:pt idx="5">
                  <c:v>28.29424681773588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ser>
          <c:idx val="0"/>
          <c:order val="4"/>
          <c:tx>
            <c:v>H2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'H2'!$A$5:$A$101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'H2'!$G$5:$G$101</c:f>
              <c:numCache>
                <c:formatCode>0.0</c:formatCode>
                <c:ptCount val="97"/>
                <c:pt idx="0">
                  <c:v>0.000214470925062488</c:v>
                </c:pt>
                <c:pt idx="1">
                  <c:v>0.174004031376178</c:v>
                </c:pt>
                <c:pt idx="2">
                  <c:v>0.80951654669775</c:v>
                </c:pt>
                <c:pt idx="3">
                  <c:v>1.851051985195155</c:v>
                </c:pt>
                <c:pt idx="4">
                  <c:v>3.293679416368247</c:v>
                </c:pt>
                <c:pt idx="5">
                  <c:v>4.835400651617478</c:v>
                </c:pt>
                <c:pt idx="6">
                  <c:v>6.262917254016782</c:v>
                </c:pt>
                <c:pt idx="7">
                  <c:v>7.817603519362763</c:v>
                </c:pt>
                <c:pt idx="8">
                  <c:v>9.514018952305472</c:v>
                </c:pt>
                <c:pt idx="9">
                  <c:v>11.42610376164327</c:v>
                </c:pt>
                <c:pt idx="10">
                  <c:v>13.5919122684327</c:v>
                </c:pt>
                <c:pt idx="11">
                  <c:v>16.13733260232407</c:v>
                </c:pt>
                <c:pt idx="12">
                  <c:v>19.30214753342607</c:v>
                </c:pt>
                <c:pt idx="13">
                  <c:v>23.07198875885643</c:v>
                </c:pt>
                <c:pt idx="14">
                  <c:v>27.90767019433305</c:v>
                </c:pt>
                <c:pt idx="15">
                  <c:v>33.16128090765525</c:v>
                </c:pt>
                <c:pt idx="16">
                  <c:v>38.06728221209384</c:v>
                </c:pt>
                <c:pt idx="17">
                  <c:v>42.82297188401702</c:v>
                </c:pt>
                <c:pt idx="18">
                  <c:v>47.22572615536743</c:v>
                </c:pt>
                <c:pt idx="19">
                  <c:v>51.2598736044983</c:v>
                </c:pt>
                <c:pt idx="20">
                  <c:v>54.80943092974198</c:v>
                </c:pt>
                <c:pt idx="21">
                  <c:v>57.8108780332784</c:v>
                </c:pt>
                <c:pt idx="22">
                  <c:v>60.20504959990042</c:v>
                </c:pt>
                <c:pt idx="23">
                  <c:v>61.98470339497277</c:v>
                </c:pt>
                <c:pt idx="24">
                  <c:v>63.23277166094591</c:v>
                </c:pt>
                <c:pt idx="25">
                  <c:v>64.07027838778858</c:v>
                </c:pt>
                <c:pt idx="26">
                  <c:v>64.62480588333024</c:v>
                </c:pt>
                <c:pt idx="27">
                  <c:v>65.00713234999181</c:v>
                </c:pt>
                <c:pt idx="28">
                  <c:v>65.29796142286383</c:v>
                </c:pt>
                <c:pt idx="29">
                  <c:v>65.53923939024336</c:v>
                </c:pt>
                <c:pt idx="30">
                  <c:v>65.74642567701975</c:v>
                </c:pt>
                <c:pt idx="31">
                  <c:v>65.9450549575522</c:v>
                </c:pt>
                <c:pt idx="32">
                  <c:v>66.1335057855663</c:v>
                </c:pt>
                <c:pt idx="33">
                  <c:v>66.27793558661992</c:v>
                </c:pt>
                <c:pt idx="34">
                  <c:v>66.37340797479774</c:v>
                </c:pt>
                <c:pt idx="35">
                  <c:v>66.42063507706479</c:v>
                </c:pt>
                <c:pt idx="36">
                  <c:v>66.43570798186568</c:v>
                </c:pt>
                <c:pt idx="37">
                  <c:v>66.44432735906715</c:v>
                </c:pt>
                <c:pt idx="38">
                  <c:v>66.45294673626863</c:v>
                </c:pt>
                <c:pt idx="39">
                  <c:v>66.46410430381946</c:v>
                </c:pt>
                <c:pt idx="40">
                  <c:v>66.47452154957377</c:v>
                </c:pt>
                <c:pt idx="41">
                  <c:v>66.48488566405403</c:v>
                </c:pt>
                <c:pt idx="42">
                  <c:v>66.49949544610544</c:v>
                </c:pt>
                <c:pt idx="43">
                  <c:v>66.51611108102268</c:v>
                </c:pt>
                <c:pt idx="44">
                  <c:v>66.53107053574753</c:v>
                </c:pt>
                <c:pt idx="45">
                  <c:v>66.54034408447816</c:v>
                </c:pt>
                <c:pt idx="46">
                  <c:v>66.5514944471082</c:v>
                </c:pt>
                <c:pt idx="47">
                  <c:v>66.56915860191578</c:v>
                </c:pt>
                <c:pt idx="48">
                  <c:v>66.58742616378434</c:v>
                </c:pt>
                <c:pt idx="49">
                  <c:v>66.6087288848591</c:v>
                </c:pt>
                <c:pt idx="50">
                  <c:v>66.63072428025611</c:v>
                </c:pt>
                <c:pt idx="51">
                  <c:v>66.64948662678445</c:v>
                </c:pt>
                <c:pt idx="52">
                  <c:v>66.66634411892656</c:v>
                </c:pt>
                <c:pt idx="53">
                  <c:v>66.67621643411318</c:v>
                </c:pt>
                <c:pt idx="54">
                  <c:v>66.68676898360852</c:v>
                </c:pt>
                <c:pt idx="55">
                  <c:v>66.70440736614492</c:v>
                </c:pt>
                <c:pt idx="56">
                  <c:v>66.72210620317615</c:v>
                </c:pt>
                <c:pt idx="57">
                  <c:v>66.74332035712905</c:v>
                </c:pt>
                <c:pt idx="58">
                  <c:v>66.76574673565609</c:v>
                </c:pt>
                <c:pt idx="59">
                  <c:v>66.79071892013213</c:v>
                </c:pt>
                <c:pt idx="60">
                  <c:v>66.81763954094004</c:v>
                </c:pt>
                <c:pt idx="61">
                  <c:v>66.8429286514075</c:v>
                </c:pt>
                <c:pt idx="62">
                  <c:v>66.8690545041986</c:v>
                </c:pt>
                <c:pt idx="63">
                  <c:v>66.89743242993698</c:v>
                </c:pt>
                <c:pt idx="64">
                  <c:v>66.92651825869805</c:v>
                </c:pt>
                <c:pt idx="65">
                  <c:v>66.95637664784318</c:v>
                </c:pt>
                <c:pt idx="66">
                  <c:v>66.98668526140906</c:v>
                </c:pt>
                <c:pt idx="67">
                  <c:v>67.01654317513242</c:v>
                </c:pt>
                <c:pt idx="68">
                  <c:v>67.04595086443504</c:v>
                </c:pt>
                <c:pt idx="69">
                  <c:v>67.07555157497823</c:v>
                </c:pt>
                <c:pt idx="70">
                  <c:v>67.10360764017507</c:v>
                </c:pt>
                <c:pt idx="71">
                  <c:v>67.13076278110864</c:v>
                </c:pt>
                <c:pt idx="72">
                  <c:v>67.16139325521606</c:v>
                </c:pt>
                <c:pt idx="73">
                  <c:v>67.19981018715133</c:v>
                </c:pt>
                <c:pt idx="74">
                  <c:v>67.2369396769204</c:v>
                </c:pt>
                <c:pt idx="75">
                  <c:v>67.267827354208</c:v>
                </c:pt>
                <c:pt idx="76">
                  <c:v>67.30141780428539</c:v>
                </c:pt>
                <c:pt idx="77">
                  <c:v>67.33590917862605</c:v>
                </c:pt>
                <c:pt idx="78">
                  <c:v>67.36995032854597</c:v>
                </c:pt>
                <c:pt idx="79">
                  <c:v>67.40637239071413</c:v>
                </c:pt>
                <c:pt idx="80">
                  <c:v>67.44086376505478</c:v>
                </c:pt>
                <c:pt idx="81">
                  <c:v>67.47123656056027</c:v>
                </c:pt>
                <c:pt idx="82">
                  <c:v>67.5025749376904</c:v>
                </c:pt>
                <c:pt idx="83">
                  <c:v>67.53507191768573</c:v>
                </c:pt>
                <c:pt idx="84">
                  <c:v>67.56763307962066</c:v>
                </c:pt>
                <c:pt idx="85">
                  <c:v>67.59935749923193</c:v>
                </c:pt>
                <c:pt idx="86">
                  <c:v>67.63217586434703</c:v>
                </c:pt>
                <c:pt idx="87">
                  <c:v>67.67355277225225</c:v>
                </c:pt>
                <c:pt idx="88">
                  <c:v>67.71537990457821</c:v>
                </c:pt>
                <c:pt idx="89">
                  <c:v>67.75057918194156</c:v>
                </c:pt>
                <c:pt idx="90">
                  <c:v>67.78410545007935</c:v>
                </c:pt>
                <c:pt idx="91">
                  <c:v>67.81608707287079</c:v>
                </c:pt>
                <c:pt idx="92">
                  <c:v>67.849420319768</c:v>
                </c:pt>
                <c:pt idx="93">
                  <c:v>67.88436239395118</c:v>
                </c:pt>
                <c:pt idx="94">
                  <c:v>67.91866074705126</c:v>
                </c:pt>
                <c:pt idx="95">
                  <c:v>67.95250840030883</c:v>
                </c:pt>
                <c:pt idx="96">
                  <c:v>67.98603716804196</c:v>
                </c:pt>
              </c:numCache>
            </c:numRef>
          </c:yVal>
          <c:smooth val="0"/>
        </c:ser>
        <c:ser>
          <c:idx val="1"/>
          <c:order val="5"/>
          <c:tx>
            <c:v>CO2</c:v>
          </c:tx>
          <c:spPr>
            <a:ln>
              <a:solidFill>
                <a:srgbClr val="51BBFF"/>
              </a:solidFill>
            </a:ln>
          </c:spPr>
          <c:marker>
            <c:symbol val="none"/>
          </c:marker>
          <c:xVal>
            <c:numRef>
              <c:f>'CO2'!$A$5:$A$101</c:f>
              <c:numCache>
                <c:formatCode>0.0</c:formatCode>
                <c:ptCount val="97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1.5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3.5</c:v>
                </c:pt>
                <c:pt idx="8">
                  <c:v>4.0</c:v>
                </c:pt>
                <c:pt idx="9">
                  <c:v>4.5</c:v>
                </c:pt>
                <c:pt idx="10">
                  <c:v>5.0</c:v>
                </c:pt>
                <c:pt idx="11">
                  <c:v>5.5</c:v>
                </c:pt>
                <c:pt idx="12">
                  <c:v>6.0</c:v>
                </c:pt>
                <c:pt idx="13">
                  <c:v>6.5</c:v>
                </c:pt>
                <c:pt idx="14">
                  <c:v>7.0</c:v>
                </c:pt>
                <c:pt idx="15">
                  <c:v>7.5</c:v>
                </c:pt>
                <c:pt idx="16">
                  <c:v>8.0</c:v>
                </c:pt>
                <c:pt idx="17">
                  <c:v>8.5</c:v>
                </c:pt>
                <c:pt idx="18">
                  <c:v>9.0</c:v>
                </c:pt>
                <c:pt idx="19">
                  <c:v>9.5</c:v>
                </c:pt>
                <c:pt idx="20">
                  <c:v>10.0</c:v>
                </c:pt>
                <c:pt idx="21">
                  <c:v>10.5</c:v>
                </c:pt>
                <c:pt idx="22">
                  <c:v>11.0</c:v>
                </c:pt>
                <c:pt idx="23">
                  <c:v>11.5</c:v>
                </c:pt>
                <c:pt idx="24">
                  <c:v>12.0</c:v>
                </c:pt>
                <c:pt idx="25">
                  <c:v>12.5</c:v>
                </c:pt>
                <c:pt idx="26">
                  <c:v>13.0</c:v>
                </c:pt>
                <c:pt idx="27">
                  <c:v>13.5</c:v>
                </c:pt>
                <c:pt idx="28">
                  <c:v>14.0</c:v>
                </c:pt>
                <c:pt idx="29">
                  <c:v>14.5</c:v>
                </c:pt>
                <c:pt idx="30">
                  <c:v>15.0</c:v>
                </c:pt>
                <c:pt idx="31">
                  <c:v>15.5</c:v>
                </c:pt>
                <c:pt idx="32">
                  <c:v>16.0</c:v>
                </c:pt>
                <c:pt idx="33">
                  <c:v>16.5</c:v>
                </c:pt>
                <c:pt idx="34">
                  <c:v>17.0</c:v>
                </c:pt>
                <c:pt idx="35">
                  <c:v>17.5</c:v>
                </c:pt>
                <c:pt idx="36">
                  <c:v>18.0</c:v>
                </c:pt>
                <c:pt idx="37">
                  <c:v>18.5</c:v>
                </c:pt>
                <c:pt idx="38">
                  <c:v>19.0</c:v>
                </c:pt>
                <c:pt idx="39">
                  <c:v>19.5</c:v>
                </c:pt>
                <c:pt idx="40">
                  <c:v>20.0</c:v>
                </c:pt>
                <c:pt idx="41">
                  <c:v>20.5</c:v>
                </c:pt>
                <c:pt idx="42">
                  <c:v>21.0</c:v>
                </c:pt>
                <c:pt idx="43">
                  <c:v>21.5</c:v>
                </c:pt>
                <c:pt idx="44">
                  <c:v>22.0</c:v>
                </c:pt>
                <c:pt idx="45">
                  <c:v>22.5</c:v>
                </c:pt>
                <c:pt idx="46">
                  <c:v>23.0</c:v>
                </c:pt>
                <c:pt idx="47">
                  <c:v>23.5</c:v>
                </c:pt>
                <c:pt idx="48">
                  <c:v>24.0</c:v>
                </c:pt>
                <c:pt idx="49">
                  <c:v>24.5</c:v>
                </c:pt>
                <c:pt idx="50">
                  <c:v>25.0</c:v>
                </c:pt>
                <c:pt idx="51">
                  <c:v>25.5</c:v>
                </c:pt>
                <c:pt idx="52">
                  <c:v>26.0</c:v>
                </c:pt>
                <c:pt idx="53">
                  <c:v>26.5</c:v>
                </c:pt>
                <c:pt idx="54">
                  <c:v>27.0</c:v>
                </c:pt>
                <c:pt idx="55">
                  <c:v>27.5</c:v>
                </c:pt>
                <c:pt idx="56">
                  <c:v>28.0</c:v>
                </c:pt>
                <c:pt idx="57">
                  <c:v>28.5</c:v>
                </c:pt>
                <c:pt idx="58">
                  <c:v>29.0</c:v>
                </c:pt>
                <c:pt idx="59">
                  <c:v>29.5</c:v>
                </c:pt>
                <c:pt idx="60">
                  <c:v>30.0</c:v>
                </c:pt>
                <c:pt idx="61">
                  <c:v>30.5</c:v>
                </c:pt>
                <c:pt idx="62">
                  <c:v>31.0</c:v>
                </c:pt>
                <c:pt idx="63">
                  <c:v>31.5</c:v>
                </c:pt>
                <c:pt idx="64">
                  <c:v>32.0</c:v>
                </c:pt>
                <c:pt idx="65">
                  <c:v>32.5</c:v>
                </c:pt>
                <c:pt idx="66">
                  <c:v>33.0</c:v>
                </c:pt>
                <c:pt idx="67">
                  <c:v>33.5</c:v>
                </c:pt>
                <c:pt idx="68">
                  <c:v>34.0</c:v>
                </c:pt>
                <c:pt idx="69">
                  <c:v>34.5</c:v>
                </c:pt>
                <c:pt idx="70">
                  <c:v>35.0</c:v>
                </c:pt>
                <c:pt idx="71">
                  <c:v>35.5</c:v>
                </c:pt>
                <c:pt idx="72">
                  <c:v>36.0</c:v>
                </c:pt>
                <c:pt idx="73">
                  <c:v>36.5</c:v>
                </c:pt>
                <c:pt idx="74">
                  <c:v>37.0</c:v>
                </c:pt>
                <c:pt idx="75">
                  <c:v>37.5</c:v>
                </c:pt>
                <c:pt idx="76">
                  <c:v>38.0</c:v>
                </c:pt>
                <c:pt idx="77">
                  <c:v>38.5</c:v>
                </c:pt>
                <c:pt idx="78">
                  <c:v>39.0</c:v>
                </c:pt>
                <c:pt idx="79">
                  <c:v>39.5</c:v>
                </c:pt>
                <c:pt idx="80">
                  <c:v>40.0</c:v>
                </c:pt>
                <c:pt idx="81">
                  <c:v>40.5</c:v>
                </c:pt>
                <c:pt idx="82">
                  <c:v>41.0</c:v>
                </c:pt>
                <c:pt idx="83">
                  <c:v>41.5</c:v>
                </c:pt>
                <c:pt idx="84">
                  <c:v>42.0</c:v>
                </c:pt>
                <c:pt idx="85">
                  <c:v>42.5</c:v>
                </c:pt>
                <c:pt idx="86">
                  <c:v>43.0</c:v>
                </c:pt>
                <c:pt idx="87">
                  <c:v>43.5</c:v>
                </c:pt>
                <c:pt idx="88">
                  <c:v>44.0</c:v>
                </c:pt>
                <c:pt idx="89">
                  <c:v>44.5</c:v>
                </c:pt>
                <c:pt idx="90">
                  <c:v>45.0</c:v>
                </c:pt>
                <c:pt idx="91">
                  <c:v>45.5</c:v>
                </c:pt>
                <c:pt idx="92">
                  <c:v>46.0</c:v>
                </c:pt>
                <c:pt idx="93">
                  <c:v>46.5</c:v>
                </c:pt>
                <c:pt idx="94">
                  <c:v>47.0</c:v>
                </c:pt>
                <c:pt idx="95">
                  <c:v>47.5</c:v>
                </c:pt>
                <c:pt idx="96">
                  <c:v>48.0</c:v>
                </c:pt>
              </c:numCache>
            </c:numRef>
          </c:xVal>
          <c:yVal>
            <c:numRef>
              <c:f>'CO2'!$G$5:$G$101</c:f>
              <c:numCache>
                <c:formatCode>0.0</c:formatCode>
                <c:ptCount val="97"/>
                <c:pt idx="0">
                  <c:v>0.0</c:v>
                </c:pt>
                <c:pt idx="1">
                  <c:v>0.0474709375300423</c:v>
                </c:pt>
                <c:pt idx="2">
                  <c:v>0.173103697005384</c:v>
                </c:pt>
                <c:pt idx="3">
                  <c:v>0.344726689278504</c:v>
                </c:pt>
                <c:pt idx="4">
                  <c:v>0.544839783815612</c:v>
                </c:pt>
                <c:pt idx="5">
                  <c:v>0.771149060427081</c:v>
                </c:pt>
                <c:pt idx="6">
                  <c:v>1.027982949287597</c:v>
                </c:pt>
                <c:pt idx="7">
                  <c:v>1.318166598841168</c:v>
                </c:pt>
                <c:pt idx="8">
                  <c:v>1.64692044277718</c:v>
                </c:pt>
                <c:pt idx="9">
                  <c:v>2.027389443428222</c:v>
                </c:pt>
                <c:pt idx="10">
                  <c:v>2.472257284760067</c:v>
                </c:pt>
                <c:pt idx="11">
                  <c:v>3.014617338703519</c:v>
                </c:pt>
                <c:pt idx="12">
                  <c:v>3.704763256280842</c:v>
                </c:pt>
                <c:pt idx="13">
                  <c:v>4.532695450846617</c:v>
                </c:pt>
                <c:pt idx="14">
                  <c:v>5.419437289233051</c:v>
                </c:pt>
                <c:pt idx="15">
                  <c:v>6.419080665710441</c:v>
                </c:pt>
                <c:pt idx="16">
                  <c:v>7.605559116699649</c:v>
                </c:pt>
                <c:pt idx="17">
                  <c:v>8.957332542476885</c:v>
                </c:pt>
                <c:pt idx="18">
                  <c:v>10.49052250248864</c:v>
                </c:pt>
                <c:pt idx="19">
                  <c:v>12.19371389631985</c:v>
                </c:pt>
                <c:pt idx="20">
                  <c:v>14.03811208006005</c:v>
                </c:pt>
                <c:pt idx="21">
                  <c:v>16.03075646381102</c:v>
                </c:pt>
                <c:pt idx="22">
                  <c:v>18.16233705178839</c:v>
                </c:pt>
                <c:pt idx="23">
                  <c:v>20.43050387698351</c:v>
                </c:pt>
                <c:pt idx="24">
                  <c:v>22.91408486426395</c:v>
                </c:pt>
                <c:pt idx="25">
                  <c:v>25.65650967658408</c:v>
                </c:pt>
                <c:pt idx="26">
                  <c:v>28.65199392418903</c:v>
                </c:pt>
                <c:pt idx="27">
                  <c:v>31.87395427463844</c:v>
                </c:pt>
                <c:pt idx="28">
                  <c:v>35.28798763827471</c:v>
                </c:pt>
                <c:pt idx="29">
                  <c:v>38.90809773810182</c:v>
                </c:pt>
                <c:pt idx="30">
                  <c:v>42.75801410607707</c:v>
                </c:pt>
                <c:pt idx="31">
                  <c:v>46.7734243403059</c:v>
                </c:pt>
                <c:pt idx="32">
                  <c:v>50.86388275528583</c:v>
                </c:pt>
                <c:pt idx="33">
                  <c:v>54.9874588340487</c:v>
                </c:pt>
                <c:pt idx="34">
                  <c:v>59.07302259811497</c:v>
                </c:pt>
                <c:pt idx="35">
                  <c:v>62.95563920093806</c:v>
                </c:pt>
                <c:pt idx="36">
                  <c:v>66.50222232473357</c:v>
                </c:pt>
                <c:pt idx="37">
                  <c:v>69.62960568695218</c:v>
                </c:pt>
                <c:pt idx="38">
                  <c:v>72.2911211461391</c:v>
                </c:pt>
                <c:pt idx="39">
                  <c:v>74.54234831233468</c:v>
                </c:pt>
                <c:pt idx="40">
                  <c:v>76.44200583813091</c:v>
                </c:pt>
                <c:pt idx="41">
                  <c:v>78.0384943608331</c:v>
                </c:pt>
                <c:pt idx="42">
                  <c:v>79.41167621630616</c:v>
                </c:pt>
                <c:pt idx="43">
                  <c:v>80.59781485203592</c:v>
                </c:pt>
                <c:pt idx="44">
                  <c:v>81.58979460213638</c:v>
                </c:pt>
                <c:pt idx="45">
                  <c:v>82.39483153465096</c:v>
                </c:pt>
                <c:pt idx="46">
                  <c:v>83.06602659564026</c:v>
                </c:pt>
                <c:pt idx="47">
                  <c:v>83.64936417259374</c:v>
                </c:pt>
                <c:pt idx="48">
                  <c:v>84.14606459538642</c:v>
                </c:pt>
                <c:pt idx="49">
                  <c:v>84.56874777436724</c:v>
                </c:pt>
                <c:pt idx="50">
                  <c:v>84.92048984252541</c:v>
                </c:pt>
                <c:pt idx="51">
                  <c:v>85.2141206296723</c:v>
                </c:pt>
                <c:pt idx="52">
                  <c:v>85.455013053565</c:v>
                </c:pt>
                <c:pt idx="53">
                  <c:v>85.65062359973417</c:v>
                </c:pt>
                <c:pt idx="54">
                  <c:v>85.81394794019683</c:v>
                </c:pt>
                <c:pt idx="55">
                  <c:v>85.95009549285651</c:v>
                </c:pt>
                <c:pt idx="56">
                  <c:v>86.06113472647399</c:v>
                </c:pt>
                <c:pt idx="57">
                  <c:v>86.15095488021678</c:v>
                </c:pt>
                <c:pt idx="58">
                  <c:v>86.22280527122929</c:v>
                </c:pt>
                <c:pt idx="59">
                  <c:v>86.28042915226924</c:v>
                </c:pt>
                <c:pt idx="60">
                  <c:v>86.32836892472162</c:v>
                </c:pt>
                <c:pt idx="61">
                  <c:v>86.36893999271854</c:v>
                </c:pt>
                <c:pt idx="62">
                  <c:v>86.40210969452522</c:v>
                </c:pt>
                <c:pt idx="63">
                  <c:v>86.4297459622949</c:v>
                </c:pt>
                <c:pt idx="64">
                  <c:v>86.45271311281418</c:v>
                </c:pt>
                <c:pt idx="65">
                  <c:v>86.47172142621461</c:v>
                </c:pt>
                <c:pt idx="66">
                  <c:v>86.48783584727178</c:v>
                </c:pt>
                <c:pt idx="67">
                  <c:v>86.49525242695881</c:v>
                </c:pt>
                <c:pt idx="68">
                  <c:v>86.49525242695881</c:v>
                </c:pt>
                <c:pt idx="69">
                  <c:v>86.49525242695881</c:v>
                </c:pt>
                <c:pt idx="70">
                  <c:v>86.49525242695881</c:v>
                </c:pt>
                <c:pt idx="71">
                  <c:v>86.49525242695881</c:v>
                </c:pt>
                <c:pt idx="72">
                  <c:v>86.49525242695881</c:v>
                </c:pt>
                <c:pt idx="73">
                  <c:v>86.49525242695881</c:v>
                </c:pt>
                <c:pt idx="74">
                  <c:v>86.49525242695881</c:v>
                </c:pt>
                <c:pt idx="75">
                  <c:v>86.49525242695881</c:v>
                </c:pt>
                <c:pt idx="76">
                  <c:v>86.49525242695881</c:v>
                </c:pt>
                <c:pt idx="77">
                  <c:v>86.49525242695881</c:v>
                </c:pt>
                <c:pt idx="78">
                  <c:v>86.49525242695881</c:v>
                </c:pt>
                <c:pt idx="79">
                  <c:v>86.49525242695881</c:v>
                </c:pt>
                <c:pt idx="80">
                  <c:v>86.49525242695881</c:v>
                </c:pt>
                <c:pt idx="81">
                  <c:v>86.49525242695881</c:v>
                </c:pt>
                <c:pt idx="82">
                  <c:v>86.49525242695881</c:v>
                </c:pt>
                <c:pt idx="83">
                  <c:v>86.49525242695881</c:v>
                </c:pt>
                <c:pt idx="84">
                  <c:v>86.49525242695881</c:v>
                </c:pt>
                <c:pt idx="85">
                  <c:v>86.49525242695881</c:v>
                </c:pt>
                <c:pt idx="86">
                  <c:v>86.49525242695881</c:v>
                </c:pt>
                <c:pt idx="87">
                  <c:v>86.49525242695881</c:v>
                </c:pt>
                <c:pt idx="88">
                  <c:v>86.49525242695881</c:v>
                </c:pt>
                <c:pt idx="89">
                  <c:v>86.49525242695881</c:v>
                </c:pt>
                <c:pt idx="90">
                  <c:v>86.49525242695881</c:v>
                </c:pt>
                <c:pt idx="91">
                  <c:v>86.49525242695881</c:v>
                </c:pt>
                <c:pt idx="92">
                  <c:v>86.49525242695881</c:v>
                </c:pt>
                <c:pt idx="93">
                  <c:v>86.49525242695881</c:v>
                </c:pt>
                <c:pt idx="94">
                  <c:v>86.49525242695881</c:v>
                </c:pt>
                <c:pt idx="95">
                  <c:v>86.49525242695881</c:v>
                </c:pt>
                <c:pt idx="96">
                  <c:v>86.49525242695881</c:v>
                </c:pt>
              </c:numCache>
            </c:numRef>
          </c:yVal>
          <c:smooth val="0"/>
        </c:ser>
        <c:ser>
          <c:idx val="3"/>
          <c:order val="6"/>
          <c:tx>
            <c:v>lactic acid</c:v>
          </c:tx>
          <c:spPr>
            <a:ln>
              <a:solidFill>
                <a:srgbClr val="4747EE"/>
              </a:solidFill>
            </a:ln>
          </c:spPr>
          <c:marker>
            <c:symbol val="triangle"/>
            <c:size val="8"/>
            <c:spPr>
              <a:solidFill>
                <a:srgbClr val="4747EE"/>
              </a:solidFill>
              <a:ln>
                <a:solidFill>
                  <a:srgbClr val="4747EE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plus>
            <c:minus>
              <c:numRef>
                <c:f>Metabolites!$M$4:$M$15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0.0</c:v>
                  </c:pt>
                </c:numCache>
              </c:numRef>
            </c:minus>
          </c:errBars>
          <c:xVal>
            <c:numRef>
              <c:f>Metabolites!$E$4:$E$15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Metabolites!$L$4:$L$15</c:f>
              <c:numCache>
                <c:formatCode>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020264"/>
        <c:axId val="2137644632"/>
      </c:scatterChart>
      <c:scatterChart>
        <c:scatterStyle val="lineMarker"/>
        <c:varyColors val="0"/>
        <c:ser>
          <c:idx val="8"/>
          <c:order val="2"/>
          <c:tx>
            <c:v>CFU (log/ml)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'Plate Count'!#REF!</c:f>
            </c:numRef>
          </c:xVal>
          <c:yVal>
            <c:numRef>
              <c:f>'Flow cytometer'!$N$4:$N$13</c:f>
              <c:numCache>
                <c:formatCode>General</c:formatCode>
                <c:ptCount val="10"/>
                <c:pt idx="0">
                  <c:v>38272.0</c:v>
                </c:pt>
                <c:pt idx="1">
                  <c:v>9731.0</c:v>
                </c:pt>
                <c:pt idx="2">
                  <c:v>62634.0</c:v>
                </c:pt>
                <c:pt idx="3">
                  <c:v>6900.0</c:v>
                </c:pt>
                <c:pt idx="4">
                  <c:v>7211.0</c:v>
                </c:pt>
                <c:pt idx="5">
                  <c:v>12732.0</c:v>
                </c:pt>
                <c:pt idx="6">
                  <c:v>14003.0</c:v>
                </c:pt>
                <c:pt idx="7">
                  <c:v>12839.0</c:v>
                </c:pt>
                <c:pt idx="8">
                  <c:v>11133.0</c:v>
                </c:pt>
                <c:pt idx="9">
                  <c:v>12601.0</c:v>
                </c:pt>
              </c:numCache>
            </c:numRef>
          </c:yVal>
          <c:smooth val="0"/>
        </c:ser>
        <c:ser>
          <c:idx val="5"/>
          <c:order val="3"/>
          <c:tx>
            <c:v>OD600 nm</c:v>
          </c:tx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OD600nm!$J$4:$J$15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0.0423505412362109</c:v>
                  </c:pt>
                  <c:pt idx="3">
                    <c:v>0.00924164575891835</c:v>
                  </c:pt>
                  <c:pt idx="4">
                    <c:v>0.048021</c:v>
                  </c:pt>
                  <c:pt idx="5">
                    <c:v>0.0606015239274834</c:v>
                  </c:pt>
                  <c:pt idx="6">
                    <c:v>0.0640279999999999</c:v>
                  </c:pt>
                  <c:pt idx="7">
                    <c:v>0.0244510963830527</c:v>
                  </c:pt>
                  <c:pt idx="8">
                    <c:v>0.0423505412362108</c:v>
                  </c:pt>
                  <c:pt idx="9">
                    <c:v>0.200140849554343</c:v>
                  </c:pt>
                  <c:pt idx="10">
                    <c:v>0.0423505412362108</c:v>
                  </c:pt>
                  <c:pt idx="11">
                    <c:v>0.00924164575891835</c:v>
                  </c:pt>
                </c:numCache>
              </c:numRef>
            </c:plus>
            <c:minus>
              <c:numRef>
                <c:f>OD600nm!$J$4:$J$15</c:f>
                <c:numCache>
                  <c:formatCode>General</c:formatCode>
                  <c:ptCount val="12"/>
                  <c:pt idx="0">
                    <c:v>0.0</c:v>
                  </c:pt>
                  <c:pt idx="1">
                    <c:v>0.0</c:v>
                  </c:pt>
                  <c:pt idx="2">
                    <c:v>0.0423505412362109</c:v>
                  </c:pt>
                  <c:pt idx="3">
                    <c:v>0.00924164575891835</c:v>
                  </c:pt>
                  <c:pt idx="4">
                    <c:v>0.048021</c:v>
                  </c:pt>
                  <c:pt idx="5">
                    <c:v>0.0606015239274834</c:v>
                  </c:pt>
                  <c:pt idx="6">
                    <c:v>0.0640279999999999</c:v>
                  </c:pt>
                  <c:pt idx="7">
                    <c:v>0.0244510963830527</c:v>
                  </c:pt>
                  <c:pt idx="8">
                    <c:v>0.0423505412362108</c:v>
                  </c:pt>
                  <c:pt idx="9">
                    <c:v>0.200140849554343</c:v>
                  </c:pt>
                  <c:pt idx="10">
                    <c:v>0.0423505412362108</c:v>
                  </c:pt>
                  <c:pt idx="11">
                    <c:v>0.00924164575891835</c:v>
                  </c:pt>
                </c:numCache>
              </c:numRef>
            </c:minus>
          </c:errBars>
          <c:xVal>
            <c:numRef>
              <c:f>OD600nm!$D$4:$D$15</c:f>
              <c:numCache>
                <c:formatCode>0</c:formatCode>
                <c:ptCount val="12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  <c:pt idx="10">
                  <c:v>30.0</c:v>
                </c:pt>
                <c:pt idx="11">
                  <c:v>48.0</c:v>
                </c:pt>
              </c:numCache>
            </c:numRef>
          </c:xVal>
          <c:yVal>
            <c:numRef>
              <c:f>OD600nm!$I$4:$I$15</c:f>
              <c:numCache>
                <c:formatCode>0.000</c:formatCode>
                <c:ptCount val="12"/>
                <c:pt idx="0">
                  <c:v>0.1738812</c:v>
                </c:pt>
                <c:pt idx="1">
                  <c:v>0.260319</c:v>
                </c:pt>
                <c:pt idx="2">
                  <c:v>0.794399</c:v>
                </c:pt>
                <c:pt idx="3">
                  <c:v>0.911783666666667</c:v>
                </c:pt>
                <c:pt idx="4">
                  <c:v>1.370651</c:v>
                </c:pt>
                <c:pt idx="5">
                  <c:v>1.605420333333333</c:v>
                </c:pt>
                <c:pt idx="6">
                  <c:v>1.546728</c:v>
                </c:pt>
                <c:pt idx="7">
                  <c:v>1.408000666666667</c:v>
                </c:pt>
                <c:pt idx="8">
                  <c:v>1.242595</c:v>
                </c:pt>
                <c:pt idx="9">
                  <c:v>1.440014666666667</c:v>
                </c:pt>
                <c:pt idx="10">
                  <c:v>1.018497</c:v>
                </c:pt>
                <c:pt idx="11">
                  <c:v>0.303517666666667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320024"/>
        <c:axId val="2131118424"/>
      </c:scatterChart>
      <c:valAx>
        <c:axId val="2128020264"/>
        <c:scaling>
          <c:orientation val="minMax"/>
          <c:max val="48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37644632"/>
        <c:crosses val="autoZero"/>
        <c:crossBetween val="midCat"/>
        <c:majorUnit val="6.0"/>
      </c:valAx>
      <c:valAx>
        <c:axId val="2137644632"/>
        <c:scaling>
          <c:orientation val="minMax"/>
          <c:max val="15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128020264"/>
        <c:crosses val="autoZero"/>
        <c:crossBetween val="midCat"/>
      </c:valAx>
      <c:valAx>
        <c:axId val="2131118424"/>
        <c:scaling>
          <c:orientation val="minMax"/>
          <c:max val="2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NL" sz="1050"/>
                  <a:t>cell growth (OD 600 nm)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141320024"/>
        <c:crosses val="max"/>
        <c:crossBetween val="midCat"/>
        <c:majorUnit val="0.2"/>
        <c:minorUnit val="0.02"/>
      </c:valAx>
      <c:valAx>
        <c:axId val="2141320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13111842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41400" y="4622800"/>
    <xdr:ext cx="9296400" cy="6070600"/>
    <xdr:graphicFrame macro="">
      <xdr:nvGraphicFramePr>
        <xdr:cNvPr id="3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73100" y="10312400"/>
    <xdr:ext cx="9296400" cy="6070600"/>
    <xdr:graphicFrame macro="">
      <xdr:nvGraphicFramePr>
        <xdr:cNvPr id="4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2012_06_08_BIF_REC_OLI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_06_08_BIF_REC_OLI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012_05_10_FPRAU_fruc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13" sqref="F13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31.33203125" style="2" customWidth="1"/>
    <col min="4" max="16384" width="8.83203125" style="2"/>
  </cols>
  <sheetData>
    <row r="1" spans="1:3">
      <c r="A1" s="83" t="s">
        <v>0</v>
      </c>
      <c r="B1" s="84"/>
      <c r="C1" s="67">
        <v>41857</v>
      </c>
    </row>
    <row r="2" spans="1:3" ht="16">
      <c r="A2" s="83" t="s">
        <v>1</v>
      </c>
      <c r="B2" s="85"/>
      <c r="C2" s="29" t="s">
        <v>136</v>
      </c>
    </row>
    <row r="3" spans="1:3">
      <c r="A3" s="9"/>
      <c r="B3" s="9"/>
      <c r="C3" s="8"/>
    </row>
    <row r="4" spans="1:3">
      <c r="A4" s="86" t="s">
        <v>48</v>
      </c>
      <c r="B4" s="86"/>
      <c r="C4" s="29" t="s">
        <v>94</v>
      </c>
    </row>
    <row r="6" spans="1:3">
      <c r="A6" s="62" t="s">
        <v>82</v>
      </c>
      <c r="B6" s="62" t="s">
        <v>83</v>
      </c>
      <c r="C6" s="62" t="s">
        <v>68</v>
      </c>
    </row>
    <row r="7" spans="1:3">
      <c r="A7" s="29" t="s">
        <v>84</v>
      </c>
      <c r="B7" s="42">
        <v>6.5</v>
      </c>
      <c r="C7" s="29" t="s">
        <v>90</v>
      </c>
    </row>
    <row r="8" spans="1:3">
      <c r="A8" s="29" t="s">
        <v>85</v>
      </c>
      <c r="B8" s="42">
        <v>5</v>
      </c>
      <c r="C8" s="29" t="s">
        <v>90</v>
      </c>
    </row>
    <row r="9" spans="1:3">
      <c r="A9" s="29" t="s">
        <v>86</v>
      </c>
      <c r="B9" s="42">
        <v>2.5</v>
      </c>
      <c r="C9" s="29" t="s">
        <v>90</v>
      </c>
    </row>
    <row r="10" spans="1:3">
      <c r="A10" s="29" t="s">
        <v>87</v>
      </c>
      <c r="B10" s="42">
        <v>3</v>
      </c>
      <c r="C10" s="29" t="s">
        <v>90</v>
      </c>
    </row>
    <row r="11" spans="1:3">
      <c r="A11" s="64" t="s">
        <v>144</v>
      </c>
      <c r="B11" s="113">
        <v>6.8</v>
      </c>
      <c r="C11" s="63" t="s">
        <v>145</v>
      </c>
    </row>
    <row r="12" spans="1:3">
      <c r="A12" s="8" t="s">
        <v>72</v>
      </c>
      <c r="B12" s="42">
        <v>1.5</v>
      </c>
      <c r="C12" s="29" t="s">
        <v>90</v>
      </c>
    </row>
    <row r="13" spans="1:3" ht="16">
      <c r="A13" s="29" t="s">
        <v>76</v>
      </c>
      <c r="B13" s="42">
        <v>1</v>
      </c>
      <c r="C13" s="29" t="s">
        <v>90</v>
      </c>
    </row>
    <row r="14" spans="1:3" ht="16">
      <c r="A14" s="8" t="s">
        <v>75</v>
      </c>
      <c r="B14" s="42">
        <v>1</v>
      </c>
      <c r="C14" s="29" t="s">
        <v>90</v>
      </c>
    </row>
    <row r="15" spans="1:3" ht="16">
      <c r="A15" s="66" t="s">
        <v>135</v>
      </c>
      <c r="B15" s="65">
        <v>2</v>
      </c>
      <c r="C15" s="65" t="s">
        <v>90</v>
      </c>
    </row>
    <row r="16" spans="1:3" ht="16">
      <c r="A16" s="29" t="s">
        <v>95</v>
      </c>
      <c r="B16" s="42">
        <v>1</v>
      </c>
      <c r="C16" s="29" t="s">
        <v>90</v>
      </c>
    </row>
    <row r="17" spans="1:3" ht="16">
      <c r="A17" s="29" t="s">
        <v>96</v>
      </c>
      <c r="B17" s="42">
        <v>1</v>
      </c>
      <c r="C17" s="29" t="s">
        <v>90</v>
      </c>
    </row>
    <row r="18" spans="1:3" ht="16">
      <c r="A18" s="29" t="s">
        <v>97</v>
      </c>
      <c r="B18" s="42">
        <v>0.4</v>
      </c>
      <c r="C18" s="29" t="s">
        <v>90</v>
      </c>
    </row>
    <row r="19" spans="1:3" ht="16">
      <c r="A19" s="29" t="s">
        <v>74</v>
      </c>
      <c r="B19" s="42">
        <v>0.2</v>
      </c>
      <c r="C19" s="29" t="s">
        <v>90</v>
      </c>
    </row>
    <row r="20" spans="1:3" ht="16">
      <c r="A20" s="29" t="s">
        <v>98</v>
      </c>
      <c r="B20" s="42">
        <v>0.1</v>
      </c>
      <c r="C20" s="29" t="s">
        <v>90</v>
      </c>
    </row>
    <row r="21" spans="1:3" ht="16">
      <c r="A21" s="29" t="s">
        <v>99</v>
      </c>
      <c r="B21" s="42">
        <v>0.05</v>
      </c>
      <c r="C21" s="29" t="s">
        <v>90</v>
      </c>
    </row>
    <row r="22" spans="1:3" ht="16">
      <c r="A22" s="29" t="s">
        <v>100</v>
      </c>
      <c r="B22" s="29">
        <v>5.0000000000000001E-3</v>
      </c>
      <c r="C22" s="29" t="s">
        <v>90</v>
      </c>
    </row>
    <row r="23" spans="1:3" ht="16">
      <c r="A23" s="29" t="s">
        <v>101</v>
      </c>
      <c r="B23" s="29">
        <v>5.0000000000000001E-3</v>
      </c>
      <c r="C23" s="29" t="s">
        <v>90</v>
      </c>
    </row>
    <row r="24" spans="1:3">
      <c r="A24" s="29" t="s">
        <v>88</v>
      </c>
      <c r="B24" s="29">
        <v>5.0000000000000001E-3</v>
      </c>
      <c r="C24" s="29" t="s">
        <v>90</v>
      </c>
    </row>
    <row r="25" spans="1:3">
      <c r="A25" s="29" t="s">
        <v>89</v>
      </c>
      <c r="B25" s="29">
        <v>5.0000000000000001E-3</v>
      </c>
      <c r="C25" s="29" t="s">
        <v>90</v>
      </c>
    </row>
    <row r="26" spans="1:3">
      <c r="A26" s="29" t="s">
        <v>73</v>
      </c>
      <c r="B26" s="29">
        <v>1E-3</v>
      </c>
      <c r="C26" s="29" t="s">
        <v>132</v>
      </c>
    </row>
    <row r="27" spans="1:3">
      <c r="A27" s="29" t="s">
        <v>91</v>
      </c>
      <c r="B27" s="29" t="s">
        <v>90</v>
      </c>
      <c r="C27" s="29" t="s">
        <v>92</v>
      </c>
    </row>
    <row r="28" spans="1:3">
      <c r="A28" s="29" t="s">
        <v>93</v>
      </c>
      <c r="B28" s="29" t="s">
        <v>90</v>
      </c>
      <c r="C28" s="29" t="s">
        <v>92</v>
      </c>
    </row>
    <row r="29" spans="1:3" ht="16">
      <c r="A29" s="64" t="s">
        <v>137</v>
      </c>
      <c r="B29" s="113">
        <v>0</v>
      </c>
      <c r="C29" s="63" t="s">
        <v>138</v>
      </c>
    </row>
    <row r="30" spans="1:3" ht="16">
      <c r="A30" s="64" t="s">
        <v>140</v>
      </c>
      <c r="B30" s="64">
        <v>10.199999999999999</v>
      </c>
      <c r="C30" s="63" t="s">
        <v>141</v>
      </c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129</v>
      </c>
      <c r="B2" s="15">
        <v>180.16</v>
      </c>
    </row>
    <row r="4" spans="1:8">
      <c r="A4" s="104" t="s">
        <v>130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6" t="s">
        <v>4</v>
      </c>
      <c r="B6" s="26" t="s">
        <v>5</v>
      </c>
      <c r="C6" s="26" t="s">
        <v>19</v>
      </c>
      <c r="D6" s="109"/>
      <c r="E6" s="109"/>
      <c r="F6" s="109"/>
      <c r="G6" s="111"/>
      <c r="H6" s="111"/>
    </row>
    <row r="7" spans="1:8">
      <c r="A7" s="48" t="s">
        <v>6</v>
      </c>
      <c r="B7" s="60">
        <v>0</v>
      </c>
      <c r="C7" s="49">
        <v>2</v>
      </c>
      <c r="D7" s="16">
        <v>0</v>
      </c>
      <c r="E7" s="16">
        <v>0</v>
      </c>
      <c r="F7" s="16">
        <v>0</v>
      </c>
      <c r="G7" s="17">
        <f>(C7*1000*AVERAGE(D7:F7)/$B$2)</f>
        <v>0</v>
      </c>
      <c r="H7" s="17">
        <f>(C7*1000*STDEV(D7:F7))/$B$2</f>
        <v>0</v>
      </c>
    </row>
    <row r="8" spans="1:8">
      <c r="A8" s="50">
        <v>0</v>
      </c>
      <c r="B8" s="70">
        <v>0</v>
      </c>
      <c r="C8" s="49">
        <v>2</v>
      </c>
      <c r="D8" s="16">
        <v>0</v>
      </c>
      <c r="E8" s="16">
        <v>0</v>
      </c>
      <c r="F8" s="16">
        <v>0</v>
      </c>
      <c r="G8" s="17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50">
        <v>1</v>
      </c>
      <c r="B9" s="70">
        <v>3</v>
      </c>
      <c r="C9" s="49">
        <v>2</v>
      </c>
      <c r="D9" s="16">
        <v>0</v>
      </c>
      <c r="E9" s="16">
        <v>0</v>
      </c>
      <c r="F9" s="16">
        <v>0</v>
      </c>
      <c r="G9" s="17">
        <f t="shared" si="0"/>
        <v>0</v>
      </c>
      <c r="H9" s="17">
        <f t="shared" si="1"/>
        <v>0</v>
      </c>
    </row>
    <row r="10" spans="1:8">
      <c r="A10" s="50">
        <v>2</v>
      </c>
      <c r="B10" s="70">
        <v>6</v>
      </c>
      <c r="C10" s="49">
        <v>2</v>
      </c>
      <c r="D10" s="16">
        <v>0</v>
      </c>
      <c r="E10" s="16">
        <v>0</v>
      </c>
      <c r="F10" s="16">
        <v>0</v>
      </c>
      <c r="G10" s="17">
        <f t="shared" si="0"/>
        <v>0</v>
      </c>
      <c r="H10" s="17">
        <f t="shared" si="1"/>
        <v>0</v>
      </c>
    </row>
    <row r="11" spans="1:8">
      <c r="A11" s="50">
        <v>3</v>
      </c>
      <c r="B11" s="70">
        <v>9</v>
      </c>
      <c r="C11" s="49">
        <v>2</v>
      </c>
      <c r="D11" s="16">
        <v>0</v>
      </c>
      <c r="E11" s="16">
        <v>0</v>
      </c>
      <c r="F11" s="16">
        <v>0</v>
      </c>
      <c r="G11" s="17">
        <f t="shared" si="0"/>
        <v>0</v>
      </c>
      <c r="H11" s="17">
        <f t="shared" si="1"/>
        <v>0</v>
      </c>
    </row>
    <row r="12" spans="1:8">
      <c r="A12" s="50">
        <v>4</v>
      </c>
      <c r="B12" s="70">
        <v>12</v>
      </c>
      <c r="C12" s="49">
        <v>2</v>
      </c>
      <c r="D12" s="16">
        <v>0</v>
      </c>
      <c r="E12" s="16">
        <v>0</v>
      </c>
      <c r="F12" s="16">
        <v>0</v>
      </c>
      <c r="G12" s="17">
        <f t="shared" si="0"/>
        <v>0</v>
      </c>
      <c r="H12" s="17">
        <f t="shared" si="1"/>
        <v>0</v>
      </c>
    </row>
    <row r="13" spans="1:8">
      <c r="A13" s="50">
        <v>5</v>
      </c>
      <c r="B13" s="70">
        <v>15</v>
      </c>
      <c r="C13" s="49">
        <v>2</v>
      </c>
      <c r="D13" s="16">
        <v>0</v>
      </c>
      <c r="E13" s="16">
        <v>0</v>
      </c>
      <c r="F13" s="16">
        <v>0</v>
      </c>
      <c r="G13" s="17">
        <f t="shared" si="0"/>
        <v>0</v>
      </c>
      <c r="H13" s="17">
        <f t="shared" si="1"/>
        <v>0</v>
      </c>
    </row>
    <row r="14" spans="1:8">
      <c r="A14" s="50">
        <v>6</v>
      </c>
      <c r="B14" s="70">
        <v>18</v>
      </c>
      <c r="C14" s="49">
        <v>2</v>
      </c>
      <c r="D14" s="16">
        <v>0</v>
      </c>
      <c r="E14" s="16">
        <v>0</v>
      </c>
      <c r="F14" s="16">
        <v>0</v>
      </c>
      <c r="G14" s="17">
        <f t="shared" si="0"/>
        <v>0</v>
      </c>
      <c r="H14" s="17">
        <f t="shared" si="1"/>
        <v>0</v>
      </c>
    </row>
    <row r="15" spans="1:8">
      <c r="A15" s="50">
        <v>7</v>
      </c>
      <c r="B15" s="70">
        <v>21</v>
      </c>
      <c r="C15" s="49">
        <v>2</v>
      </c>
      <c r="D15" s="16">
        <v>0</v>
      </c>
      <c r="E15" s="16">
        <v>0</v>
      </c>
      <c r="F15" s="16">
        <v>0</v>
      </c>
      <c r="G15" s="17">
        <f t="shared" si="0"/>
        <v>0</v>
      </c>
      <c r="H15" s="17">
        <f t="shared" si="1"/>
        <v>0</v>
      </c>
    </row>
    <row r="16" spans="1:8">
      <c r="A16" s="50">
        <v>8</v>
      </c>
      <c r="B16" s="70">
        <v>24</v>
      </c>
      <c r="C16" s="49">
        <v>2</v>
      </c>
      <c r="D16" s="16">
        <v>0</v>
      </c>
      <c r="E16" s="16">
        <v>0</v>
      </c>
      <c r="F16" s="16">
        <v>0</v>
      </c>
      <c r="G16" s="17">
        <f t="shared" si="0"/>
        <v>0</v>
      </c>
      <c r="H16" s="17">
        <f t="shared" si="1"/>
        <v>0</v>
      </c>
    </row>
    <row r="17" spans="1:8">
      <c r="A17" s="50">
        <v>9</v>
      </c>
      <c r="B17" s="70">
        <v>27</v>
      </c>
      <c r="C17" s="49">
        <v>2</v>
      </c>
      <c r="D17" s="16">
        <v>0</v>
      </c>
      <c r="E17" s="16">
        <v>0</v>
      </c>
      <c r="F17" s="16">
        <v>0</v>
      </c>
      <c r="G17" s="17">
        <f t="shared" si="0"/>
        <v>0</v>
      </c>
      <c r="H17" s="17">
        <f t="shared" si="1"/>
        <v>0</v>
      </c>
    </row>
    <row r="18" spans="1:8">
      <c r="A18" s="50">
        <v>10</v>
      </c>
      <c r="B18" s="70">
        <v>30</v>
      </c>
      <c r="C18" s="49">
        <v>2</v>
      </c>
      <c r="D18" s="16">
        <v>0</v>
      </c>
      <c r="E18" s="16">
        <v>0</v>
      </c>
      <c r="F18" s="16">
        <v>0</v>
      </c>
      <c r="G18" s="17">
        <f>(C18*1000*AVERAGE(D18:F18))/$B$2</f>
        <v>0</v>
      </c>
      <c r="H18" s="17">
        <f>(C18*1000*STDEV(D18:F18))/$B$2</f>
        <v>0</v>
      </c>
    </row>
    <row r="19" spans="1:8">
      <c r="A19" s="50">
        <v>11</v>
      </c>
      <c r="B19" s="70">
        <v>48</v>
      </c>
      <c r="C19" s="49">
        <v>2</v>
      </c>
      <c r="D19" s="16">
        <v>0</v>
      </c>
      <c r="E19" s="16">
        <v>0</v>
      </c>
      <c r="F19" s="16">
        <v>0</v>
      </c>
      <c r="G19" s="17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topLeftCell="A2" workbookViewId="0">
      <selection activeCell="G8" sqref="G8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64</v>
      </c>
      <c r="B2" s="15">
        <v>46.03</v>
      </c>
    </row>
    <row r="4" spans="1:8">
      <c r="A4" s="104" t="s">
        <v>64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6" t="s">
        <v>4</v>
      </c>
      <c r="B6" s="26" t="s">
        <v>59</v>
      </c>
      <c r="C6" s="26" t="s">
        <v>19</v>
      </c>
      <c r="D6" s="109"/>
      <c r="E6" s="109"/>
      <c r="F6" s="109"/>
      <c r="G6" s="111"/>
      <c r="H6" s="111"/>
    </row>
    <row r="7" spans="1:8">
      <c r="A7" s="48" t="s">
        <v>6</v>
      </c>
      <c r="B7" s="60">
        <v>0</v>
      </c>
      <c r="C7" s="49">
        <v>2</v>
      </c>
      <c r="D7" s="71">
        <v>3.2490000000000001</v>
      </c>
      <c r="E7" s="16">
        <v>3.218</v>
      </c>
      <c r="F7" s="16">
        <v>3.2050000000000001</v>
      </c>
      <c r="G7" s="14">
        <f>(C7*1000*AVERAGE(D7:F7))/$B$2</f>
        <v>140.082554855529</v>
      </c>
      <c r="H7" s="17">
        <f>(C7*1000*STDEV(D7:F7))/$B$2</f>
        <v>0.98219896202105872</v>
      </c>
    </row>
    <row r="8" spans="1:8">
      <c r="A8" s="50">
        <v>0</v>
      </c>
      <c r="B8" s="70">
        <v>0</v>
      </c>
      <c r="C8" s="49">
        <v>2</v>
      </c>
      <c r="D8" s="72">
        <v>3.1829999999999998</v>
      </c>
      <c r="E8" s="16">
        <v>3.1960000000000002</v>
      </c>
      <c r="F8" s="16">
        <v>3.21</v>
      </c>
      <c r="G8" s="14">
        <f t="shared" ref="G8:G17" si="0">(C8*1000*AVERAGE(D8:F8))/$B$2</f>
        <v>138.88044029256281</v>
      </c>
      <c r="H8" s="17">
        <f t="shared" ref="H8:H17" si="1">(C8*1000*STDEV(D8:F8))/$B$2</f>
        <v>0.58670806287288546</v>
      </c>
    </row>
    <row r="9" spans="1:8">
      <c r="A9" s="50">
        <v>1</v>
      </c>
      <c r="B9" s="70">
        <v>3</v>
      </c>
      <c r="C9" s="49">
        <v>2</v>
      </c>
      <c r="D9" s="72">
        <v>3.1339999999999999</v>
      </c>
      <c r="E9" s="16">
        <v>3.145</v>
      </c>
      <c r="F9" s="16">
        <v>3.1</v>
      </c>
      <c r="G9" s="14">
        <f t="shared" si="0"/>
        <v>135.83894561517849</v>
      </c>
      <c r="H9" s="17">
        <f t="shared" si="1"/>
        <v>1.0192997789796721</v>
      </c>
    </row>
    <row r="10" spans="1:8">
      <c r="A10" s="50">
        <v>2</v>
      </c>
      <c r="B10" s="70">
        <v>6</v>
      </c>
      <c r="C10" s="49">
        <v>2</v>
      </c>
      <c r="D10" s="72">
        <v>2.6949999999999998</v>
      </c>
      <c r="E10" s="16">
        <v>2.714</v>
      </c>
      <c r="F10" s="16">
        <v>2.7090000000000001</v>
      </c>
      <c r="G10" s="14">
        <f t="shared" si="0"/>
        <v>117.57549424288507</v>
      </c>
      <c r="H10" s="17">
        <f t="shared" si="1"/>
        <v>0.42793212260683</v>
      </c>
    </row>
    <row r="11" spans="1:8">
      <c r="A11" s="50">
        <v>3</v>
      </c>
      <c r="B11" s="70">
        <v>9</v>
      </c>
      <c r="C11" s="49">
        <v>2</v>
      </c>
      <c r="D11" s="72">
        <v>2.5470000000000002</v>
      </c>
      <c r="E11" s="16">
        <v>2.5779999999999998</v>
      </c>
      <c r="F11" s="16">
        <v>2.5459999999999998</v>
      </c>
      <c r="G11" s="14">
        <f t="shared" si="0"/>
        <v>111.10145557245275</v>
      </c>
      <c r="H11" s="17">
        <f t="shared" si="1"/>
        <v>0.79050208119314247</v>
      </c>
    </row>
    <row r="12" spans="1:8">
      <c r="A12" s="50">
        <v>4</v>
      </c>
      <c r="B12" s="70">
        <v>12</v>
      </c>
      <c r="C12" s="49">
        <v>2</v>
      </c>
      <c r="D12" s="72">
        <v>1.798</v>
      </c>
      <c r="E12" s="16">
        <v>1.8169999999999999</v>
      </c>
      <c r="F12" s="16">
        <v>1.8540000000000001</v>
      </c>
      <c r="G12" s="14">
        <f t="shared" si="0"/>
        <v>79.209211383880088</v>
      </c>
      <c r="H12" s="17">
        <f t="shared" si="1"/>
        <v>1.2373696168497206</v>
      </c>
    </row>
    <row r="13" spans="1:8">
      <c r="A13" s="50">
        <v>5</v>
      </c>
      <c r="B13" s="70">
        <v>15</v>
      </c>
      <c r="C13" s="49">
        <v>2</v>
      </c>
      <c r="D13" s="73">
        <v>0.63300000000000001</v>
      </c>
      <c r="E13" s="38">
        <v>0.63100000000000001</v>
      </c>
      <c r="F13" s="38">
        <v>0.63800000000000001</v>
      </c>
      <c r="G13" s="14">
        <f t="shared" si="0"/>
        <v>27.547251792309364</v>
      </c>
      <c r="H13" s="17">
        <f t="shared" si="1"/>
        <v>0.15666092876228516</v>
      </c>
    </row>
    <row r="14" spans="1:8">
      <c r="A14" s="50">
        <v>6</v>
      </c>
      <c r="B14" s="70">
        <v>18</v>
      </c>
      <c r="C14" s="49">
        <v>2</v>
      </c>
      <c r="D14" s="72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50">
        <v>7</v>
      </c>
      <c r="B15" s="70">
        <v>21</v>
      </c>
      <c r="C15" s="49">
        <v>2</v>
      </c>
      <c r="D15" s="72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50">
        <v>8</v>
      </c>
      <c r="B16" s="70">
        <v>24</v>
      </c>
      <c r="C16" s="49">
        <v>2</v>
      </c>
      <c r="D16" s="72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50">
        <v>9</v>
      </c>
      <c r="B17" s="70">
        <v>27</v>
      </c>
      <c r="C17" s="49">
        <v>2</v>
      </c>
      <c r="D17" s="72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50">
        <v>10</v>
      </c>
      <c r="B18" s="70">
        <v>30</v>
      </c>
      <c r="C18" s="49">
        <v>2</v>
      </c>
      <c r="D18" s="72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50">
        <v>11</v>
      </c>
      <c r="B19" s="70">
        <v>48</v>
      </c>
      <c r="C19" s="49">
        <v>2</v>
      </c>
      <c r="D19" s="72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7" sqref="G7:H19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42</v>
      </c>
      <c r="B2" s="15">
        <v>60.05</v>
      </c>
    </row>
    <row r="4" spans="1:8">
      <c r="A4" s="104" t="s">
        <v>42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0" t="s">
        <v>4</v>
      </c>
      <c r="B6" s="20" t="s">
        <v>59</v>
      </c>
      <c r="C6" s="20" t="s">
        <v>19</v>
      </c>
      <c r="D6" s="109"/>
      <c r="E6" s="109"/>
      <c r="F6" s="109"/>
      <c r="G6" s="111"/>
      <c r="H6" s="111"/>
    </row>
    <row r="7" spans="1:8">
      <c r="A7" s="48" t="s">
        <v>6</v>
      </c>
      <c r="B7" s="60">
        <v>0</v>
      </c>
      <c r="C7" s="49">
        <v>2</v>
      </c>
      <c r="D7" s="75">
        <v>0</v>
      </c>
      <c r="E7" s="75">
        <v>0</v>
      </c>
      <c r="F7" s="75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50">
        <v>0</v>
      </c>
      <c r="B8" s="70">
        <v>0</v>
      </c>
      <c r="C8" s="49">
        <v>2</v>
      </c>
      <c r="D8" s="76">
        <v>6.3E-2</v>
      </c>
      <c r="E8" s="77">
        <v>6.6000000000000003E-2</v>
      </c>
      <c r="F8" s="77">
        <v>6.3E-2</v>
      </c>
      <c r="G8" s="14">
        <f t="shared" ref="G8:G19" si="0">(C8*1000*AVERAGE(D8:F8))/$B$2</f>
        <v>2.131557035803497</v>
      </c>
      <c r="H8" s="17">
        <f t="shared" ref="H8:H19" si="1">(C8*1000*STDEV(D8:F8))/$B$2</f>
        <v>5.7686954456915213E-2</v>
      </c>
    </row>
    <row r="9" spans="1:8">
      <c r="A9" s="50">
        <v>1</v>
      </c>
      <c r="B9" s="70">
        <v>3</v>
      </c>
      <c r="C9" s="49">
        <v>2</v>
      </c>
      <c r="D9" s="73">
        <v>8.5999999999999993E-2</v>
      </c>
      <c r="E9" s="77">
        <v>9.1999999999999998E-2</v>
      </c>
      <c r="F9" s="77">
        <v>8.2000000000000003E-2</v>
      </c>
      <c r="G9" s="14">
        <f t="shared" si="0"/>
        <v>2.8864834859839026</v>
      </c>
      <c r="H9" s="17">
        <f t="shared" si="1"/>
        <v>0.16763440322555087</v>
      </c>
    </row>
    <row r="10" spans="1:8">
      <c r="A10" s="50">
        <v>2</v>
      </c>
      <c r="B10" s="70">
        <v>6</v>
      </c>
      <c r="C10" s="49">
        <v>2</v>
      </c>
      <c r="D10" s="73">
        <v>0.22</v>
      </c>
      <c r="E10" s="77">
        <v>0.22700000000000001</v>
      </c>
      <c r="F10" s="77">
        <v>0.223</v>
      </c>
      <c r="G10" s="14">
        <f t="shared" si="0"/>
        <v>7.4382459061892874</v>
      </c>
      <c r="H10" s="17">
        <f t="shared" si="1"/>
        <v>0.11696534835251456</v>
      </c>
    </row>
    <row r="11" spans="1:8">
      <c r="A11" s="50">
        <v>3</v>
      </c>
      <c r="B11" s="70">
        <v>9</v>
      </c>
      <c r="C11" s="49">
        <v>2</v>
      </c>
      <c r="D11" s="73">
        <v>0.371</v>
      </c>
      <c r="E11" s="77">
        <v>0.373</v>
      </c>
      <c r="F11" s="77">
        <v>0.36699999999999999</v>
      </c>
      <c r="G11" s="14">
        <f t="shared" si="0"/>
        <v>12.334165972800445</v>
      </c>
      <c r="H11" s="17">
        <f t="shared" si="1"/>
        <v>0.10175022359047113</v>
      </c>
    </row>
    <row r="12" spans="1:8">
      <c r="A12" s="50">
        <v>4</v>
      </c>
      <c r="B12" s="70">
        <v>12</v>
      </c>
      <c r="C12" s="49">
        <v>2</v>
      </c>
      <c r="D12" s="72">
        <v>0.61699999999999999</v>
      </c>
      <c r="E12" s="74">
        <v>0.63100000000000001</v>
      </c>
      <c r="F12" s="74">
        <v>0.64200000000000002</v>
      </c>
      <c r="G12" s="14">
        <f t="shared" si="0"/>
        <v>20.982514571190677</v>
      </c>
      <c r="H12" s="17">
        <f t="shared" si="1"/>
        <v>0.41731770478406932</v>
      </c>
    </row>
    <row r="13" spans="1:8">
      <c r="A13" s="50">
        <v>5</v>
      </c>
      <c r="B13" s="70">
        <v>15</v>
      </c>
      <c r="C13" s="49">
        <v>2</v>
      </c>
      <c r="D13" s="72">
        <v>1.03</v>
      </c>
      <c r="E13" s="74">
        <v>1.0309999999999999</v>
      </c>
      <c r="F13" s="74">
        <v>1.04</v>
      </c>
      <c r="G13" s="14">
        <f t="shared" si="0"/>
        <v>34.426866500138779</v>
      </c>
      <c r="H13" s="17">
        <f t="shared" si="1"/>
        <v>0.18343282422268556</v>
      </c>
    </row>
    <row r="14" spans="1:8">
      <c r="A14" s="50">
        <v>6</v>
      </c>
      <c r="B14" s="70">
        <v>18</v>
      </c>
      <c r="C14" s="49">
        <v>2</v>
      </c>
      <c r="D14" s="72">
        <v>1.2609999999999999</v>
      </c>
      <c r="E14" s="74">
        <v>1.3540000000000001</v>
      </c>
      <c r="F14" s="74">
        <v>1.276</v>
      </c>
      <c r="G14" s="14">
        <f t="shared" si="0"/>
        <v>43.197335553705244</v>
      </c>
      <c r="H14" s="17">
        <f t="shared" si="1"/>
        <v>1.6629459094514505</v>
      </c>
    </row>
    <row r="15" spans="1:8">
      <c r="A15" s="50">
        <v>7</v>
      </c>
      <c r="B15" s="70">
        <v>21</v>
      </c>
      <c r="C15" s="49">
        <v>2</v>
      </c>
      <c r="D15" s="72">
        <v>1.2849999999999999</v>
      </c>
      <c r="E15" s="74">
        <v>1.29</v>
      </c>
      <c r="F15" s="74">
        <v>1.254</v>
      </c>
      <c r="G15" s="14">
        <f t="shared" si="0"/>
        <v>42.509020260893699</v>
      </c>
      <c r="H15" s="17">
        <f t="shared" si="1"/>
        <v>0.64952994621415794</v>
      </c>
    </row>
    <row r="16" spans="1:8">
      <c r="A16" s="50">
        <v>8</v>
      </c>
      <c r="B16" s="70">
        <v>24</v>
      </c>
      <c r="C16" s="49">
        <v>2</v>
      </c>
      <c r="D16" s="72">
        <v>0.92300000000000004</v>
      </c>
      <c r="E16" s="74">
        <v>0.97499999999999998</v>
      </c>
      <c r="F16" s="74">
        <v>0.99</v>
      </c>
      <c r="G16" s="14">
        <f t="shared" si="0"/>
        <v>32.062170413544266</v>
      </c>
      <c r="H16" s="17">
        <f t="shared" si="1"/>
        <v>1.1710751710445477</v>
      </c>
    </row>
    <row r="17" spans="1:8">
      <c r="A17" s="50">
        <v>9</v>
      </c>
      <c r="B17" s="70">
        <v>27</v>
      </c>
      <c r="C17" s="49">
        <v>2</v>
      </c>
      <c r="D17" s="72">
        <v>1.286</v>
      </c>
      <c r="E17" s="74">
        <v>1.272</v>
      </c>
      <c r="F17" s="74">
        <v>1.288</v>
      </c>
      <c r="G17" s="14">
        <f t="shared" si="0"/>
        <v>42.697751873438804</v>
      </c>
      <c r="H17" s="17">
        <f t="shared" si="1"/>
        <v>0.29035130348314259</v>
      </c>
    </row>
    <row r="18" spans="1:8">
      <c r="A18" s="50">
        <v>10</v>
      </c>
      <c r="B18" s="70">
        <v>30</v>
      </c>
      <c r="C18" s="49">
        <v>2</v>
      </c>
      <c r="D18" s="72">
        <v>1.29</v>
      </c>
      <c r="E18" s="74">
        <v>1.2969999999999999</v>
      </c>
      <c r="F18" s="74">
        <v>1.2789999999999999</v>
      </c>
      <c r="G18" s="14">
        <f t="shared" si="0"/>
        <v>42.919789064668329</v>
      </c>
      <c r="H18" s="17">
        <f t="shared" si="1"/>
        <v>0.30220721818076546</v>
      </c>
    </row>
    <row r="19" spans="1:8">
      <c r="A19" s="50">
        <v>11</v>
      </c>
      <c r="B19" s="70">
        <v>48</v>
      </c>
      <c r="C19" s="49">
        <v>2</v>
      </c>
      <c r="D19" s="72">
        <v>1.27</v>
      </c>
      <c r="E19" s="74">
        <v>1.234</v>
      </c>
      <c r="F19" s="74">
        <v>1.2789999999999999</v>
      </c>
      <c r="G19" s="14">
        <f t="shared" si="0"/>
        <v>41.998334721065781</v>
      </c>
      <c r="H19" s="17">
        <f t="shared" si="1"/>
        <v>0.79306450623085079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66</v>
      </c>
      <c r="B2" s="15">
        <v>74.08</v>
      </c>
    </row>
    <row r="4" spans="1:8">
      <c r="A4" s="104" t="s">
        <v>66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6" t="s">
        <v>4</v>
      </c>
      <c r="B6" s="26" t="s">
        <v>59</v>
      </c>
      <c r="C6" s="26" t="s">
        <v>19</v>
      </c>
      <c r="D6" s="109"/>
      <c r="E6" s="109"/>
      <c r="F6" s="109"/>
      <c r="G6" s="111"/>
      <c r="H6" s="111"/>
    </row>
    <row r="7" spans="1:8">
      <c r="A7" s="48" t="s">
        <v>6</v>
      </c>
      <c r="B7" s="60">
        <v>0</v>
      </c>
      <c r="C7" s="49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50">
        <v>0</v>
      </c>
      <c r="B8" s="70">
        <v>0</v>
      </c>
      <c r="C8" s="49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50">
        <v>1</v>
      </c>
      <c r="B9" s="70">
        <v>3</v>
      </c>
      <c r="C9" s="49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50">
        <v>2</v>
      </c>
      <c r="B10" s="70">
        <v>6</v>
      </c>
      <c r="C10" s="49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50">
        <v>3</v>
      </c>
      <c r="B11" s="70">
        <v>9</v>
      </c>
      <c r="C11" s="49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50">
        <v>4</v>
      </c>
      <c r="B12" s="70">
        <v>12</v>
      </c>
      <c r="C12" s="49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50">
        <v>5</v>
      </c>
      <c r="B13" s="70">
        <v>15</v>
      </c>
      <c r="C13" s="49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50">
        <v>6</v>
      </c>
      <c r="B14" s="70">
        <v>18</v>
      </c>
      <c r="C14" s="49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50">
        <v>7</v>
      </c>
      <c r="B15" s="70">
        <v>21</v>
      </c>
      <c r="C15" s="49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50">
        <v>8</v>
      </c>
      <c r="B16" s="70">
        <v>24</v>
      </c>
      <c r="C16" s="49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50">
        <v>9</v>
      </c>
      <c r="B17" s="70">
        <v>27</v>
      </c>
      <c r="C17" s="49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50">
        <v>10</v>
      </c>
      <c r="B18" s="70">
        <v>30</v>
      </c>
      <c r="C18" s="49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50">
        <v>11</v>
      </c>
      <c r="B19" s="70">
        <v>48</v>
      </c>
      <c r="C19" s="49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25" t="s">
        <v>35</v>
      </c>
      <c r="B1" s="25" t="s">
        <v>60</v>
      </c>
    </row>
    <row r="2" spans="1:8">
      <c r="A2" s="25" t="s">
        <v>65</v>
      </c>
      <c r="B2" s="15">
        <v>88.11</v>
      </c>
    </row>
    <row r="4" spans="1:8">
      <c r="A4" s="104" t="s">
        <v>65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6" t="s">
        <v>4</v>
      </c>
      <c r="B6" s="26" t="s">
        <v>59</v>
      </c>
      <c r="C6" s="26" t="s">
        <v>19</v>
      </c>
      <c r="D6" s="109"/>
      <c r="E6" s="109"/>
      <c r="F6" s="109"/>
      <c r="G6" s="111"/>
      <c r="H6" s="111"/>
    </row>
    <row r="7" spans="1:8">
      <c r="A7" s="48" t="s">
        <v>6</v>
      </c>
      <c r="B7" s="60">
        <v>0</v>
      </c>
      <c r="C7" s="49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50">
        <v>0</v>
      </c>
      <c r="B8" s="70">
        <v>0</v>
      </c>
      <c r="C8" s="49">
        <v>2</v>
      </c>
      <c r="D8" s="16">
        <v>0</v>
      </c>
      <c r="E8" s="16">
        <v>0</v>
      </c>
      <c r="F8" s="16">
        <v>0</v>
      </c>
      <c r="G8" s="14">
        <f>(C8*1000*AVERAGE(D8:F8))/$B$2</f>
        <v>0</v>
      </c>
      <c r="H8" s="17">
        <f t="shared" ref="H8:H17" si="0">(C8*1000*STDEV(D8:F8))/$B$2</f>
        <v>0</v>
      </c>
    </row>
    <row r="9" spans="1:8">
      <c r="A9" s="50">
        <v>1</v>
      </c>
      <c r="B9" s="70">
        <v>3</v>
      </c>
      <c r="C9" s="49">
        <v>2</v>
      </c>
      <c r="D9" s="16">
        <v>0</v>
      </c>
      <c r="E9" s="16">
        <v>0</v>
      </c>
      <c r="F9" s="16">
        <v>0</v>
      </c>
      <c r="G9" s="14">
        <f t="shared" ref="G9:G17" si="1">(C9*1000*AVERAGE(D9:F9))/$B$2</f>
        <v>0</v>
      </c>
      <c r="H9" s="17">
        <f t="shared" si="0"/>
        <v>0</v>
      </c>
    </row>
    <row r="10" spans="1:8">
      <c r="A10" s="50">
        <v>2</v>
      </c>
      <c r="B10" s="70">
        <v>6</v>
      </c>
      <c r="C10" s="49">
        <v>2</v>
      </c>
      <c r="D10" s="16">
        <v>0</v>
      </c>
      <c r="E10" s="16">
        <v>0</v>
      </c>
      <c r="F10" s="16">
        <v>0</v>
      </c>
      <c r="G10" s="14">
        <f t="shared" si="1"/>
        <v>0</v>
      </c>
      <c r="H10" s="17">
        <f t="shared" si="0"/>
        <v>0</v>
      </c>
    </row>
    <row r="11" spans="1:8">
      <c r="A11" s="50">
        <v>3</v>
      </c>
      <c r="B11" s="70">
        <v>9</v>
      </c>
      <c r="C11" s="49">
        <v>2</v>
      </c>
      <c r="D11" s="16">
        <v>0</v>
      </c>
      <c r="E11" s="16">
        <v>0</v>
      </c>
      <c r="F11" s="16">
        <v>0</v>
      </c>
      <c r="G11" s="14">
        <f t="shared" si="1"/>
        <v>0</v>
      </c>
      <c r="H11" s="17">
        <f t="shared" si="0"/>
        <v>0</v>
      </c>
    </row>
    <row r="12" spans="1:8">
      <c r="A12" s="50">
        <v>4</v>
      </c>
      <c r="B12" s="70">
        <v>12</v>
      </c>
      <c r="C12" s="49">
        <v>2</v>
      </c>
      <c r="D12" s="16">
        <v>0</v>
      </c>
      <c r="E12" s="16">
        <v>0</v>
      </c>
      <c r="F12" s="16">
        <v>0</v>
      </c>
      <c r="G12" s="14">
        <f t="shared" si="1"/>
        <v>0</v>
      </c>
      <c r="H12" s="17">
        <f t="shared" si="0"/>
        <v>0</v>
      </c>
    </row>
    <row r="13" spans="1:8">
      <c r="A13" s="50">
        <v>5</v>
      </c>
      <c r="B13" s="70">
        <v>15</v>
      </c>
      <c r="C13" s="49">
        <v>2</v>
      </c>
      <c r="D13" s="16">
        <v>0</v>
      </c>
      <c r="E13" s="16">
        <v>0</v>
      </c>
      <c r="F13" s="16">
        <v>0</v>
      </c>
      <c r="G13" s="14">
        <f t="shared" si="1"/>
        <v>0</v>
      </c>
      <c r="H13" s="17">
        <f t="shared" si="0"/>
        <v>0</v>
      </c>
    </row>
    <row r="14" spans="1:8">
      <c r="A14" s="50">
        <v>6</v>
      </c>
      <c r="B14" s="70">
        <v>18</v>
      </c>
      <c r="C14" s="49">
        <v>2</v>
      </c>
      <c r="D14" s="16">
        <v>0</v>
      </c>
      <c r="E14" s="16">
        <v>0</v>
      </c>
      <c r="F14" s="16">
        <v>0</v>
      </c>
      <c r="G14" s="14">
        <f t="shared" si="1"/>
        <v>0</v>
      </c>
      <c r="H14" s="17">
        <f t="shared" si="0"/>
        <v>0</v>
      </c>
    </row>
    <row r="15" spans="1:8">
      <c r="A15" s="50">
        <v>7</v>
      </c>
      <c r="B15" s="70">
        <v>21</v>
      </c>
      <c r="C15" s="49">
        <v>2</v>
      </c>
      <c r="D15" s="16">
        <v>0</v>
      </c>
      <c r="E15" s="16">
        <v>0</v>
      </c>
      <c r="F15" s="16">
        <v>0</v>
      </c>
      <c r="G15" s="14">
        <f t="shared" si="1"/>
        <v>0</v>
      </c>
      <c r="H15" s="17">
        <f t="shared" si="0"/>
        <v>0</v>
      </c>
    </row>
    <row r="16" spans="1:8">
      <c r="A16" s="50">
        <v>8</v>
      </c>
      <c r="B16" s="70">
        <v>24</v>
      </c>
      <c r="C16" s="49">
        <v>2</v>
      </c>
      <c r="D16" s="16">
        <v>0</v>
      </c>
      <c r="E16" s="16">
        <v>0</v>
      </c>
      <c r="F16" s="16">
        <v>0</v>
      </c>
      <c r="G16" s="14">
        <f t="shared" si="1"/>
        <v>0</v>
      </c>
      <c r="H16" s="17">
        <f t="shared" si="0"/>
        <v>0</v>
      </c>
    </row>
    <row r="17" spans="1:8">
      <c r="A17" s="50">
        <v>9</v>
      </c>
      <c r="B17" s="70">
        <v>27</v>
      </c>
      <c r="C17" s="49">
        <v>2</v>
      </c>
      <c r="D17" s="16">
        <v>0</v>
      </c>
      <c r="E17" s="16">
        <v>0</v>
      </c>
      <c r="F17" s="16">
        <v>0</v>
      </c>
      <c r="G17" s="14">
        <f t="shared" si="1"/>
        <v>0</v>
      </c>
      <c r="H17" s="17">
        <f t="shared" si="0"/>
        <v>0</v>
      </c>
    </row>
    <row r="18" spans="1:8">
      <c r="A18" s="50">
        <v>10</v>
      </c>
      <c r="B18" s="70">
        <v>30</v>
      </c>
      <c r="C18" s="49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50">
        <v>11</v>
      </c>
      <c r="B19" s="70">
        <v>48</v>
      </c>
      <c r="C19" s="49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41</v>
      </c>
      <c r="B2" s="15">
        <v>90.08</v>
      </c>
    </row>
    <row r="4" spans="1:8">
      <c r="A4" s="104" t="s">
        <v>41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0" t="s">
        <v>4</v>
      </c>
      <c r="B6" s="20" t="s">
        <v>59</v>
      </c>
      <c r="C6" s="20" t="s">
        <v>19</v>
      </c>
      <c r="D6" s="109"/>
      <c r="E6" s="109"/>
      <c r="F6" s="109"/>
      <c r="G6" s="111"/>
      <c r="H6" s="111"/>
    </row>
    <row r="7" spans="1:8">
      <c r="A7" s="48" t="s">
        <v>6</v>
      </c>
      <c r="B7" s="60">
        <v>0</v>
      </c>
      <c r="C7" s="49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50">
        <v>0</v>
      </c>
      <c r="B8" s="70">
        <v>0</v>
      </c>
      <c r="C8" s="49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50">
        <v>1</v>
      </c>
      <c r="B9" s="70">
        <v>3</v>
      </c>
      <c r="C9" s="49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50">
        <v>2</v>
      </c>
      <c r="B10" s="70">
        <v>6</v>
      </c>
      <c r="C10" s="49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50">
        <v>3</v>
      </c>
      <c r="B11" s="70">
        <v>9</v>
      </c>
      <c r="C11" s="49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50">
        <v>4</v>
      </c>
      <c r="B12" s="70">
        <v>12</v>
      </c>
      <c r="C12" s="49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50">
        <v>5</v>
      </c>
      <c r="B13" s="70">
        <v>15</v>
      </c>
      <c r="C13" s="49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50">
        <v>6</v>
      </c>
      <c r="B14" s="70">
        <v>18</v>
      </c>
      <c r="C14" s="49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50">
        <v>7</v>
      </c>
      <c r="B15" s="70">
        <v>21</v>
      </c>
      <c r="C15" s="49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50">
        <v>8</v>
      </c>
      <c r="B16" s="70">
        <v>24</v>
      </c>
      <c r="C16" s="49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50">
        <v>9</v>
      </c>
      <c r="B17" s="70">
        <v>27</v>
      </c>
      <c r="C17" s="49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50">
        <v>10</v>
      </c>
      <c r="B18" s="70">
        <v>30</v>
      </c>
      <c r="C18" s="49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50">
        <v>11</v>
      </c>
      <c r="B19" s="70">
        <v>48</v>
      </c>
      <c r="C19" s="49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0" sqref="A20:H26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9" t="s">
        <v>35</v>
      </c>
      <c r="B1" s="19" t="s">
        <v>60</v>
      </c>
    </row>
    <row r="2" spans="1:8">
      <c r="A2" s="19" t="s">
        <v>43</v>
      </c>
      <c r="B2" s="15">
        <v>46.07</v>
      </c>
    </row>
    <row r="4" spans="1:8">
      <c r="A4" s="104" t="s">
        <v>43</v>
      </c>
      <c r="B4" s="105"/>
      <c r="C4" s="105"/>
      <c r="D4" s="105"/>
      <c r="E4" s="105"/>
      <c r="F4" s="105"/>
      <c r="G4" s="105"/>
      <c r="H4" s="106"/>
    </row>
    <row r="5" spans="1:8">
      <c r="A5" s="107" t="s">
        <v>61</v>
      </c>
      <c r="B5" s="105"/>
      <c r="C5" s="106"/>
      <c r="D5" s="108" t="s">
        <v>44</v>
      </c>
      <c r="E5" s="108" t="s">
        <v>45</v>
      </c>
      <c r="F5" s="108" t="s">
        <v>46</v>
      </c>
      <c r="G5" s="110" t="s">
        <v>62</v>
      </c>
      <c r="H5" s="110" t="s">
        <v>63</v>
      </c>
    </row>
    <row r="6" spans="1:8">
      <c r="A6" s="20" t="s">
        <v>4</v>
      </c>
      <c r="B6" s="20" t="s">
        <v>59</v>
      </c>
      <c r="C6" s="20" t="s">
        <v>19</v>
      </c>
      <c r="D6" s="109"/>
      <c r="E6" s="109"/>
      <c r="F6" s="109"/>
      <c r="G6" s="111"/>
      <c r="H6" s="111"/>
    </row>
    <row r="7" spans="1:8">
      <c r="A7" s="48" t="s">
        <v>6</v>
      </c>
      <c r="B7" s="60">
        <v>0</v>
      </c>
      <c r="C7" s="49">
        <v>2</v>
      </c>
      <c r="D7" s="16">
        <v>0</v>
      </c>
      <c r="E7" s="16">
        <v>0</v>
      </c>
      <c r="F7" s="16">
        <v>0</v>
      </c>
      <c r="G7" s="14">
        <f>(C7*1000*AVERAGE(D7:F7))/$B$2</f>
        <v>0</v>
      </c>
      <c r="H7" s="17">
        <f>(C7*1000*STDEV(D7:F7))/$B$2</f>
        <v>0</v>
      </c>
    </row>
    <row r="8" spans="1:8">
      <c r="A8" s="50">
        <v>0</v>
      </c>
      <c r="B8" s="70">
        <v>0</v>
      </c>
      <c r="C8" s="49">
        <v>2</v>
      </c>
      <c r="D8" s="16">
        <v>0</v>
      </c>
      <c r="E8" s="16">
        <v>0</v>
      </c>
      <c r="F8" s="16">
        <v>0</v>
      </c>
      <c r="G8" s="14">
        <f t="shared" ref="G8:G17" si="0">(C8*1000*AVERAGE(D8:F8))/$B$2</f>
        <v>0</v>
      </c>
      <c r="H8" s="17">
        <f t="shared" ref="H8:H17" si="1">(C8*1000*STDEV(D8:F8))/$B$2</f>
        <v>0</v>
      </c>
    </row>
    <row r="9" spans="1:8">
      <c r="A9" s="50">
        <v>1</v>
      </c>
      <c r="B9" s="70">
        <v>3</v>
      </c>
      <c r="C9" s="49">
        <v>2</v>
      </c>
      <c r="D9" s="16">
        <v>0</v>
      </c>
      <c r="E9" s="16">
        <v>0</v>
      </c>
      <c r="F9" s="16">
        <v>0</v>
      </c>
      <c r="G9" s="14">
        <f t="shared" si="0"/>
        <v>0</v>
      </c>
      <c r="H9" s="17">
        <f t="shared" si="1"/>
        <v>0</v>
      </c>
    </row>
    <row r="10" spans="1:8">
      <c r="A10" s="50">
        <v>2</v>
      </c>
      <c r="B10" s="70">
        <v>6</v>
      </c>
      <c r="C10" s="49">
        <v>2</v>
      </c>
      <c r="D10" s="16">
        <v>0</v>
      </c>
      <c r="E10" s="16">
        <v>0</v>
      </c>
      <c r="F10" s="16">
        <v>0</v>
      </c>
      <c r="G10" s="14">
        <f t="shared" si="0"/>
        <v>0</v>
      </c>
      <c r="H10" s="17">
        <f t="shared" si="1"/>
        <v>0</v>
      </c>
    </row>
    <row r="11" spans="1:8">
      <c r="A11" s="50">
        <v>3</v>
      </c>
      <c r="B11" s="70">
        <v>9</v>
      </c>
      <c r="C11" s="49">
        <v>2</v>
      </c>
      <c r="D11" s="16">
        <v>0</v>
      </c>
      <c r="E11" s="16">
        <v>0</v>
      </c>
      <c r="F11" s="16">
        <v>0</v>
      </c>
      <c r="G11" s="14">
        <f t="shared" si="0"/>
        <v>0</v>
      </c>
      <c r="H11" s="17">
        <f t="shared" si="1"/>
        <v>0</v>
      </c>
    </row>
    <row r="12" spans="1:8">
      <c r="A12" s="50">
        <v>4</v>
      </c>
      <c r="B12" s="70">
        <v>12</v>
      </c>
      <c r="C12" s="49">
        <v>2</v>
      </c>
      <c r="D12" s="16">
        <v>0</v>
      </c>
      <c r="E12" s="16">
        <v>0</v>
      </c>
      <c r="F12" s="16">
        <v>0</v>
      </c>
      <c r="G12" s="14">
        <f t="shared" si="0"/>
        <v>0</v>
      </c>
      <c r="H12" s="17">
        <f t="shared" si="1"/>
        <v>0</v>
      </c>
    </row>
    <row r="13" spans="1:8">
      <c r="A13" s="50">
        <v>5</v>
      </c>
      <c r="B13" s="70">
        <v>15</v>
      </c>
      <c r="C13" s="49">
        <v>2</v>
      </c>
      <c r="D13" s="16">
        <v>0</v>
      </c>
      <c r="E13" s="16">
        <v>0</v>
      </c>
      <c r="F13" s="16">
        <v>0</v>
      </c>
      <c r="G13" s="14">
        <f t="shared" si="0"/>
        <v>0</v>
      </c>
      <c r="H13" s="17">
        <f t="shared" si="1"/>
        <v>0</v>
      </c>
    </row>
    <row r="14" spans="1:8">
      <c r="A14" s="50">
        <v>6</v>
      </c>
      <c r="B14" s="70">
        <v>18</v>
      </c>
      <c r="C14" s="49">
        <v>2</v>
      </c>
      <c r="D14" s="16">
        <v>0</v>
      </c>
      <c r="E14" s="16">
        <v>0</v>
      </c>
      <c r="F14" s="16">
        <v>0</v>
      </c>
      <c r="G14" s="14">
        <f t="shared" si="0"/>
        <v>0</v>
      </c>
      <c r="H14" s="17">
        <f t="shared" si="1"/>
        <v>0</v>
      </c>
    </row>
    <row r="15" spans="1:8">
      <c r="A15" s="50">
        <v>7</v>
      </c>
      <c r="B15" s="70">
        <v>21</v>
      </c>
      <c r="C15" s="49">
        <v>2</v>
      </c>
      <c r="D15" s="16">
        <v>0</v>
      </c>
      <c r="E15" s="16">
        <v>0</v>
      </c>
      <c r="F15" s="16">
        <v>0</v>
      </c>
      <c r="G15" s="14">
        <f t="shared" si="0"/>
        <v>0</v>
      </c>
      <c r="H15" s="17">
        <f t="shared" si="1"/>
        <v>0</v>
      </c>
    </row>
    <row r="16" spans="1:8">
      <c r="A16" s="50">
        <v>8</v>
      </c>
      <c r="B16" s="70">
        <v>24</v>
      </c>
      <c r="C16" s="49">
        <v>2</v>
      </c>
      <c r="D16" s="16">
        <v>0</v>
      </c>
      <c r="E16" s="16">
        <v>0</v>
      </c>
      <c r="F16" s="16">
        <v>0</v>
      </c>
      <c r="G16" s="14">
        <f t="shared" si="0"/>
        <v>0</v>
      </c>
      <c r="H16" s="17">
        <f t="shared" si="1"/>
        <v>0</v>
      </c>
    </row>
    <row r="17" spans="1:8">
      <c r="A17" s="50">
        <v>9</v>
      </c>
      <c r="B17" s="70">
        <v>27</v>
      </c>
      <c r="C17" s="49">
        <v>2</v>
      </c>
      <c r="D17" s="16">
        <v>0</v>
      </c>
      <c r="E17" s="16">
        <v>0</v>
      </c>
      <c r="F17" s="16">
        <v>0</v>
      </c>
      <c r="G17" s="14">
        <f t="shared" si="0"/>
        <v>0</v>
      </c>
      <c r="H17" s="17">
        <f t="shared" si="1"/>
        <v>0</v>
      </c>
    </row>
    <row r="18" spans="1:8">
      <c r="A18" s="50">
        <v>10</v>
      </c>
      <c r="B18" s="70">
        <v>30</v>
      </c>
      <c r="C18" s="49">
        <v>2</v>
      </c>
      <c r="D18" s="16">
        <v>0</v>
      </c>
      <c r="E18" s="16">
        <v>0</v>
      </c>
      <c r="F18" s="16">
        <v>0</v>
      </c>
      <c r="G18" s="14">
        <f>(C18*1000*AVERAGE(D18:F18))/$B$2</f>
        <v>0</v>
      </c>
      <c r="H18" s="17">
        <f>(C18*1000*STDEV(D18:F18))/$B$2</f>
        <v>0</v>
      </c>
    </row>
    <row r="19" spans="1:8">
      <c r="A19" s="50">
        <v>11</v>
      </c>
      <c r="B19" s="70">
        <v>48</v>
      </c>
      <c r="C19" s="49">
        <v>2</v>
      </c>
      <c r="D19" s="16">
        <v>0</v>
      </c>
      <c r="E19" s="16">
        <v>0</v>
      </c>
      <c r="F19" s="16">
        <v>0</v>
      </c>
      <c r="G19" s="14">
        <f>(C19*1000*AVERAGE(D19:F19))/$B$2</f>
        <v>0</v>
      </c>
      <c r="H19" s="17">
        <f>(C19*1000*STDEV(D19:F19))/$B$2</f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M34"/>
  <sheetViews>
    <sheetView workbookViewId="0">
      <selection activeCell="E11" sqref="E11"/>
    </sheetView>
  </sheetViews>
  <sheetFormatPr baseColWidth="10" defaultColWidth="8.83203125" defaultRowHeight="14" x14ac:dyDescent="0"/>
  <cols>
    <col min="1" max="1" width="23.6640625" bestFit="1" customWidth="1"/>
    <col min="3" max="3" width="9.1640625" bestFit="1" customWidth="1"/>
    <col min="4" max="4" width="10.1640625" bestFit="1" customWidth="1"/>
  </cols>
  <sheetData>
    <row r="1" spans="1:13">
      <c r="B1" s="27" t="s">
        <v>77</v>
      </c>
      <c r="C1" s="27" t="s">
        <v>78</v>
      </c>
    </row>
    <row r="2" spans="1:13">
      <c r="A2" s="27" t="s">
        <v>131</v>
      </c>
      <c r="B2" s="28">
        <f>Metabolites!H4-Metabolites!H15</f>
        <v>0</v>
      </c>
      <c r="C2" s="28">
        <f>Metabolites!I4+Metabolites!I15</f>
        <v>0</v>
      </c>
    </row>
    <row r="3" spans="1:13">
      <c r="A3" s="27" t="s">
        <v>142</v>
      </c>
      <c r="B3" s="115">
        <f>Metabolites!P15-Metabolites!P4</f>
        <v>41.936928049635178</v>
      </c>
      <c r="C3" s="115">
        <f>Metabolites!Q4+Metabolites!Q15</f>
        <v>0.88984260054959274</v>
      </c>
    </row>
    <row r="4" spans="1:13">
      <c r="A4" s="27" t="s">
        <v>143</v>
      </c>
      <c r="B4" s="115">
        <f>Metabolites!T4-Metabolites!T15</f>
        <v>138.88044029256281</v>
      </c>
      <c r="C4" s="115">
        <f>Metabolites!U4+Metabolites!U15</f>
        <v>0.58670806287288546</v>
      </c>
    </row>
    <row r="5" spans="1:13">
      <c r="A5" s="27" t="s">
        <v>109</v>
      </c>
      <c r="B5" s="115">
        <f>Metabolites!L15-Metabolites!L4</f>
        <v>0</v>
      </c>
      <c r="C5" s="115">
        <f>Metabolites!M15+Metabolites!M4</f>
        <v>0</v>
      </c>
    </row>
    <row r="6" spans="1:13">
      <c r="A6" s="27" t="s">
        <v>110</v>
      </c>
      <c r="B6" s="115">
        <f>Metabolites!L32-Metabolites!L21</f>
        <v>0</v>
      </c>
      <c r="C6" s="115">
        <f>Metabolites!M32+Metabolites!M21</f>
        <v>0</v>
      </c>
    </row>
    <row r="7" spans="1:13">
      <c r="A7" s="27" t="s">
        <v>79</v>
      </c>
      <c r="B7" s="115">
        <f>'H2'!G101</f>
        <v>67.98603716804196</v>
      </c>
      <c r="C7" s="115"/>
    </row>
    <row r="8" spans="1:13">
      <c r="A8" s="27" t="s">
        <v>80</v>
      </c>
      <c r="B8" s="115">
        <f>'CO2'!G101</f>
        <v>86.495252426958814</v>
      </c>
      <c r="C8" s="115"/>
    </row>
    <row r="9" spans="1:13">
      <c r="A9" s="27" t="s">
        <v>112</v>
      </c>
      <c r="B9" s="115">
        <f xml:space="preserve"> Calculation!G15*1.5/1000</f>
        <v>9.4500000000000001E-2</v>
      </c>
      <c r="C9" s="115"/>
    </row>
    <row r="10" spans="1:13" ht="16">
      <c r="A10" s="27" t="s">
        <v>113</v>
      </c>
      <c r="B10" s="115">
        <f>Calculation!H15*1.5/1000</f>
        <v>0</v>
      </c>
      <c r="C10" s="115"/>
    </row>
    <row r="12" spans="1:13">
      <c r="A12" s="27" t="s">
        <v>81</v>
      </c>
      <c r="B12" s="114">
        <f>((4*$B$6)+(3*$B$5)+(2*$B$3)+(B8))/((6*$B$2)+(($B$4)))</f>
        <v>1.2267322033781933</v>
      </c>
    </row>
    <row r="13" spans="1:13">
      <c r="A13" s="27" t="s">
        <v>111</v>
      </c>
    </row>
    <row r="16" spans="1:13">
      <c r="A16" s="78"/>
      <c r="B16" s="78" t="s">
        <v>146</v>
      </c>
      <c r="C16" s="78"/>
      <c r="D16" s="78" t="s">
        <v>147</v>
      </c>
      <c r="E16" s="78"/>
      <c r="F16" s="78" t="s">
        <v>148</v>
      </c>
      <c r="G16" s="78" t="s">
        <v>149</v>
      </c>
      <c r="H16" s="78" t="s">
        <v>150</v>
      </c>
      <c r="I16" s="78" t="s">
        <v>151</v>
      </c>
      <c r="J16" s="57"/>
      <c r="K16" s="57"/>
      <c r="L16" s="57"/>
      <c r="M16" s="57"/>
    </row>
    <row r="17" spans="1:13">
      <c r="A17" s="78"/>
      <c r="B17" s="78" t="s">
        <v>152</v>
      </c>
      <c r="C17" s="78"/>
      <c r="D17" s="78"/>
      <c r="E17" s="78"/>
      <c r="F17" s="78"/>
      <c r="G17" s="78"/>
      <c r="H17" s="78"/>
      <c r="I17" s="78"/>
      <c r="J17" s="57"/>
      <c r="K17" s="57"/>
      <c r="L17" s="57"/>
      <c r="M17" s="57"/>
    </row>
    <row r="18" spans="1:13">
      <c r="A18" s="78"/>
      <c r="B18" s="78"/>
      <c r="C18" s="78"/>
      <c r="D18" s="78" t="s">
        <v>153</v>
      </c>
      <c r="E18" s="78"/>
      <c r="F18" s="78" t="s">
        <v>148</v>
      </c>
      <c r="G18" s="78" t="s">
        <v>154</v>
      </c>
      <c r="H18" s="78"/>
      <c r="I18" s="78"/>
      <c r="J18" s="57"/>
      <c r="K18" s="57"/>
      <c r="L18" s="57"/>
      <c r="M18" s="57"/>
    </row>
    <row r="19" spans="1:13">
      <c r="A19" s="78"/>
      <c r="B19" s="78"/>
      <c r="C19" s="78"/>
      <c r="D19" s="78" t="s">
        <v>155</v>
      </c>
      <c r="E19" s="78" t="s">
        <v>156</v>
      </c>
      <c r="F19" s="78" t="s">
        <v>148</v>
      </c>
      <c r="G19" s="78" t="s">
        <v>157</v>
      </c>
      <c r="H19" s="78" t="s">
        <v>158</v>
      </c>
      <c r="I19" s="78" t="s">
        <v>151</v>
      </c>
      <c r="J19" s="57"/>
      <c r="K19" s="57"/>
      <c r="L19" s="57"/>
      <c r="M19" s="57"/>
    </row>
    <row r="20" spans="1:13">
      <c r="A20" s="78"/>
      <c r="B20" s="78"/>
      <c r="C20" s="78"/>
      <c r="D20" s="78" t="s">
        <v>153</v>
      </c>
      <c r="E20" s="78" t="s">
        <v>159</v>
      </c>
      <c r="F20" s="78" t="s">
        <v>148</v>
      </c>
      <c r="G20" s="78" t="s">
        <v>157</v>
      </c>
      <c r="H20" s="78" t="s">
        <v>158</v>
      </c>
      <c r="I20" s="78" t="s">
        <v>160</v>
      </c>
      <c r="J20" s="57"/>
      <c r="K20" s="57"/>
      <c r="L20" s="57"/>
      <c r="M20" s="57"/>
    </row>
    <row r="21" spans="1:13">
      <c r="A21" s="78"/>
      <c r="B21" s="78" t="s">
        <v>161</v>
      </c>
      <c r="C21" s="78"/>
      <c r="D21" s="78" t="s">
        <v>162</v>
      </c>
      <c r="E21" s="78" t="s">
        <v>163</v>
      </c>
      <c r="F21" s="78" t="s">
        <v>148</v>
      </c>
      <c r="G21" s="78" t="s">
        <v>164</v>
      </c>
      <c r="H21" s="78" t="s">
        <v>165</v>
      </c>
      <c r="I21" s="78" t="s">
        <v>160</v>
      </c>
      <c r="J21" s="57"/>
      <c r="K21" s="57"/>
      <c r="L21" s="57"/>
      <c r="M21" s="57"/>
    </row>
    <row r="22" spans="1:13">
      <c r="A22" s="78"/>
      <c r="B22" s="78"/>
      <c r="C22" s="78"/>
      <c r="D22" s="78"/>
      <c r="E22" s="78"/>
      <c r="F22" s="78"/>
      <c r="G22" s="78"/>
      <c r="H22" s="78"/>
      <c r="I22" s="78"/>
      <c r="J22" s="57"/>
      <c r="K22" s="57"/>
      <c r="L22" s="57"/>
      <c r="M22" s="57"/>
    </row>
    <row r="23" spans="1:13">
      <c r="A23" s="78"/>
      <c r="B23" s="78"/>
      <c r="C23" s="78"/>
      <c r="D23" s="78"/>
      <c r="E23" s="78"/>
      <c r="F23" s="78"/>
      <c r="G23" s="78"/>
      <c r="H23" s="78"/>
      <c r="I23" s="78"/>
      <c r="J23" s="57"/>
      <c r="K23" s="57"/>
      <c r="L23" s="57"/>
      <c r="M23" s="57"/>
    </row>
    <row r="24" spans="1:13">
      <c r="A24" s="78"/>
      <c r="B24" s="78"/>
      <c r="C24" s="78"/>
      <c r="D24" s="57" t="s">
        <v>114</v>
      </c>
      <c r="E24" s="57"/>
      <c r="F24" s="57" t="s">
        <v>115</v>
      </c>
      <c r="G24" s="57"/>
      <c r="H24" s="57"/>
      <c r="I24" s="57"/>
      <c r="J24" s="57"/>
      <c r="K24" s="57"/>
      <c r="L24" s="57"/>
      <c r="M24" s="57"/>
    </row>
    <row r="25" spans="1:13">
      <c r="A25" s="112" t="s">
        <v>166</v>
      </c>
      <c r="B25" s="112"/>
      <c r="C25" s="112"/>
      <c r="D25" s="78" t="s">
        <v>90</v>
      </c>
      <c r="E25" s="57"/>
      <c r="F25" s="79">
        <f>B4</f>
        <v>138.88044029256281</v>
      </c>
      <c r="G25" s="78" t="s">
        <v>47</v>
      </c>
      <c r="H25" s="57"/>
      <c r="I25" s="57"/>
      <c r="J25" s="57"/>
      <c r="K25" s="57"/>
      <c r="L25" s="57"/>
      <c r="M25" s="57"/>
    </row>
    <row r="26" spans="1:13">
      <c r="A26" s="112" t="s">
        <v>167</v>
      </c>
      <c r="B26" s="112"/>
      <c r="C26" s="112"/>
      <c r="D26" s="78" t="s">
        <v>90</v>
      </c>
      <c r="E26" s="57"/>
      <c r="F26" s="79">
        <f>B3</f>
        <v>41.936928049635178</v>
      </c>
      <c r="G26" s="78" t="s">
        <v>47</v>
      </c>
      <c r="H26" s="57"/>
      <c r="I26" s="57"/>
      <c r="J26" s="57"/>
      <c r="K26" s="57"/>
      <c r="L26" s="57"/>
      <c r="M26" s="57"/>
    </row>
    <row r="27" spans="1:13">
      <c r="A27" s="78" t="s">
        <v>168</v>
      </c>
      <c r="B27" s="78"/>
      <c r="C27" s="78"/>
      <c r="D27" s="79">
        <f>B4</f>
        <v>138.88044029256281</v>
      </c>
      <c r="E27" s="78" t="s">
        <v>47</v>
      </c>
      <c r="F27" s="57" t="s">
        <v>90</v>
      </c>
      <c r="G27" s="57"/>
      <c r="H27" s="57"/>
      <c r="I27" s="57"/>
      <c r="J27" s="57"/>
      <c r="K27" s="57"/>
      <c r="L27" s="57"/>
      <c r="M27" s="57"/>
    </row>
    <row r="28" spans="1:13">
      <c r="A28" s="78" t="s">
        <v>169</v>
      </c>
      <c r="B28" s="78"/>
      <c r="C28" s="78"/>
      <c r="D28" s="79">
        <f>4*F26</f>
        <v>167.74771219854071</v>
      </c>
      <c r="E28" s="78" t="s">
        <v>47</v>
      </c>
      <c r="F28" s="57"/>
      <c r="G28" s="57"/>
      <c r="H28" s="57"/>
      <c r="I28" s="57"/>
      <c r="J28" s="57"/>
      <c r="K28" s="57"/>
      <c r="L28" s="57"/>
      <c r="M28" s="57"/>
    </row>
    <row r="29" spans="1:13">
      <c r="A29" s="78" t="s">
        <v>170</v>
      </c>
      <c r="B29" s="57"/>
      <c r="C29" s="57"/>
      <c r="D29" s="79">
        <f>2*F26</f>
        <v>83.873856099270355</v>
      </c>
      <c r="E29" s="78" t="s">
        <v>47</v>
      </c>
      <c r="F29" s="78"/>
      <c r="G29" s="78"/>
      <c r="H29" s="57"/>
      <c r="I29" s="57"/>
      <c r="J29" s="57"/>
      <c r="K29" s="57"/>
      <c r="L29" s="57"/>
      <c r="M29" s="57"/>
    </row>
    <row r="30" spans="1:13">
      <c r="A30" s="57"/>
      <c r="B30" s="78"/>
      <c r="C30" s="78"/>
      <c r="D30" s="78"/>
      <c r="E30" s="78"/>
      <c r="F30" s="78"/>
      <c r="G30" s="78"/>
      <c r="H30" s="57"/>
      <c r="I30" s="57"/>
      <c r="J30" s="57"/>
      <c r="K30" s="57"/>
      <c r="L30" s="57"/>
      <c r="M30" s="57"/>
    </row>
    <row r="31" spans="1:13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>
      <c r="A32" s="78" t="s">
        <v>171</v>
      </c>
      <c r="B32" s="57"/>
      <c r="C32" s="57"/>
      <c r="D32" s="80">
        <f>B4-D28</f>
        <v>-28.867271905977901</v>
      </c>
      <c r="E32" s="78" t="s">
        <v>47</v>
      </c>
      <c r="F32" s="80">
        <f>B7</f>
        <v>67.98603716804196</v>
      </c>
      <c r="G32" s="78" t="s">
        <v>47</v>
      </c>
      <c r="H32" s="57"/>
      <c r="I32" s="57"/>
      <c r="J32" s="57"/>
      <c r="K32" s="57"/>
      <c r="L32" s="57"/>
      <c r="M32" s="57"/>
    </row>
    <row r="33" spans="1:13">
      <c r="A33" s="78" t="s">
        <v>172</v>
      </c>
      <c r="B33" s="57"/>
      <c r="C33" s="57"/>
      <c r="D33" s="80">
        <f>F25-D29</f>
        <v>55.006584193292454</v>
      </c>
      <c r="E33" s="78" t="s">
        <v>47</v>
      </c>
      <c r="F33" s="80">
        <f>B8</f>
        <v>86.495252426958814</v>
      </c>
      <c r="G33" s="78" t="s">
        <v>47</v>
      </c>
      <c r="H33" s="57"/>
      <c r="I33" s="57"/>
      <c r="J33" s="57"/>
      <c r="K33" s="57"/>
      <c r="L33" s="57"/>
      <c r="M33" s="57"/>
    </row>
    <row r="34" spans="1:1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</sheetData>
  <mergeCells count="2">
    <mergeCell ref="A25:C25"/>
    <mergeCell ref="A26:C2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D3" sqref="D3:D15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2.5" style="2" bestFit="1" customWidth="1"/>
    <col min="6" max="6" width="11.33203125" style="2" bestFit="1" customWidth="1"/>
    <col min="7" max="8" width="8.83203125" style="2"/>
    <col min="9" max="9" width="15" style="2" bestFit="1" customWidth="1"/>
    <col min="10" max="10" width="10.6640625" style="2" bestFit="1" customWidth="1"/>
    <col min="11" max="11" width="15.83203125" style="2" customWidth="1"/>
    <col min="12" max="16384" width="8.83203125" style="2"/>
  </cols>
  <sheetData>
    <row r="1" spans="1:11">
      <c r="A1" s="90" t="s">
        <v>4</v>
      </c>
      <c r="B1" s="90" t="s">
        <v>103</v>
      </c>
      <c r="C1" s="90" t="s">
        <v>103</v>
      </c>
      <c r="D1" s="90" t="s">
        <v>5</v>
      </c>
      <c r="E1" s="3" t="s">
        <v>7</v>
      </c>
      <c r="F1" s="3" t="s">
        <v>9</v>
      </c>
      <c r="G1" s="92" t="s">
        <v>11</v>
      </c>
      <c r="H1" s="92" t="s">
        <v>12</v>
      </c>
      <c r="I1" s="3" t="s">
        <v>13</v>
      </c>
      <c r="J1" s="3" t="s">
        <v>16</v>
      </c>
      <c r="K1" s="3" t="s">
        <v>16</v>
      </c>
    </row>
    <row r="2" spans="1:11">
      <c r="A2" s="91"/>
      <c r="B2" s="91"/>
      <c r="C2" s="91"/>
      <c r="D2" s="91"/>
      <c r="E2" s="4" t="s">
        <v>8</v>
      </c>
      <c r="F2" s="4" t="s">
        <v>10</v>
      </c>
      <c r="G2" s="92"/>
      <c r="H2" s="92"/>
      <c r="I2" s="4" t="s">
        <v>14</v>
      </c>
      <c r="J2" s="4" t="s">
        <v>17</v>
      </c>
      <c r="K2" s="4" t="s">
        <v>133</v>
      </c>
    </row>
    <row r="3" spans="1:11">
      <c r="A3" s="30" t="s">
        <v>6</v>
      </c>
      <c r="B3" s="48">
        <v>-10</v>
      </c>
      <c r="C3" s="49">
        <v>-10</v>
      </c>
      <c r="D3" s="60">
        <f>C3/60</f>
        <v>-0.16666666666666666</v>
      </c>
      <c r="E3" s="1">
        <v>45</v>
      </c>
      <c r="F3" s="29">
        <f>E3</f>
        <v>45</v>
      </c>
      <c r="G3" s="36">
        <v>0</v>
      </c>
      <c r="H3" s="36">
        <v>0</v>
      </c>
      <c r="I3" s="1">
        <f>F18+G3+H3</f>
        <v>1500</v>
      </c>
      <c r="J3" s="11">
        <f>E3*1500/I3</f>
        <v>45</v>
      </c>
      <c r="K3" s="11">
        <f>F19-J3</f>
        <v>1530</v>
      </c>
    </row>
    <row r="4" spans="1:11">
      <c r="A4" s="1">
        <v>0</v>
      </c>
      <c r="B4" s="50">
        <v>10</v>
      </c>
      <c r="C4" s="51">
        <v>10</v>
      </c>
      <c r="D4" s="60">
        <f t="shared" ref="D4:D15" si="0">C4/60</f>
        <v>0.16666666666666666</v>
      </c>
      <c r="E4" s="1">
        <v>44</v>
      </c>
      <c r="F4" s="29">
        <f>E4+F3</f>
        <v>89</v>
      </c>
      <c r="G4" s="36">
        <v>0</v>
      </c>
      <c r="H4" s="36">
        <v>0</v>
      </c>
      <c r="I4" s="1">
        <f t="shared" ref="I4:I15" si="1">$F$19-F3+G4+H4</f>
        <v>1530</v>
      </c>
      <c r="J4" s="11">
        <f>E4*K3/I4</f>
        <v>44</v>
      </c>
      <c r="K4" s="11">
        <f>K3-J4</f>
        <v>1486</v>
      </c>
    </row>
    <row r="5" spans="1:11">
      <c r="A5" s="1">
        <v>1</v>
      </c>
      <c r="B5" s="50">
        <v>170</v>
      </c>
      <c r="C5" s="51">
        <f>C4+B5</f>
        <v>180</v>
      </c>
      <c r="D5" s="60">
        <f t="shared" si="0"/>
        <v>3</v>
      </c>
      <c r="E5" s="36">
        <v>46</v>
      </c>
      <c r="F5" s="29">
        <f t="shared" ref="F5:F15" si="2">E5+F4</f>
        <v>135</v>
      </c>
      <c r="G5" s="36">
        <v>0</v>
      </c>
      <c r="H5" s="36">
        <v>0</v>
      </c>
      <c r="I5" s="36">
        <f t="shared" si="1"/>
        <v>1486</v>
      </c>
      <c r="J5" s="11">
        <f t="shared" ref="J5:J15" si="3">E5*K4/I5</f>
        <v>46</v>
      </c>
      <c r="K5" s="11">
        <f>K4-J5</f>
        <v>1440</v>
      </c>
    </row>
    <row r="6" spans="1:11">
      <c r="A6" s="1">
        <v>2</v>
      </c>
      <c r="B6" s="50">
        <v>180</v>
      </c>
      <c r="C6" s="51">
        <f t="shared" ref="C6:C13" si="4">C5+B6</f>
        <v>360</v>
      </c>
      <c r="D6" s="60">
        <f t="shared" si="0"/>
        <v>6</v>
      </c>
      <c r="E6" s="36">
        <v>50</v>
      </c>
      <c r="F6" s="29">
        <f t="shared" si="2"/>
        <v>185</v>
      </c>
      <c r="G6" s="36">
        <v>0</v>
      </c>
      <c r="H6" s="36">
        <v>0</v>
      </c>
      <c r="I6" s="36">
        <f t="shared" si="1"/>
        <v>1440</v>
      </c>
      <c r="J6" s="11">
        <f t="shared" si="3"/>
        <v>50</v>
      </c>
      <c r="K6" s="11">
        <f>K5-J6</f>
        <v>1390</v>
      </c>
    </row>
    <row r="7" spans="1:11">
      <c r="A7" s="1">
        <v>3</v>
      </c>
      <c r="B7" s="50">
        <v>180</v>
      </c>
      <c r="C7" s="51">
        <f>C6+B7</f>
        <v>540</v>
      </c>
      <c r="D7" s="60">
        <f t="shared" si="0"/>
        <v>9</v>
      </c>
      <c r="E7" s="36">
        <v>44</v>
      </c>
      <c r="F7" s="29">
        <f t="shared" si="2"/>
        <v>229</v>
      </c>
      <c r="G7" s="36">
        <v>6</v>
      </c>
      <c r="H7" s="36">
        <v>0</v>
      </c>
      <c r="I7" s="36">
        <f t="shared" si="1"/>
        <v>1396</v>
      </c>
      <c r="J7" s="11">
        <f t="shared" si="3"/>
        <v>43.810888252148999</v>
      </c>
      <c r="K7" s="11">
        <f t="shared" ref="K7:K15" si="5">K6-J7</f>
        <v>1346.189111747851</v>
      </c>
    </row>
    <row r="8" spans="1:11">
      <c r="A8" s="1">
        <v>4</v>
      </c>
      <c r="B8" s="50">
        <v>180</v>
      </c>
      <c r="C8" s="51">
        <f t="shared" si="4"/>
        <v>720</v>
      </c>
      <c r="D8" s="60">
        <f t="shared" si="0"/>
        <v>12</v>
      </c>
      <c r="E8" s="36">
        <v>48</v>
      </c>
      <c r="F8" s="29">
        <f t="shared" si="2"/>
        <v>277</v>
      </c>
      <c r="G8" s="36">
        <v>17</v>
      </c>
      <c r="H8" s="36">
        <v>0</v>
      </c>
      <c r="I8" s="36">
        <f t="shared" si="1"/>
        <v>1363</v>
      </c>
      <c r="J8" s="11">
        <f t="shared" si="3"/>
        <v>47.40798045773797</v>
      </c>
      <c r="K8" s="11">
        <f t="shared" si="5"/>
        <v>1298.7811312901131</v>
      </c>
    </row>
    <row r="9" spans="1:11">
      <c r="A9" s="1">
        <v>5</v>
      </c>
      <c r="B9" s="50">
        <v>180</v>
      </c>
      <c r="C9" s="51">
        <f t="shared" si="4"/>
        <v>900</v>
      </c>
      <c r="D9" s="60">
        <f t="shared" si="0"/>
        <v>15</v>
      </c>
      <c r="E9" s="36">
        <v>48</v>
      </c>
      <c r="F9" s="29">
        <f>E9+F8</f>
        <v>325</v>
      </c>
      <c r="G9" s="36">
        <v>36</v>
      </c>
      <c r="H9" s="36">
        <v>0</v>
      </c>
      <c r="I9" s="36">
        <f t="shared" si="1"/>
        <v>1334</v>
      </c>
      <c r="J9" s="11">
        <f t="shared" si="3"/>
        <v>46.732754349269435</v>
      </c>
      <c r="K9" s="11">
        <f>K8-J9</f>
        <v>1252.0483769408436</v>
      </c>
    </row>
    <row r="10" spans="1:11">
      <c r="A10" s="1">
        <v>6</v>
      </c>
      <c r="B10" s="50">
        <v>180</v>
      </c>
      <c r="C10" s="51">
        <f t="shared" si="4"/>
        <v>1080</v>
      </c>
      <c r="D10" s="60">
        <f t="shared" si="0"/>
        <v>18</v>
      </c>
      <c r="E10" s="36">
        <v>49</v>
      </c>
      <c r="F10" s="29">
        <f t="shared" si="2"/>
        <v>374</v>
      </c>
      <c r="G10" s="36">
        <v>54</v>
      </c>
      <c r="H10" s="36">
        <v>0</v>
      </c>
      <c r="I10" s="36">
        <f t="shared" si="1"/>
        <v>1304</v>
      </c>
      <c r="J10" s="11">
        <f t="shared" si="3"/>
        <v>47.047830115108383</v>
      </c>
      <c r="K10" s="11">
        <f>K9-J10</f>
        <v>1205.0005468257352</v>
      </c>
    </row>
    <row r="11" spans="1:11">
      <c r="A11" s="1">
        <v>7</v>
      </c>
      <c r="B11" s="50">
        <v>180</v>
      </c>
      <c r="C11" s="51">
        <f t="shared" si="4"/>
        <v>1260</v>
      </c>
      <c r="D11" s="60">
        <f t="shared" si="0"/>
        <v>21</v>
      </c>
      <c r="E11" s="36">
        <v>53</v>
      </c>
      <c r="F11" s="29">
        <f t="shared" si="2"/>
        <v>427</v>
      </c>
      <c r="G11" s="36">
        <v>59</v>
      </c>
      <c r="H11" s="36">
        <v>0</v>
      </c>
      <c r="I11" s="36">
        <f t="shared" si="1"/>
        <v>1260</v>
      </c>
      <c r="J11" s="11">
        <f t="shared" si="3"/>
        <v>50.686530937907911</v>
      </c>
      <c r="K11" s="11">
        <f t="shared" si="5"/>
        <v>1154.3140158878273</v>
      </c>
    </row>
    <row r="12" spans="1:11">
      <c r="A12" s="1">
        <v>8</v>
      </c>
      <c r="B12" s="50">
        <v>180</v>
      </c>
      <c r="C12" s="51">
        <f>C11+B12</f>
        <v>1440</v>
      </c>
      <c r="D12" s="60">
        <f t="shared" si="0"/>
        <v>24</v>
      </c>
      <c r="E12" s="36">
        <v>53</v>
      </c>
      <c r="F12" s="29">
        <f t="shared" si="2"/>
        <v>480</v>
      </c>
      <c r="G12" s="36">
        <v>61</v>
      </c>
      <c r="H12" s="36">
        <v>0</v>
      </c>
      <c r="I12" s="36">
        <f t="shared" si="1"/>
        <v>1209</v>
      </c>
      <c r="J12" s="11">
        <f t="shared" si="3"/>
        <v>50.602682251492844</v>
      </c>
      <c r="K12" s="11">
        <f t="shared" si="5"/>
        <v>1103.7113336363345</v>
      </c>
    </row>
    <row r="13" spans="1:11">
      <c r="A13" s="1">
        <v>9</v>
      </c>
      <c r="B13" s="50">
        <v>180</v>
      </c>
      <c r="C13" s="51">
        <f t="shared" si="4"/>
        <v>1620</v>
      </c>
      <c r="D13" s="60">
        <f t="shared" si="0"/>
        <v>27</v>
      </c>
      <c r="E13" s="36">
        <v>55</v>
      </c>
      <c r="F13" s="29">
        <f t="shared" si="2"/>
        <v>535</v>
      </c>
      <c r="G13" s="36">
        <v>62</v>
      </c>
      <c r="H13" s="36">
        <v>0</v>
      </c>
      <c r="I13" s="36">
        <f t="shared" si="1"/>
        <v>1157</v>
      </c>
      <c r="J13" s="11">
        <f t="shared" si="3"/>
        <v>52.466830898875024</v>
      </c>
      <c r="K13" s="11">
        <f t="shared" si="5"/>
        <v>1051.2445027374595</v>
      </c>
    </row>
    <row r="14" spans="1:11">
      <c r="A14" s="33">
        <v>10</v>
      </c>
      <c r="B14" s="50">
        <v>180</v>
      </c>
      <c r="C14" s="51">
        <f>C13+B14</f>
        <v>1800</v>
      </c>
      <c r="D14" s="60">
        <f t="shared" si="0"/>
        <v>30</v>
      </c>
      <c r="E14" s="36">
        <v>64</v>
      </c>
      <c r="F14" s="29">
        <f t="shared" si="2"/>
        <v>599</v>
      </c>
      <c r="G14" s="36">
        <v>62</v>
      </c>
      <c r="H14" s="36">
        <v>0</v>
      </c>
      <c r="I14" s="36">
        <f t="shared" si="1"/>
        <v>1102</v>
      </c>
      <c r="J14" s="11">
        <f t="shared" si="3"/>
        <v>61.05231231869093</v>
      </c>
      <c r="K14" s="11">
        <f t="shared" si="5"/>
        <v>990.19219041876852</v>
      </c>
    </row>
    <row r="15" spans="1:11">
      <c r="A15" s="33">
        <v>11</v>
      </c>
      <c r="B15" s="50">
        <v>1080</v>
      </c>
      <c r="C15" s="51">
        <f>C14+B15</f>
        <v>2880</v>
      </c>
      <c r="D15" s="60">
        <f t="shared" si="0"/>
        <v>48</v>
      </c>
      <c r="E15" s="36">
        <v>57</v>
      </c>
      <c r="F15" s="29">
        <f t="shared" si="2"/>
        <v>656</v>
      </c>
      <c r="G15" s="36">
        <v>63</v>
      </c>
      <c r="H15" s="36">
        <v>0</v>
      </c>
      <c r="I15" s="36">
        <f t="shared" si="1"/>
        <v>1039</v>
      </c>
      <c r="J15" s="11">
        <f t="shared" si="3"/>
        <v>54.322381957526282</v>
      </c>
      <c r="K15" s="11">
        <f t="shared" si="5"/>
        <v>935.8698084612422</v>
      </c>
    </row>
    <row r="16" spans="1:11">
      <c r="A16" s="8"/>
      <c r="B16" s="68"/>
      <c r="C16" s="68"/>
      <c r="D16" s="61"/>
      <c r="E16" s="8"/>
      <c r="F16" s="8"/>
      <c r="G16" s="8"/>
      <c r="H16" s="8"/>
      <c r="I16" s="8"/>
      <c r="J16" s="69"/>
      <c r="K16" s="69"/>
    </row>
    <row r="18" spans="1:6">
      <c r="A18" s="93" t="s">
        <v>15</v>
      </c>
      <c r="B18" s="84"/>
      <c r="C18" s="84"/>
      <c r="D18" s="84"/>
      <c r="E18" s="94"/>
      <c r="F18" s="1">
        <v>1500</v>
      </c>
    </row>
    <row r="19" spans="1:6">
      <c r="A19" s="87" t="s">
        <v>134</v>
      </c>
      <c r="B19" s="88"/>
      <c r="C19" s="88"/>
      <c r="D19" s="88"/>
      <c r="E19" s="89"/>
      <c r="F19" s="49">
        <v>1575</v>
      </c>
    </row>
  </sheetData>
  <mergeCells count="8">
    <mergeCell ref="A19:E19"/>
    <mergeCell ref="A1:A2"/>
    <mergeCell ref="D1:D2"/>
    <mergeCell ref="G1:G2"/>
    <mergeCell ref="H1:H2"/>
    <mergeCell ref="A18:E18"/>
    <mergeCell ref="B1:B2"/>
    <mergeCell ref="C1:C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N3" sqref="N3:N15"/>
    </sheetView>
  </sheetViews>
  <sheetFormatPr baseColWidth="10" defaultColWidth="8.83203125" defaultRowHeight="14" x14ac:dyDescent="0"/>
  <cols>
    <col min="1" max="11" width="8.83203125" style="2"/>
    <col min="12" max="12" width="12.83203125" style="2" bestFit="1" customWidth="1"/>
    <col min="13" max="16384" width="8.83203125" style="2"/>
  </cols>
  <sheetData>
    <row r="1" spans="1:19">
      <c r="A1" s="90" t="s">
        <v>4</v>
      </c>
      <c r="B1" s="90" t="s">
        <v>103</v>
      </c>
      <c r="C1" s="90" t="s">
        <v>103</v>
      </c>
      <c r="D1" s="90" t="s">
        <v>5</v>
      </c>
      <c r="E1" s="86" t="s">
        <v>18</v>
      </c>
      <c r="F1" s="86"/>
      <c r="G1" s="86"/>
      <c r="H1" s="86"/>
      <c r="I1" s="86" t="s">
        <v>20</v>
      </c>
      <c r="J1" s="86"/>
      <c r="K1" s="86"/>
      <c r="L1" s="86"/>
      <c r="M1" s="86" t="s">
        <v>21</v>
      </c>
      <c r="N1" s="86"/>
      <c r="O1" s="86"/>
      <c r="P1" s="86"/>
      <c r="Q1" s="34" t="s">
        <v>22</v>
      </c>
      <c r="R1" s="34" t="s">
        <v>22</v>
      </c>
      <c r="S1" s="34" t="s">
        <v>22</v>
      </c>
    </row>
    <row r="2" spans="1:19">
      <c r="A2" s="91"/>
      <c r="B2" s="91"/>
      <c r="C2" s="91"/>
      <c r="D2" s="91"/>
      <c r="E2" s="37" t="s">
        <v>19</v>
      </c>
      <c r="F2" s="37" t="s">
        <v>67</v>
      </c>
      <c r="G2" s="37" t="s">
        <v>104</v>
      </c>
      <c r="H2" s="37" t="s">
        <v>69</v>
      </c>
      <c r="I2" s="37" t="s">
        <v>19</v>
      </c>
      <c r="J2" s="37" t="s">
        <v>67</v>
      </c>
      <c r="K2" s="37" t="s">
        <v>68</v>
      </c>
      <c r="L2" s="37" t="s">
        <v>69</v>
      </c>
      <c r="M2" s="37" t="s">
        <v>19</v>
      </c>
      <c r="N2" s="37" t="s">
        <v>67</v>
      </c>
      <c r="O2" s="37" t="s">
        <v>68</v>
      </c>
      <c r="P2" s="37" t="s">
        <v>70</v>
      </c>
      <c r="Q2" s="35" t="s">
        <v>69</v>
      </c>
      <c r="R2" s="35" t="s">
        <v>23</v>
      </c>
      <c r="S2" s="35" t="s">
        <v>71</v>
      </c>
    </row>
    <row r="3" spans="1:19" s="5" customFormat="1">
      <c r="A3" s="36" t="s">
        <v>6</v>
      </c>
      <c r="B3" s="48">
        <v>-10</v>
      </c>
      <c r="C3" s="49">
        <v>-10</v>
      </c>
      <c r="D3" s="60">
        <f>C3/60</f>
        <v>-0.16666666666666666</v>
      </c>
      <c r="E3" s="5">
        <v>2</v>
      </c>
      <c r="F3" s="2">
        <v>0</v>
      </c>
      <c r="G3" s="5">
        <v>10</v>
      </c>
      <c r="H3" s="5">
        <f>F3*10^E3*1000/G3</f>
        <v>0</v>
      </c>
      <c r="I3" s="5">
        <v>2</v>
      </c>
      <c r="J3" s="2">
        <v>0</v>
      </c>
      <c r="K3" s="5">
        <v>10</v>
      </c>
      <c r="L3" s="5">
        <f>J3*10^I3*1000/K3</f>
        <v>0</v>
      </c>
      <c r="M3" s="5">
        <v>2</v>
      </c>
      <c r="N3" s="2">
        <v>0</v>
      </c>
      <c r="O3" s="5">
        <v>10</v>
      </c>
      <c r="P3" s="5">
        <f>N3*10^M3*1000/O3</f>
        <v>0</v>
      </c>
      <c r="Q3" s="95"/>
      <c r="R3" s="96"/>
      <c r="S3" s="97"/>
    </row>
    <row r="4" spans="1:19">
      <c r="A4" s="36">
        <v>0</v>
      </c>
      <c r="B4" s="50">
        <v>10</v>
      </c>
      <c r="C4" s="51">
        <v>10</v>
      </c>
      <c r="D4" s="60">
        <f t="shared" ref="D4:D15" si="0">C4/60</f>
        <v>0.16666666666666666</v>
      </c>
      <c r="E4" s="2">
        <v>2</v>
      </c>
      <c r="F4" s="2">
        <v>0</v>
      </c>
      <c r="G4" s="5">
        <v>10</v>
      </c>
      <c r="H4" s="5">
        <f t="shared" ref="H4:H14" si="1">F4*10^E4*1000/G4</f>
        <v>0</v>
      </c>
      <c r="I4" s="2">
        <v>2</v>
      </c>
      <c r="J4" s="2">
        <v>0</v>
      </c>
      <c r="K4" s="5">
        <v>10</v>
      </c>
      <c r="L4" s="5">
        <f t="shared" ref="L4:L14" si="2">J4*10^I4*1000/K4</f>
        <v>0</v>
      </c>
      <c r="M4" s="2">
        <v>2</v>
      </c>
      <c r="N4" s="2">
        <v>0</v>
      </c>
      <c r="O4" s="5">
        <v>10</v>
      </c>
      <c r="P4" s="5">
        <f t="shared" ref="P4:P14" si="3">N4*10^M4*1000/O4</f>
        <v>0</v>
      </c>
      <c r="Q4" s="41">
        <f>AVERAGE(H4,L4,P4)*Calculation!I4/Calculation!K3</f>
        <v>0</v>
      </c>
      <c r="R4" s="41">
        <f>STDEV(H4,L4,P4)*Calculation!I4/Calculation!K3</f>
        <v>0</v>
      </c>
      <c r="S4" s="42" t="e">
        <f>LOG(Q4)</f>
        <v>#NUM!</v>
      </c>
    </row>
    <row r="5" spans="1:19">
      <c r="A5" s="36">
        <v>1</v>
      </c>
      <c r="B5" s="50">
        <v>170</v>
      </c>
      <c r="C5" s="51">
        <f>C4+B5</f>
        <v>180</v>
      </c>
      <c r="D5" s="60">
        <f t="shared" si="0"/>
        <v>3</v>
      </c>
      <c r="E5" s="2">
        <v>2</v>
      </c>
      <c r="F5" s="2">
        <v>0</v>
      </c>
      <c r="G5" s="5">
        <v>10</v>
      </c>
      <c r="H5" s="5">
        <f t="shared" si="1"/>
        <v>0</v>
      </c>
      <c r="I5" s="2">
        <v>2</v>
      </c>
      <c r="J5" s="2">
        <v>0</v>
      </c>
      <c r="K5" s="5">
        <v>10</v>
      </c>
      <c r="L5" s="5">
        <f t="shared" si="2"/>
        <v>0</v>
      </c>
      <c r="M5" s="2">
        <v>2</v>
      </c>
      <c r="N5" s="2">
        <v>0</v>
      </c>
      <c r="O5" s="5">
        <v>10</v>
      </c>
      <c r="P5" s="5">
        <f t="shared" si="3"/>
        <v>0</v>
      </c>
      <c r="Q5" s="41">
        <f>AVERAGE(H5,L5,P5)*Calculation!I5/Calculation!K4</f>
        <v>0</v>
      </c>
      <c r="R5" s="41">
        <f>STDEV(H5,L5,P5)*Calculation!I5/Calculation!K4</f>
        <v>0</v>
      </c>
      <c r="S5" s="42" t="e">
        <f t="shared" ref="S5:S15" si="4">LOG(Q5)</f>
        <v>#NUM!</v>
      </c>
    </row>
    <row r="6" spans="1:19">
      <c r="A6" s="36">
        <v>2</v>
      </c>
      <c r="B6" s="50">
        <v>180</v>
      </c>
      <c r="C6" s="51">
        <f t="shared" ref="C6:C13" si="5">C5+B6</f>
        <v>360</v>
      </c>
      <c r="D6" s="60">
        <f t="shared" si="0"/>
        <v>6</v>
      </c>
      <c r="E6" s="2">
        <v>2</v>
      </c>
      <c r="F6" s="2">
        <v>0</v>
      </c>
      <c r="G6" s="5">
        <v>10</v>
      </c>
      <c r="H6" s="5">
        <f t="shared" si="1"/>
        <v>0</v>
      </c>
      <c r="I6" s="2">
        <v>2</v>
      </c>
      <c r="J6" s="2">
        <v>0</v>
      </c>
      <c r="K6" s="5">
        <v>10</v>
      </c>
      <c r="L6" s="5">
        <f t="shared" si="2"/>
        <v>0</v>
      </c>
      <c r="M6" s="2">
        <v>2</v>
      </c>
      <c r="N6" s="2">
        <v>0</v>
      </c>
      <c r="O6" s="5">
        <v>10</v>
      </c>
      <c r="P6" s="5">
        <f t="shared" si="3"/>
        <v>0</v>
      </c>
      <c r="Q6" s="41">
        <f>AVERAGE(H6,L6,P6)*Calculation!I6/Calculation!K5</f>
        <v>0</v>
      </c>
      <c r="R6" s="41">
        <f>STDEV(H6,L6,P6)*Calculation!I6/Calculation!K5</f>
        <v>0</v>
      </c>
      <c r="S6" s="42" t="e">
        <f t="shared" si="4"/>
        <v>#NUM!</v>
      </c>
    </row>
    <row r="7" spans="1:19">
      <c r="A7" s="36">
        <v>3</v>
      </c>
      <c r="B7" s="50">
        <v>180</v>
      </c>
      <c r="C7" s="51">
        <f>C6+B7</f>
        <v>540</v>
      </c>
      <c r="D7" s="60">
        <f t="shared" si="0"/>
        <v>9</v>
      </c>
      <c r="E7" s="2">
        <v>2</v>
      </c>
      <c r="F7" s="2">
        <v>0</v>
      </c>
      <c r="G7" s="5">
        <v>10</v>
      </c>
      <c r="H7" s="5">
        <f t="shared" si="1"/>
        <v>0</v>
      </c>
      <c r="I7" s="2">
        <v>2</v>
      </c>
      <c r="J7" s="2">
        <v>0</v>
      </c>
      <c r="K7" s="5">
        <v>10</v>
      </c>
      <c r="L7" s="5">
        <f t="shared" si="2"/>
        <v>0</v>
      </c>
      <c r="M7" s="2">
        <v>2</v>
      </c>
      <c r="N7" s="2">
        <v>0</v>
      </c>
      <c r="O7" s="5">
        <v>10</v>
      </c>
      <c r="P7" s="5">
        <f t="shared" si="3"/>
        <v>0</v>
      </c>
      <c r="Q7" s="41">
        <f>AVERAGE(H7,L7,P7)*Calculation!I7/Calculation!K6</f>
        <v>0</v>
      </c>
      <c r="R7" s="41">
        <f>STDEV(H7,L7,P7)*Calculation!I7/Calculation!K6</f>
        <v>0</v>
      </c>
      <c r="S7" s="42" t="e">
        <f t="shared" si="4"/>
        <v>#NUM!</v>
      </c>
    </row>
    <row r="8" spans="1:19">
      <c r="A8" s="36">
        <v>4</v>
      </c>
      <c r="B8" s="50">
        <v>180</v>
      </c>
      <c r="C8" s="51">
        <f t="shared" si="5"/>
        <v>720</v>
      </c>
      <c r="D8" s="60">
        <f t="shared" si="0"/>
        <v>12</v>
      </c>
      <c r="E8" s="2">
        <v>2</v>
      </c>
      <c r="F8" s="2">
        <v>0</v>
      </c>
      <c r="G8" s="5">
        <v>10</v>
      </c>
      <c r="H8" s="5">
        <f t="shared" si="1"/>
        <v>0</v>
      </c>
      <c r="I8" s="2">
        <v>2</v>
      </c>
      <c r="J8" s="2">
        <v>0</v>
      </c>
      <c r="K8" s="5">
        <v>10</v>
      </c>
      <c r="L8" s="5">
        <f t="shared" si="2"/>
        <v>0</v>
      </c>
      <c r="M8" s="2">
        <v>2</v>
      </c>
      <c r="N8" s="2">
        <v>0</v>
      </c>
      <c r="O8" s="5">
        <v>10</v>
      </c>
      <c r="P8" s="5">
        <f t="shared" si="3"/>
        <v>0</v>
      </c>
      <c r="Q8" s="41">
        <f>AVERAGE(H8,L8,P8)*Calculation!I8/Calculation!K7</f>
        <v>0</v>
      </c>
      <c r="R8" s="41">
        <f>STDEV(H8,L8,P8)*Calculation!I8/Calculation!K7</f>
        <v>0</v>
      </c>
      <c r="S8" s="42" t="e">
        <f t="shared" si="4"/>
        <v>#NUM!</v>
      </c>
    </row>
    <row r="9" spans="1:19">
      <c r="A9" s="36">
        <v>5</v>
      </c>
      <c r="B9" s="50">
        <v>180</v>
      </c>
      <c r="C9" s="51">
        <f t="shared" si="5"/>
        <v>900</v>
      </c>
      <c r="D9" s="60">
        <f t="shared" si="0"/>
        <v>15</v>
      </c>
      <c r="E9" s="2">
        <v>3</v>
      </c>
      <c r="F9" s="2">
        <v>0</v>
      </c>
      <c r="G9" s="5">
        <v>10</v>
      </c>
      <c r="H9" s="5">
        <f t="shared" si="1"/>
        <v>0</v>
      </c>
      <c r="I9" s="2">
        <v>3</v>
      </c>
      <c r="J9" s="2">
        <v>0</v>
      </c>
      <c r="K9" s="5">
        <v>10</v>
      </c>
      <c r="L9" s="5">
        <f t="shared" si="2"/>
        <v>0</v>
      </c>
      <c r="M9" s="2">
        <v>3</v>
      </c>
      <c r="N9" s="2">
        <v>0</v>
      </c>
      <c r="O9" s="5">
        <v>10</v>
      </c>
      <c r="P9" s="5">
        <f t="shared" si="3"/>
        <v>0</v>
      </c>
      <c r="Q9" s="41">
        <f>AVERAGE(H9,L9,P9)*Calculation!I9/Calculation!K8</f>
        <v>0</v>
      </c>
      <c r="R9" s="41">
        <f>STDEV(H9,L9,P9)*Calculation!I9/Calculation!K8</f>
        <v>0</v>
      </c>
      <c r="S9" s="42" t="e">
        <f t="shared" si="4"/>
        <v>#NUM!</v>
      </c>
    </row>
    <row r="10" spans="1:19">
      <c r="A10" s="36">
        <v>6</v>
      </c>
      <c r="B10" s="50">
        <v>180</v>
      </c>
      <c r="C10" s="51">
        <f t="shared" si="5"/>
        <v>1080</v>
      </c>
      <c r="D10" s="60">
        <f t="shared" si="0"/>
        <v>18</v>
      </c>
      <c r="E10" s="2">
        <v>3</v>
      </c>
      <c r="F10" s="2">
        <v>1</v>
      </c>
      <c r="G10" s="5">
        <v>10</v>
      </c>
      <c r="H10" s="5">
        <f t="shared" si="1"/>
        <v>100000</v>
      </c>
      <c r="I10" s="2">
        <v>3</v>
      </c>
      <c r="J10" s="2">
        <v>1</v>
      </c>
      <c r="K10" s="5">
        <v>10</v>
      </c>
      <c r="L10" s="5">
        <f t="shared" si="2"/>
        <v>100000</v>
      </c>
      <c r="M10" s="2">
        <v>3</v>
      </c>
      <c r="N10" s="2">
        <v>1</v>
      </c>
      <c r="O10" s="5">
        <v>10</v>
      </c>
      <c r="P10" s="5">
        <f t="shared" si="3"/>
        <v>100000</v>
      </c>
      <c r="Q10" s="41">
        <f>AVERAGE(H10,L10,P10)*Calculation!I10/Calculation!K9</f>
        <v>104149.33033067707</v>
      </c>
      <c r="R10" s="41">
        <f>STDEV(H10,L10,P10)*Calculation!I10/Calculation!K9</f>
        <v>0</v>
      </c>
      <c r="S10" s="42">
        <f t="shared" si="4"/>
        <v>5.017656481824555</v>
      </c>
    </row>
    <row r="11" spans="1:19">
      <c r="A11" s="36">
        <v>7</v>
      </c>
      <c r="B11" s="50">
        <v>180</v>
      </c>
      <c r="C11" s="51">
        <f t="shared" si="5"/>
        <v>1260</v>
      </c>
      <c r="D11" s="60">
        <f t="shared" si="0"/>
        <v>21</v>
      </c>
      <c r="E11" s="2">
        <v>3</v>
      </c>
      <c r="F11" s="2">
        <v>0</v>
      </c>
      <c r="G11" s="5">
        <v>10</v>
      </c>
      <c r="H11" s="5">
        <f t="shared" si="1"/>
        <v>0</v>
      </c>
      <c r="I11" s="2">
        <v>3</v>
      </c>
      <c r="J11" s="2">
        <v>0</v>
      </c>
      <c r="K11" s="5">
        <v>10</v>
      </c>
      <c r="L11" s="5">
        <f t="shared" si="2"/>
        <v>0</v>
      </c>
      <c r="M11" s="2">
        <v>3</v>
      </c>
      <c r="N11" s="2">
        <v>0</v>
      </c>
      <c r="O11" s="5">
        <v>10</v>
      </c>
      <c r="P11" s="5">
        <f t="shared" si="3"/>
        <v>0</v>
      </c>
      <c r="Q11" s="41">
        <f>AVERAGE(H11,L11,P11)*Calculation!I11/Calculation!K10</f>
        <v>0</v>
      </c>
      <c r="R11" s="41">
        <f>STDEV(H11,L11,P11)*Calculation!I11/Calculation!K10</f>
        <v>0</v>
      </c>
      <c r="S11" s="42" t="e">
        <f t="shared" si="4"/>
        <v>#NUM!</v>
      </c>
    </row>
    <row r="12" spans="1:19">
      <c r="A12" s="36">
        <v>8</v>
      </c>
      <c r="B12" s="50">
        <v>180</v>
      </c>
      <c r="C12" s="51">
        <f>C11+B12</f>
        <v>1440</v>
      </c>
      <c r="D12" s="60">
        <f t="shared" si="0"/>
        <v>24</v>
      </c>
      <c r="E12" s="2">
        <v>3</v>
      </c>
      <c r="F12" s="2">
        <v>0</v>
      </c>
      <c r="G12" s="5">
        <v>10</v>
      </c>
      <c r="H12" s="5">
        <f t="shared" si="1"/>
        <v>0</v>
      </c>
      <c r="I12" s="2">
        <v>3</v>
      </c>
      <c r="J12" s="2">
        <v>0</v>
      </c>
      <c r="K12" s="5">
        <v>10</v>
      </c>
      <c r="L12" s="5">
        <f t="shared" si="2"/>
        <v>0</v>
      </c>
      <c r="M12" s="2">
        <v>3</v>
      </c>
      <c r="N12" s="2">
        <v>0</v>
      </c>
      <c r="O12" s="5">
        <v>10</v>
      </c>
      <c r="P12" s="5">
        <f t="shared" si="3"/>
        <v>0</v>
      </c>
      <c r="Q12" s="41">
        <f>AVERAGE(H12,L12,P12)*Calculation!I12/Calculation!K11</f>
        <v>0</v>
      </c>
      <c r="R12" s="41">
        <f>STDEV(H12,L12,P12)*Calculation!I12/Calculation!K11</f>
        <v>0</v>
      </c>
      <c r="S12" s="42" t="e">
        <f>LOG(Q12)</f>
        <v>#NUM!</v>
      </c>
    </row>
    <row r="13" spans="1:19">
      <c r="A13" s="36">
        <v>9</v>
      </c>
      <c r="B13" s="50">
        <v>180</v>
      </c>
      <c r="C13" s="51">
        <f t="shared" si="5"/>
        <v>1620</v>
      </c>
      <c r="D13" s="60">
        <f t="shared" si="0"/>
        <v>27</v>
      </c>
      <c r="E13" s="2">
        <v>3</v>
      </c>
      <c r="F13" s="2">
        <v>0</v>
      </c>
      <c r="G13" s="5">
        <v>10</v>
      </c>
      <c r="H13" s="5">
        <f t="shared" si="1"/>
        <v>0</v>
      </c>
      <c r="I13" s="2">
        <v>3</v>
      </c>
      <c r="J13" s="2">
        <v>0</v>
      </c>
      <c r="K13" s="5">
        <v>10</v>
      </c>
      <c r="L13" s="5">
        <f t="shared" si="2"/>
        <v>0</v>
      </c>
      <c r="M13" s="2">
        <v>3</v>
      </c>
      <c r="N13" s="2">
        <v>0</v>
      </c>
      <c r="O13" s="5">
        <v>10</v>
      </c>
      <c r="P13" s="5">
        <f t="shared" si="3"/>
        <v>0</v>
      </c>
      <c r="Q13" s="41">
        <f>AVERAGE(H13,L13,P13)*Calculation!I13/Calculation!K12</f>
        <v>0</v>
      </c>
      <c r="R13" s="41">
        <f>STDEV(H13,L13,P13)*Calculation!I13/Calculation!K12</f>
        <v>0</v>
      </c>
      <c r="S13" s="42" t="e">
        <f t="shared" si="4"/>
        <v>#NUM!</v>
      </c>
    </row>
    <row r="14" spans="1:19">
      <c r="A14" s="36">
        <v>10</v>
      </c>
      <c r="B14" s="50">
        <v>180</v>
      </c>
      <c r="C14" s="51">
        <f>C13+B14</f>
        <v>1800</v>
      </c>
      <c r="D14" s="60">
        <f t="shared" si="0"/>
        <v>30</v>
      </c>
      <c r="E14" s="2">
        <v>3</v>
      </c>
      <c r="F14" s="2">
        <v>0</v>
      </c>
      <c r="G14" s="5">
        <v>10</v>
      </c>
      <c r="H14" s="5">
        <f t="shared" si="1"/>
        <v>0</v>
      </c>
      <c r="I14" s="2">
        <v>3</v>
      </c>
      <c r="J14" s="2">
        <v>0</v>
      </c>
      <c r="K14" s="5">
        <v>10</v>
      </c>
      <c r="L14" s="5">
        <f t="shared" si="2"/>
        <v>0</v>
      </c>
      <c r="M14" s="2">
        <v>3</v>
      </c>
      <c r="N14" s="2">
        <v>0</v>
      </c>
      <c r="O14" s="5">
        <v>10</v>
      </c>
      <c r="P14" s="5">
        <f t="shared" si="3"/>
        <v>0</v>
      </c>
      <c r="Q14" s="41">
        <f>AVERAGE(H14,L14,P14)*Calculation!I14/Calculation!K13</f>
        <v>0</v>
      </c>
      <c r="R14" s="41">
        <f>STDEV(H14,L14,P14)*Calculation!I14/Calculation!K13</f>
        <v>0</v>
      </c>
      <c r="S14" s="42" t="e">
        <f t="shared" si="4"/>
        <v>#NUM!</v>
      </c>
    </row>
    <row r="15" spans="1:19">
      <c r="A15" s="36">
        <v>11</v>
      </c>
      <c r="B15" s="50">
        <v>1080</v>
      </c>
      <c r="C15" s="51">
        <f>C14+B15</f>
        <v>2880</v>
      </c>
      <c r="D15" s="60">
        <f t="shared" si="0"/>
        <v>48</v>
      </c>
      <c r="E15" s="2">
        <v>3</v>
      </c>
      <c r="F15" s="2">
        <v>0</v>
      </c>
      <c r="G15" s="5">
        <v>10</v>
      </c>
      <c r="H15" s="5">
        <f>F15*10^E15*1000/G15</f>
        <v>0</v>
      </c>
      <c r="I15" s="2">
        <v>3</v>
      </c>
      <c r="J15" s="2">
        <v>0</v>
      </c>
      <c r="K15" s="5">
        <v>10</v>
      </c>
      <c r="L15" s="5">
        <f>J15*10^I15*1000/K15</f>
        <v>0</v>
      </c>
      <c r="M15" s="2">
        <v>3</v>
      </c>
      <c r="N15" s="2">
        <v>0</v>
      </c>
      <c r="O15" s="5">
        <v>10</v>
      </c>
      <c r="P15" s="5">
        <f>N15*10^M15*1000/O15</f>
        <v>0</v>
      </c>
      <c r="Q15" s="41">
        <f>AVERAGE(H15,L15,P15)*Calculation!I15/Calculation!K14</f>
        <v>0</v>
      </c>
      <c r="R15" s="41">
        <f>STDEV(H15,L15,P15)*Calculation!I15/Calculation!K14</f>
        <v>0</v>
      </c>
      <c r="S15" s="42" t="e">
        <f t="shared" si="4"/>
        <v>#NUM!</v>
      </c>
    </row>
    <row r="16" spans="1:19">
      <c r="A16" s="8"/>
      <c r="B16" s="68"/>
      <c r="C16" s="68"/>
      <c r="D16" s="61"/>
      <c r="G16" s="5"/>
    </row>
    <row r="17" spans="3:3">
      <c r="C17" s="2" t="s">
        <v>139</v>
      </c>
    </row>
  </sheetData>
  <mergeCells count="8">
    <mergeCell ref="Q3:S3"/>
    <mergeCell ref="A1:A2"/>
    <mergeCell ref="B1:B2"/>
    <mergeCell ref="C1:C2"/>
    <mergeCell ref="D1:D2"/>
    <mergeCell ref="E1:H1"/>
    <mergeCell ref="I1:L1"/>
    <mergeCell ref="M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X73"/>
  <sheetViews>
    <sheetView topLeftCell="M1" workbookViewId="0">
      <selection activeCell="X4" sqref="X4:X15"/>
    </sheetView>
  </sheetViews>
  <sheetFormatPr baseColWidth="10" defaultColWidth="8.83203125" defaultRowHeight="14" x14ac:dyDescent="0"/>
  <cols>
    <col min="19" max="20" width="14.83203125" bestFit="1" customWidth="1"/>
  </cols>
  <sheetData>
    <row r="1" spans="1:24">
      <c r="A1" s="90" t="s">
        <v>4</v>
      </c>
      <c r="B1" s="90" t="s">
        <v>103</v>
      </c>
      <c r="C1" s="90" t="s">
        <v>103</v>
      </c>
      <c r="D1" s="90" t="s">
        <v>5</v>
      </c>
      <c r="E1" s="92" t="s">
        <v>105</v>
      </c>
      <c r="F1" s="92"/>
      <c r="G1" s="92"/>
      <c r="H1" s="92"/>
      <c r="I1" s="92" t="s">
        <v>106</v>
      </c>
      <c r="J1" s="92"/>
      <c r="K1" s="92"/>
      <c r="L1" s="92"/>
      <c r="M1" s="92" t="s">
        <v>107</v>
      </c>
      <c r="N1" s="92"/>
      <c r="O1" s="92"/>
      <c r="P1" s="92"/>
      <c r="Q1" s="22" t="s">
        <v>108</v>
      </c>
      <c r="R1" s="22" t="s">
        <v>108</v>
      </c>
      <c r="S1" s="22" t="s">
        <v>108</v>
      </c>
      <c r="T1" s="55" t="s">
        <v>108</v>
      </c>
      <c r="U1" s="81" t="s">
        <v>105</v>
      </c>
      <c r="V1" s="81" t="s">
        <v>106</v>
      </c>
      <c r="W1" s="81" t="s">
        <v>107</v>
      </c>
      <c r="X1" s="81" t="s">
        <v>108</v>
      </c>
    </row>
    <row r="2" spans="1:24">
      <c r="A2" s="91"/>
      <c r="B2" s="91"/>
      <c r="C2" s="91"/>
      <c r="D2" s="91"/>
      <c r="E2" s="21" t="s">
        <v>19</v>
      </c>
      <c r="F2" s="21" t="s">
        <v>67</v>
      </c>
      <c r="G2" s="21" t="s">
        <v>68</v>
      </c>
      <c r="H2" s="21" t="s">
        <v>69</v>
      </c>
      <c r="I2" s="21" t="s">
        <v>19</v>
      </c>
      <c r="J2" s="21" t="s">
        <v>67</v>
      </c>
      <c r="K2" s="21" t="s">
        <v>68</v>
      </c>
      <c r="L2" s="21" t="s">
        <v>69</v>
      </c>
      <c r="M2" s="21" t="s">
        <v>19</v>
      </c>
      <c r="N2" s="21" t="s">
        <v>67</v>
      </c>
      <c r="O2" s="21" t="s">
        <v>68</v>
      </c>
      <c r="P2" s="21" t="s">
        <v>70</v>
      </c>
      <c r="Q2" s="23" t="s">
        <v>69</v>
      </c>
      <c r="R2" s="23" t="s">
        <v>23</v>
      </c>
      <c r="S2" s="23" t="s">
        <v>71</v>
      </c>
      <c r="T2" s="56" t="s">
        <v>116</v>
      </c>
      <c r="U2" s="82" t="s">
        <v>173</v>
      </c>
      <c r="V2" s="82" t="s">
        <v>173</v>
      </c>
      <c r="W2" s="82" t="s">
        <v>173</v>
      </c>
      <c r="X2" s="82" t="s">
        <v>174</v>
      </c>
    </row>
    <row r="3" spans="1:24">
      <c r="A3" s="48" t="s">
        <v>6</v>
      </c>
      <c r="B3" s="49">
        <v>-10</v>
      </c>
      <c r="C3" s="49">
        <v>-10</v>
      </c>
      <c r="D3" s="60">
        <v>0</v>
      </c>
      <c r="E3" s="39" t="s">
        <v>90</v>
      </c>
      <c r="F3" s="39" t="s">
        <v>90</v>
      </c>
      <c r="G3" s="39" t="s">
        <v>90</v>
      </c>
      <c r="H3" s="40" t="s">
        <v>90</v>
      </c>
      <c r="I3" s="39" t="s">
        <v>90</v>
      </c>
      <c r="J3" s="39" t="s">
        <v>90</v>
      </c>
      <c r="K3" s="39" t="s">
        <v>90</v>
      </c>
      <c r="L3" s="40" t="s">
        <v>90</v>
      </c>
      <c r="M3" s="39" t="s">
        <v>90</v>
      </c>
      <c r="N3" s="39" t="s">
        <v>90</v>
      </c>
      <c r="O3" s="39" t="s">
        <v>90</v>
      </c>
      <c r="P3" s="40" t="s">
        <v>90</v>
      </c>
      <c r="Q3" s="98" t="s">
        <v>90</v>
      </c>
      <c r="R3" s="99"/>
      <c r="S3" s="100"/>
      <c r="T3" s="40" t="s">
        <v>90</v>
      </c>
      <c r="U3" s="40" t="s">
        <v>90</v>
      </c>
      <c r="V3" s="40" t="s">
        <v>90</v>
      </c>
      <c r="W3" s="40" t="s">
        <v>90</v>
      </c>
      <c r="X3" s="40" t="s">
        <v>90</v>
      </c>
    </row>
    <row r="4" spans="1:24">
      <c r="A4" s="50">
        <v>0</v>
      </c>
      <c r="B4" s="51">
        <v>10</v>
      </c>
      <c r="C4" s="51">
        <v>10</v>
      </c>
      <c r="D4" s="70">
        <v>0</v>
      </c>
      <c r="E4" s="29">
        <v>1</v>
      </c>
      <c r="F4" s="29">
        <v>39642</v>
      </c>
      <c r="G4" s="29">
        <v>7</v>
      </c>
      <c r="H4" s="40">
        <f>('Flow cytometer'!F4/'Flow cytometer'!G4)*POWER(10,'Flow cytometer'!E4+2)*10.2</f>
        <v>57764057.142857142</v>
      </c>
      <c r="I4" s="29">
        <v>1</v>
      </c>
      <c r="J4" s="29">
        <v>37164</v>
      </c>
      <c r="K4" s="29">
        <v>7</v>
      </c>
      <c r="L4" s="40">
        <f>('Flow cytometer'!J4/'Flow cytometer'!K4)*POWER(10,'Flow cytometer'!I4+2)*10.2</f>
        <v>54153257.142857142</v>
      </c>
      <c r="M4" s="29">
        <v>1</v>
      </c>
      <c r="N4" s="29">
        <v>38272</v>
      </c>
      <c r="O4" s="29">
        <v>7</v>
      </c>
      <c r="P4" s="40">
        <f>('Flow cytometer'!N4/'Flow cytometer'!O4)*POWER(10,'Flow cytometer'!M4+2)*10.2</f>
        <v>55767771.428571425</v>
      </c>
      <c r="Q4" s="43">
        <f>AVERAGE(H4,L4,P4)*Calculation!I4/Calculation!K3</f>
        <v>55895028.571428567</v>
      </c>
      <c r="R4" s="44">
        <f>STDEV(H4,L4,P4)*Calculation!I4/Calculation!K3</f>
        <v>1808760.6102815603</v>
      </c>
      <c r="S4" s="45">
        <f>LOG(Q4)</f>
        <v>7.7473731824837602</v>
      </c>
      <c r="T4" s="45">
        <f>LN(Q4)</f>
        <v>17.838985999848944</v>
      </c>
      <c r="U4" s="45">
        <f>LOG(H4)</f>
        <v>7.7616576889396223</v>
      </c>
      <c r="V4" s="45">
        <f>LOG(L4)</f>
        <v>7.7336245831520722</v>
      </c>
      <c r="W4" s="45">
        <f>LOG(P4)</f>
        <v>7.7463832897199589</v>
      </c>
      <c r="X4" s="45">
        <f xml:space="preserve"> STDEV(U4:W4)*Calculation!I4/Calculation!K3</f>
        <v>1.4035353486244762E-2</v>
      </c>
    </row>
    <row r="5" spans="1:24">
      <c r="A5" s="50">
        <v>1</v>
      </c>
      <c r="B5" s="51">
        <v>170</v>
      </c>
      <c r="C5" s="51">
        <v>180</v>
      </c>
      <c r="D5" s="70">
        <v>3</v>
      </c>
      <c r="E5" s="29">
        <v>2</v>
      </c>
      <c r="F5" s="29">
        <v>9460</v>
      </c>
      <c r="G5" s="29">
        <v>7</v>
      </c>
      <c r="H5" s="40">
        <f>('Flow cytometer'!F5/'Flow cytometer'!G5)*POWER(10,'Flow cytometer'!E5+2)*10.2</f>
        <v>137845714.28571427</v>
      </c>
      <c r="I5" s="29">
        <v>2</v>
      </c>
      <c r="J5" s="29">
        <v>9643</v>
      </c>
      <c r="K5" s="29">
        <v>7</v>
      </c>
      <c r="L5" s="40">
        <f>('Flow cytometer'!J5/'Flow cytometer'!K5)*POWER(10,'Flow cytometer'!I5+2)*10.2</f>
        <v>140512285.71428573</v>
      </c>
      <c r="M5" s="29">
        <v>2</v>
      </c>
      <c r="N5" s="29">
        <v>9731</v>
      </c>
      <c r="O5" s="29">
        <v>7</v>
      </c>
      <c r="P5" s="40">
        <f>('Flow cytometer'!N5/'Flow cytometer'!O5)*POWER(10,'Flow cytometer'!M5+2)*10.2</f>
        <v>141794571.4285714</v>
      </c>
      <c r="Q5" s="43">
        <f>AVERAGE(H5,L5,P5)*Calculation!I5/Calculation!K4</f>
        <v>140050857.14285713</v>
      </c>
      <c r="R5" s="44">
        <f>STDEV(H5,L5,P5)*Calculation!I5/Calculation!K4</f>
        <v>2014461.5728703861</v>
      </c>
      <c r="S5" s="45">
        <f t="shared" ref="S5:S15" si="0">LOG(Q5)</f>
        <v>8.1462857711479764</v>
      </c>
      <c r="T5" s="45">
        <f t="shared" ref="T5:T15" si="1">LN(Q5)</f>
        <v>18.757516179914834</v>
      </c>
      <c r="U5" s="45">
        <f t="shared" ref="U5:U15" si="2">LOG(H5)</f>
        <v>8.139393268149453</v>
      </c>
      <c r="V5" s="45">
        <f t="shared" ref="V5:V15" si="3">LOG(L5)</f>
        <v>8.1477142985090953</v>
      </c>
      <c r="W5" s="45">
        <f t="shared" ref="W5:W15" si="4">LOG(P5)</f>
        <v>8.1516596043044132</v>
      </c>
      <c r="X5" s="45">
        <f xml:space="preserve"> STDEV(U5:W5)*Calculation!I5/Calculation!K4</f>
        <v>6.2618951701427471E-3</v>
      </c>
    </row>
    <row r="6" spans="1:24">
      <c r="A6" s="50">
        <v>2</v>
      </c>
      <c r="B6" s="51">
        <v>180</v>
      </c>
      <c r="C6" s="51">
        <v>360</v>
      </c>
      <c r="D6" s="70">
        <v>6</v>
      </c>
      <c r="E6" s="29">
        <v>2</v>
      </c>
      <c r="F6" s="29">
        <v>56162</v>
      </c>
      <c r="G6" s="29">
        <v>7</v>
      </c>
      <c r="H6" s="40">
        <f>('Flow cytometer'!F6/'Flow cytometer'!G6)*POWER(10,'Flow cytometer'!E6+2)*10.2</f>
        <v>818360571.42857134</v>
      </c>
      <c r="I6" s="29">
        <v>2</v>
      </c>
      <c r="J6" s="29">
        <v>61330</v>
      </c>
      <c r="K6" s="29">
        <v>7</v>
      </c>
      <c r="L6" s="40">
        <f>('Flow cytometer'!J6/'Flow cytometer'!K6)*POWER(10,'Flow cytometer'!I6+2)*10.2</f>
        <v>893665714.28571415</v>
      </c>
      <c r="M6" s="29">
        <v>2</v>
      </c>
      <c r="N6" s="29">
        <v>62634</v>
      </c>
      <c r="O6" s="29">
        <v>7</v>
      </c>
      <c r="P6" s="40">
        <f>('Flow cytometer'!N6/'Flow cytometer'!O6)*POWER(10,'Flow cytometer'!M6+2)*10.2</f>
        <v>912666857.14285719</v>
      </c>
      <c r="Q6" s="43">
        <f>AVERAGE(H6,L6,P6)*Calculation!I6/Calculation!K5</f>
        <v>874897714.28571427</v>
      </c>
      <c r="R6" s="44">
        <f>STDEV(H6,L6,P6)*Calculation!I6/Calculation!K5</f>
        <v>49875818.282070592</v>
      </c>
      <c r="S6" s="45">
        <f t="shared" si="0"/>
        <v>8.9419572819161175</v>
      </c>
      <c r="T6" s="45">
        <f t="shared" si="1"/>
        <v>20.589617539529605</v>
      </c>
      <c r="U6" s="45">
        <f t="shared" si="2"/>
        <v>8.9129446969217216</v>
      </c>
      <c r="V6" s="45">
        <f t="shared" si="3"/>
        <v>8.9511750964351542</v>
      </c>
      <c r="W6" s="45">
        <f t="shared" si="4"/>
        <v>8.9603122797168222</v>
      </c>
      <c r="X6" s="45">
        <f xml:space="preserve"> STDEV(U6:W6)*Calculation!I6/Calculation!K5</f>
        <v>2.5128799762855644E-2</v>
      </c>
    </row>
    <row r="7" spans="1:24">
      <c r="A7" s="50">
        <v>3</v>
      </c>
      <c r="B7" s="51">
        <v>180</v>
      </c>
      <c r="C7" s="51">
        <v>540</v>
      </c>
      <c r="D7" s="70">
        <v>9</v>
      </c>
      <c r="E7" s="29">
        <v>3</v>
      </c>
      <c r="F7" s="29">
        <v>6620</v>
      </c>
      <c r="G7" s="29">
        <v>7</v>
      </c>
      <c r="H7" s="40">
        <f>('Flow cytometer'!F7/'Flow cytometer'!G7)*POWER(10,'Flow cytometer'!E7+2)*10.2</f>
        <v>964628571.42857134</v>
      </c>
      <c r="I7" s="29">
        <v>3</v>
      </c>
      <c r="J7" s="29">
        <v>7015</v>
      </c>
      <c r="K7" s="29">
        <v>7</v>
      </c>
      <c r="L7" s="40">
        <f>('Flow cytometer'!J7/'Flow cytometer'!K7)*POWER(10,'Flow cytometer'!I7+2)*10.2</f>
        <v>1022185714.2857143</v>
      </c>
      <c r="M7" s="29">
        <v>3</v>
      </c>
      <c r="N7" s="29">
        <v>6900</v>
      </c>
      <c r="O7" s="29">
        <v>7</v>
      </c>
      <c r="P7" s="40">
        <f>('Flow cytometer'!N7/'Flow cytometer'!O7)*POWER(10,'Flow cytometer'!M7+2)*10.2</f>
        <v>1005428571.4285713</v>
      </c>
      <c r="Q7" s="43">
        <f>AVERAGE(H7,L7,P7)*Calculation!I7/Calculation!K6</f>
        <v>1001719671.1202466</v>
      </c>
      <c r="R7" s="44">
        <f>STDEV(H7,L7,P7)*Calculation!I7/Calculation!K6</f>
        <v>29731463.727847498</v>
      </c>
      <c r="S7" s="45">
        <f t="shared" si="0"/>
        <v>9.000746202250717</v>
      </c>
      <c r="T7" s="45">
        <f t="shared" si="1"/>
        <v>20.72498403112527</v>
      </c>
      <c r="U7" s="45">
        <f t="shared" si="2"/>
        <v>8.9843601211873612</v>
      </c>
      <c r="V7" s="45">
        <f t="shared" si="3"/>
        <v>9.00952980711204</v>
      </c>
      <c r="W7" s="45">
        <f t="shared" si="4"/>
        <v>9.0023512224849167</v>
      </c>
      <c r="X7" s="45">
        <f xml:space="preserve"> STDEV(U7:W7)*Calculation!I7/Calculation!K6</f>
        <v>1.3022110070809315E-2</v>
      </c>
    </row>
    <row r="8" spans="1:24">
      <c r="A8" s="50">
        <v>4</v>
      </c>
      <c r="B8" s="51">
        <v>180</v>
      </c>
      <c r="C8" s="51">
        <v>720</v>
      </c>
      <c r="D8" s="70">
        <v>12</v>
      </c>
      <c r="E8" s="29">
        <v>3</v>
      </c>
      <c r="F8" s="29">
        <v>7667</v>
      </c>
      <c r="G8" s="29">
        <v>7</v>
      </c>
      <c r="H8" s="40">
        <f>('Flow cytometer'!F8/'Flow cytometer'!G8)*POWER(10,'Flow cytometer'!E8+2)*10.2</f>
        <v>1117191428.5714283</v>
      </c>
      <c r="I8" s="29">
        <v>3</v>
      </c>
      <c r="J8" s="29">
        <v>7587</v>
      </c>
      <c r="K8" s="29">
        <v>7</v>
      </c>
      <c r="L8" s="40">
        <f>('Flow cytometer'!J8/'Flow cytometer'!K8)*POWER(10,'Flow cytometer'!I8+2)*10.2</f>
        <v>1105534285.7142856</v>
      </c>
      <c r="M8" s="29">
        <v>3</v>
      </c>
      <c r="N8" s="29">
        <v>7211</v>
      </c>
      <c r="O8" s="29">
        <v>7</v>
      </c>
      <c r="P8" s="40">
        <f>('Flow cytometer'!N8/'Flow cytometer'!O8)*POWER(10,'Flow cytometer'!M8+2)*10.2</f>
        <v>1050745714.2857143</v>
      </c>
      <c r="Q8" s="43">
        <f>AVERAGE(H8,L8,P8)*Calculation!I8/Calculation!K7</f>
        <v>1104783252.7654965</v>
      </c>
      <c r="R8" s="44">
        <f>STDEV(H8,L8,P8)*Calculation!I8/Calculation!K7</f>
        <v>35922416.754296303</v>
      </c>
      <c r="S8" s="45">
        <f t="shared" si="0"/>
        <v>9.0432770822191468</v>
      </c>
      <c r="T8" s="45">
        <f t="shared" si="1"/>
        <v>20.822915001332493</v>
      </c>
      <c r="U8" s="45">
        <f t="shared" si="2"/>
        <v>9.048127595003896</v>
      </c>
      <c r="V8" s="45">
        <f t="shared" si="3"/>
        <v>9.0435722158117287</v>
      </c>
      <c r="W8" s="45">
        <f t="shared" si="4"/>
        <v>9.0214976273085838</v>
      </c>
      <c r="X8" s="45">
        <f xml:space="preserve"> STDEV(U8:W8)*Calculation!I8/Calculation!K7</f>
        <v>1.442095691495052E-2</v>
      </c>
    </row>
    <row r="9" spans="1:24">
      <c r="A9" s="50">
        <v>5</v>
      </c>
      <c r="B9" s="51">
        <v>180</v>
      </c>
      <c r="C9" s="51">
        <v>900</v>
      </c>
      <c r="D9" s="70">
        <v>15</v>
      </c>
      <c r="E9" s="29">
        <v>3</v>
      </c>
      <c r="F9" s="29">
        <v>13127</v>
      </c>
      <c r="G9" s="29">
        <v>7</v>
      </c>
      <c r="H9" s="40">
        <f>('Flow cytometer'!F9/'Flow cytometer'!G9)*POWER(10,'Flow cytometer'!E9+2)*10.2</f>
        <v>1912791428.5714285</v>
      </c>
      <c r="I9" s="29">
        <v>3</v>
      </c>
      <c r="J9" s="29">
        <v>12822</v>
      </c>
      <c r="K9" s="29">
        <v>7</v>
      </c>
      <c r="L9" s="40">
        <f>('Flow cytometer'!J9/'Flow cytometer'!K9)*POWER(10,'Flow cytometer'!I9+2)*10.2</f>
        <v>1868348571.4285712</v>
      </c>
      <c r="M9" s="29">
        <v>3</v>
      </c>
      <c r="N9" s="29">
        <v>12732</v>
      </c>
      <c r="O9" s="29">
        <v>7</v>
      </c>
      <c r="P9" s="40">
        <f>('Flow cytometer'!N9/'Flow cytometer'!O9)*POWER(10,'Flow cytometer'!M9+2)*10.2</f>
        <v>1855234285.7142856</v>
      </c>
      <c r="Q9" s="43">
        <f>AVERAGE(H9,L9,P9)*Calculation!I9/Calculation!K8</f>
        <v>1929738356.4732766</v>
      </c>
      <c r="R9" s="44">
        <f>STDEV(H9,L9,P9)*Calculation!I9/Calculation!K8</f>
        <v>30984153.097615194</v>
      </c>
      <c r="S9" s="45">
        <f t="shared" si="0"/>
        <v>9.2854984291928435</v>
      </c>
      <c r="T9" s="45">
        <f t="shared" si="1"/>
        <v>21.380650264079065</v>
      </c>
      <c r="U9" s="45">
        <f t="shared" si="2"/>
        <v>9.2816676169907844</v>
      </c>
      <c r="V9" s="45">
        <f t="shared" si="3"/>
        <v>9.2714579042953744</v>
      </c>
      <c r="W9" s="45">
        <f t="shared" si="4"/>
        <v>9.268398761696627</v>
      </c>
      <c r="X9" s="45">
        <f xml:space="preserve"> STDEV(U9:W9)*Calculation!I9/Calculation!K8</f>
        <v>7.1365420317909007E-3</v>
      </c>
    </row>
    <row r="10" spans="1:24">
      <c r="A10" s="50">
        <v>6</v>
      </c>
      <c r="B10" s="51">
        <v>180</v>
      </c>
      <c r="C10" s="51">
        <v>1080</v>
      </c>
      <c r="D10" s="70">
        <v>18</v>
      </c>
      <c r="E10" s="29">
        <v>3</v>
      </c>
      <c r="F10" s="29">
        <v>13292</v>
      </c>
      <c r="G10" s="29">
        <v>7</v>
      </c>
      <c r="H10" s="40">
        <f>('Flow cytometer'!F10/'Flow cytometer'!G10)*POWER(10,'Flow cytometer'!E10+2)*10.2</f>
        <v>1936834285.7142856</v>
      </c>
      <c r="I10" s="29">
        <v>3</v>
      </c>
      <c r="J10" s="29">
        <v>13401</v>
      </c>
      <c r="K10" s="29">
        <v>7</v>
      </c>
      <c r="L10" s="40">
        <f>('Flow cytometer'!J10/'Flow cytometer'!K10)*POWER(10,'Flow cytometer'!I10+2)*10.2</f>
        <v>1952717142.8571427</v>
      </c>
      <c r="M10" s="29">
        <v>3</v>
      </c>
      <c r="N10" s="29">
        <v>14003</v>
      </c>
      <c r="O10" s="29">
        <v>7</v>
      </c>
      <c r="P10" s="40">
        <f>('Flow cytometer'!N10/'Flow cytometer'!O10)*POWER(10,'Flow cytometer'!M10+2)*10.2</f>
        <v>2040437142.8571427</v>
      </c>
      <c r="Q10" s="43">
        <f>AVERAGE(H10,L10,P10)*Calculation!I10/Calculation!K9</f>
        <v>2058681128.6095133</v>
      </c>
      <c r="R10" s="44">
        <f>STDEV(H10,L10,P10)*Calculation!I10/Calculation!K9</f>
        <v>58113421.802703761</v>
      </c>
      <c r="S10" s="45">
        <f t="shared" si="0"/>
        <v>9.3135890834758523</v>
      </c>
      <c r="T10" s="45">
        <f t="shared" si="1"/>
        <v>21.445331385883573</v>
      </c>
      <c r="U10" s="45">
        <f t="shared" si="2"/>
        <v>9.287092464354334</v>
      </c>
      <c r="V10" s="45">
        <f t="shared" si="3"/>
        <v>9.2906393389391617</v>
      </c>
      <c r="W10" s="45">
        <f t="shared" si="4"/>
        <v>9.3097232205595404</v>
      </c>
      <c r="X10" s="45">
        <f xml:space="preserve"> STDEV(U10:W10)*Calculation!I10/Calculation!K9</f>
        <v>1.2676917297881967E-2</v>
      </c>
    </row>
    <row r="11" spans="1:24">
      <c r="A11" s="50">
        <v>7</v>
      </c>
      <c r="B11" s="51">
        <v>180</v>
      </c>
      <c r="C11" s="51">
        <v>1260</v>
      </c>
      <c r="D11" s="70">
        <v>21</v>
      </c>
      <c r="E11" s="29">
        <v>3</v>
      </c>
      <c r="F11" s="29">
        <v>14677</v>
      </c>
      <c r="G11" s="29">
        <v>7</v>
      </c>
      <c r="H11" s="40">
        <f>('Flow cytometer'!F11/'Flow cytometer'!G11)*POWER(10,'Flow cytometer'!E11+2)*10.2</f>
        <v>2138648571.4285712</v>
      </c>
      <c r="I11" s="29">
        <v>3</v>
      </c>
      <c r="J11" s="29">
        <v>13994</v>
      </c>
      <c r="K11" s="29">
        <v>7</v>
      </c>
      <c r="L11" s="40">
        <f>('Flow cytometer'!J11/'Flow cytometer'!K11)*POWER(10,'Flow cytometer'!I11+2)*10.2</f>
        <v>2039125714.2857139</v>
      </c>
      <c r="M11" s="29">
        <v>3</v>
      </c>
      <c r="N11" s="29">
        <v>12839</v>
      </c>
      <c r="O11" s="29">
        <v>7</v>
      </c>
      <c r="P11" s="40">
        <f>('Flow cytometer'!N11/'Flow cytometer'!O11)*POWER(10,'Flow cytometer'!M11+2)*10.2</f>
        <v>1870825714.2857139</v>
      </c>
      <c r="Q11" s="43">
        <f>AVERAGE(H11,L11,P11)*Calculation!I11/Calculation!K10</f>
        <v>2108224769.4343901</v>
      </c>
      <c r="R11" s="44">
        <f>STDEV(H11,L11,P11)*Calculation!I11/Calculation!K10</f>
        <v>141554153.26050481</v>
      </c>
      <c r="S11" s="45">
        <f t="shared" si="0"/>
        <v>9.3239169115315796</v>
      </c>
      <c r="T11" s="45">
        <f t="shared" si="1"/>
        <v>21.469112088807695</v>
      </c>
      <c r="U11" s="45">
        <f t="shared" si="2"/>
        <v>9.3301394259794659</v>
      </c>
      <c r="V11" s="45">
        <f t="shared" si="3"/>
        <v>9.3094440013237829</v>
      </c>
      <c r="W11" s="45">
        <f t="shared" si="4"/>
        <v>9.2720333306055291</v>
      </c>
      <c r="X11" s="45">
        <f xml:space="preserve"> STDEV(U11:W11)*Calculation!I11/Calculation!K10</f>
        <v>3.0795248573015462E-2</v>
      </c>
    </row>
    <row r="12" spans="1:24">
      <c r="A12" s="50">
        <v>8</v>
      </c>
      <c r="B12" s="51">
        <v>180</v>
      </c>
      <c r="C12" s="51">
        <v>1440</v>
      </c>
      <c r="D12" s="70">
        <v>24</v>
      </c>
      <c r="E12" s="29">
        <v>3</v>
      </c>
      <c r="F12" s="29">
        <v>10585</v>
      </c>
      <c r="G12" s="29">
        <v>7</v>
      </c>
      <c r="H12" s="40">
        <f>('Flow cytometer'!F12/'Flow cytometer'!G12)*POWER(10,'Flow cytometer'!E12+2)*10.2</f>
        <v>1542385714.2857141</v>
      </c>
      <c r="I12" s="29">
        <v>3</v>
      </c>
      <c r="J12" s="29">
        <v>10753</v>
      </c>
      <c r="K12" s="29">
        <v>7</v>
      </c>
      <c r="L12" s="40">
        <f>('Flow cytometer'!J12/'Flow cytometer'!K12)*POWER(10,'Flow cytometer'!I12+2)*10.2</f>
        <v>1566865714.2857141</v>
      </c>
      <c r="M12" s="29">
        <v>3</v>
      </c>
      <c r="N12" s="29">
        <v>11133</v>
      </c>
      <c r="O12" s="29">
        <v>7</v>
      </c>
      <c r="P12" s="40">
        <f>('Flow cytometer'!N12/'Flow cytometer'!O12)*POWER(10,'Flow cytometer'!M12+2)*10.2</f>
        <v>1622237142.8571427</v>
      </c>
      <c r="Q12" s="43">
        <f>AVERAGE(H12,L12,P12)*Calculation!I12/Calculation!K11</f>
        <v>1651881436.1091583</v>
      </c>
      <c r="R12" s="44">
        <f>STDEV(H12,L12,P12)*Calculation!I12/Calculation!K11</f>
        <v>42847585.313323982</v>
      </c>
      <c r="S12" s="45">
        <f t="shared" si="0"/>
        <v>9.2179788725900487</v>
      </c>
      <c r="T12" s="45">
        <f t="shared" si="1"/>
        <v>21.225180739559903</v>
      </c>
      <c r="U12" s="45">
        <f t="shared" si="2"/>
        <v>9.1881929941030922</v>
      </c>
      <c r="V12" s="45">
        <f t="shared" si="3"/>
        <v>9.1950317775510833</v>
      </c>
      <c r="W12" s="45">
        <f t="shared" si="4"/>
        <v>9.2101143408161068</v>
      </c>
      <c r="X12" s="45">
        <f xml:space="preserve"> STDEV(U12:W12)*Calculation!I12/Calculation!K11</f>
        <v>1.1747409561869225E-2</v>
      </c>
    </row>
    <row r="13" spans="1:24">
      <c r="A13" s="50">
        <v>9</v>
      </c>
      <c r="B13" s="51">
        <v>180</v>
      </c>
      <c r="C13" s="51">
        <v>1620</v>
      </c>
      <c r="D13" s="70">
        <v>27</v>
      </c>
      <c r="E13" s="29">
        <v>3</v>
      </c>
      <c r="F13" s="29">
        <v>13248</v>
      </c>
      <c r="G13" s="29">
        <v>7</v>
      </c>
      <c r="H13" s="40">
        <f>('Flow cytometer'!F13/'Flow cytometer'!G13)*POWER(10,'Flow cytometer'!E13+2)*10.2</f>
        <v>1930422857.1428571</v>
      </c>
      <c r="I13" s="29">
        <v>3</v>
      </c>
      <c r="J13" s="29">
        <v>12791</v>
      </c>
      <c r="K13" s="29">
        <v>7</v>
      </c>
      <c r="L13" s="40">
        <f>('Flow cytometer'!J13/'Flow cytometer'!K13)*POWER(10,'Flow cytometer'!I13+2)*10.2</f>
        <v>1863831428.5714285</v>
      </c>
      <c r="M13" s="29">
        <v>3</v>
      </c>
      <c r="N13" s="29">
        <v>12601</v>
      </c>
      <c r="O13" s="29">
        <v>7</v>
      </c>
      <c r="P13" s="40">
        <f>('Flow cytometer'!N13/'Flow cytometer'!O13)*POWER(10,'Flow cytometer'!M13+2)*10.2</f>
        <v>1836145714.2857139</v>
      </c>
      <c r="Q13" s="43">
        <f>AVERAGE(H13,L13,P13)*Calculation!I13/Calculation!K12</f>
        <v>1967414426.058146</v>
      </c>
      <c r="R13" s="44">
        <f>STDEV(H13,L13,P13)*Calculation!I13/Calculation!K12</f>
        <v>50797671.829545446</v>
      </c>
      <c r="S13" s="45">
        <f t="shared" si="0"/>
        <v>9.2938958515271768</v>
      </c>
      <c r="T13" s="45">
        <f t="shared" si="1"/>
        <v>21.399986043565679</v>
      </c>
      <c r="U13" s="45">
        <f t="shared" si="2"/>
        <v>9.2856524511884651</v>
      </c>
      <c r="V13" s="45">
        <f t="shared" si="3"/>
        <v>9.2704066306833042</v>
      </c>
      <c r="W13" s="45">
        <f t="shared" si="4"/>
        <v>9.2639071433135491</v>
      </c>
      <c r="X13" s="45">
        <f xml:space="preserve"> STDEV(U13:W13)*Calculation!I13/Calculation!K12</f>
        <v>1.1700879807106322E-2</v>
      </c>
    </row>
    <row r="14" spans="1:24">
      <c r="A14" s="50">
        <v>10</v>
      </c>
      <c r="B14" s="51">
        <v>180</v>
      </c>
      <c r="C14" s="51">
        <v>1800</v>
      </c>
      <c r="D14" s="70">
        <v>30</v>
      </c>
      <c r="E14" s="29">
        <v>3</v>
      </c>
      <c r="F14" s="29">
        <v>10498</v>
      </c>
      <c r="G14" s="29">
        <v>7</v>
      </c>
      <c r="H14" s="40">
        <f>('Flow cytometer'!F14/'Flow cytometer'!G14)*POWER(10,'Flow cytometer'!E14+2)*10.2</f>
        <v>1529708571.4285712</v>
      </c>
      <c r="I14" s="29">
        <v>3</v>
      </c>
      <c r="J14" s="29">
        <v>10482</v>
      </c>
      <c r="K14" s="29">
        <v>7</v>
      </c>
      <c r="L14" s="40">
        <f>('Flow cytometer'!J14/'Flow cytometer'!K14)*POWER(10,'Flow cytometer'!I14+2)*10.2</f>
        <v>1527377142.8571427</v>
      </c>
      <c r="M14" s="29">
        <v>3</v>
      </c>
      <c r="N14" s="29">
        <v>9797</v>
      </c>
      <c r="O14" s="29">
        <v>7</v>
      </c>
      <c r="P14" s="40">
        <f>('Flow cytometer'!N14/'Flow cytometer'!O14)*POWER(10,'Flow cytometer'!M14+2)*10.2</f>
        <v>1427562857.1428571</v>
      </c>
      <c r="Q14" s="43">
        <f>AVERAGE(H14,L14,P14)*Calculation!I14/Calculation!K13</f>
        <v>1567057810.3206928</v>
      </c>
      <c r="R14" s="44">
        <f>STDEV(H14,L14,P14)*Calculation!I14/Calculation!K13</f>
        <v>61127888.185348473</v>
      </c>
      <c r="S14" s="45">
        <f t="shared" si="0"/>
        <v>9.1950850183193644</v>
      </c>
      <c r="T14" s="45">
        <f t="shared" si="1"/>
        <v>21.17246569199505</v>
      </c>
      <c r="U14" s="45">
        <f t="shared" si="2"/>
        <v>9.1846087001797816</v>
      </c>
      <c r="V14" s="45">
        <f t="shared" si="3"/>
        <v>9.1839462871142352</v>
      </c>
      <c r="W14" s="45">
        <f t="shared" si="4"/>
        <v>9.1545952397965475</v>
      </c>
      <c r="X14" s="45">
        <f xml:space="preserve"> STDEV(U14:W14)*Calculation!I14/Calculation!K13</f>
        <v>1.7967812220824098E-2</v>
      </c>
    </row>
    <row r="15" spans="1:24">
      <c r="A15" s="50">
        <v>11</v>
      </c>
      <c r="B15" s="51">
        <v>1080</v>
      </c>
      <c r="C15" s="51">
        <v>2880</v>
      </c>
      <c r="D15" s="70">
        <v>48</v>
      </c>
      <c r="E15" s="29">
        <v>3</v>
      </c>
      <c r="F15" s="29">
        <v>16263</v>
      </c>
      <c r="G15" s="29">
        <v>7</v>
      </c>
      <c r="H15" s="40">
        <f>('Flow cytometer'!F15/'Flow cytometer'!G15)*POWER(10,'Flow cytometer'!E15+2)*10.2</f>
        <v>2369751428.5714283</v>
      </c>
      <c r="I15" s="29">
        <v>3</v>
      </c>
      <c r="J15" s="29">
        <v>18251</v>
      </c>
      <c r="K15" s="29">
        <v>7</v>
      </c>
      <c r="L15" s="40">
        <f>('Flow cytometer'!J15/'Flow cytometer'!K15)*POWER(10,'Flow cytometer'!I15+2)*10.2</f>
        <v>2659431428.5714283</v>
      </c>
      <c r="M15" s="29">
        <v>3</v>
      </c>
      <c r="N15" s="29">
        <v>14755</v>
      </c>
      <c r="O15" s="29">
        <v>7</v>
      </c>
      <c r="P15" s="40">
        <f>('Flow cytometer'!N15/'Flow cytometer'!O15)*POWER(10,'Flow cytometer'!M15+2)*10.2</f>
        <v>2150014285.7142854</v>
      </c>
      <c r="Q15" s="43">
        <f>AVERAGE(H15,L15,P15)*Calculation!I15/Calculation!K14</f>
        <v>2511022911.7150674</v>
      </c>
      <c r="R15" s="44">
        <f>STDEV(H15,L15,P15)*Calculation!I15/Calculation!K14</f>
        <v>268101867.40020704</v>
      </c>
      <c r="S15" s="45">
        <f t="shared" si="0"/>
        <v>9.399850675431372</v>
      </c>
      <c r="T15" s="45">
        <f t="shared" si="1"/>
        <v>21.643956041618289</v>
      </c>
      <c r="U15" s="45">
        <f t="shared" si="2"/>
        <v>9.3747027937479182</v>
      </c>
      <c r="V15" s="45">
        <f t="shared" si="3"/>
        <v>9.4247887968461193</v>
      </c>
      <c r="W15" s="45">
        <f t="shared" si="4"/>
        <v>9.3324413455836392</v>
      </c>
      <c r="X15" s="45">
        <f xml:space="preserve"> STDEV(U15:W15)*Calculation!I15/Calculation!K14</f>
        <v>4.8507622372312126E-2</v>
      </c>
    </row>
    <row r="55" spans="17:21">
      <c r="Q55" t="s">
        <v>117</v>
      </c>
    </row>
    <row r="56" spans="17:21" ht="16">
      <c r="Q56" t="s">
        <v>118</v>
      </c>
      <c r="R56">
        <v>0.53339999999999999</v>
      </c>
      <c r="S56" t="s">
        <v>119</v>
      </c>
    </row>
    <row r="57" spans="17:21">
      <c r="Q57" t="s">
        <v>120</v>
      </c>
    </row>
    <row r="58" spans="17:21" ht="16">
      <c r="Q58" t="s">
        <v>121</v>
      </c>
      <c r="R58">
        <v>14.782999999999999</v>
      </c>
    </row>
    <row r="60" spans="17:21" ht="16">
      <c r="Q60" t="s">
        <v>122</v>
      </c>
      <c r="R60">
        <v>0.99528000000000005</v>
      </c>
    </row>
    <row r="61" spans="17:21">
      <c r="U61" s="57"/>
    </row>
    <row r="62" spans="17:21">
      <c r="U62" s="57"/>
    </row>
    <row r="63" spans="17:21" ht="16">
      <c r="Q63" t="s">
        <v>123</v>
      </c>
      <c r="R63">
        <f>LN(2)/R56</f>
        <v>1.299488527483962</v>
      </c>
      <c r="S63" t="s">
        <v>124</v>
      </c>
      <c r="U63" s="57" t="s">
        <v>127</v>
      </c>
    </row>
    <row r="64" spans="17:21">
      <c r="U64" s="57"/>
    </row>
    <row r="65" spans="17:21">
      <c r="U65" s="57"/>
    </row>
    <row r="66" spans="17:21">
      <c r="Q66" s="57"/>
      <c r="R66" s="57" t="s">
        <v>125</v>
      </c>
      <c r="S66" s="57"/>
      <c r="T66" s="57" t="s">
        <v>126</v>
      </c>
    </row>
    <row r="67" spans="17:21">
      <c r="Q67" s="57"/>
      <c r="R67" s="57"/>
      <c r="S67" s="57"/>
      <c r="T67" s="57"/>
    </row>
    <row r="68" spans="17:21" ht="16">
      <c r="Q68">
        <v>0.53339999999999999</v>
      </c>
      <c r="R68" s="58">
        <f>AVERAGE(Q68:Q69)</f>
        <v>0.53339999999999999</v>
      </c>
      <c r="S68" s="57" t="s">
        <v>127</v>
      </c>
      <c r="T68" s="58" t="e">
        <f>STDEV(Q68:Q69)</f>
        <v>#DIV/0!</v>
      </c>
    </row>
    <row r="69" spans="17:21">
      <c r="Q69" s="57"/>
      <c r="R69" s="57"/>
      <c r="S69" s="57"/>
      <c r="T69" s="57"/>
    </row>
    <row r="70" spans="17:21">
      <c r="Q70" s="57"/>
      <c r="R70" s="57"/>
      <c r="S70" s="57"/>
      <c r="T70" s="57"/>
    </row>
    <row r="71" spans="17:21">
      <c r="R71" t="s">
        <v>128</v>
      </c>
    </row>
    <row r="73" spans="17:21">
      <c r="R73">
        <f>LN(2)/R68</f>
        <v>1.299488527483962</v>
      </c>
      <c r="S73" t="s">
        <v>124</v>
      </c>
    </row>
  </sheetData>
  <mergeCells count="8">
    <mergeCell ref="Q3:S3"/>
    <mergeCell ref="A1:A2"/>
    <mergeCell ref="E1:H1"/>
    <mergeCell ref="I1:L1"/>
    <mergeCell ref="M1:P1"/>
    <mergeCell ref="B1:B2"/>
    <mergeCell ref="C1:C2"/>
    <mergeCell ref="D1:D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8" sqref="H18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90" t="s">
        <v>4</v>
      </c>
      <c r="B1" s="90" t="s">
        <v>103</v>
      </c>
      <c r="C1" s="90" t="s">
        <v>103</v>
      </c>
      <c r="D1" s="90" t="s">
        <v>5</v>
      </c>
      <c r="E1" s="90" t="s">
        <v>19</v>
      </c>
      <c r="F1" s="90" t="s">
        <v>24</v>
      </c>
      <c r="G1" s="92" t="s">
        <v>25</v>
      </c>
      <c r="H1" s="93" t="s">
        <v>26</v>
      </c>
      <c r="I1" s="3" t="s">
        <v>27</v>
      </c>
      <c r="J1" s="52" t="s">
        <v>27</v>
      </c>
    </row>
    <row r="2" spans="1:10">
      <c r="A2" s="91"/>
      <c r="B2" s="91"/>
      <c r="C2" s="91"/>
      <c r="D2" s="91"/>
      <c r="E2" s="91"/>
      <c r="F2" s="91"/>
      <c r="G2" s="92"/>
      <c r="H2" s="93"/>
      <c r="I2" s="4" t="s">
        <v>28</v>
      </c>
      <c r="J2" s="53" t="s">
        <v>23</v>
      </c>
    </row>
    <row r="3" spans="1:10">
      <c r="A3" s="48" t="s">
        <v>6</v>
      </c>
      <c r="B3" s="49">
        <v>-10</v>
      </c>
      <c r="C3" s="49">
        <v>-10</v>
      </c>
      <c r="D3" s="60">
        <v>0</v>
      </c>
      <c r="E3" s="36">
        <v>1</v>
      </c>
      <c r="F3" s="46">
        <v>9.9000000000000005E-2</v>
      </c>
      <c r="G3" s="46">
        <v>9.9000000000000005E-2</v>
      </c>
      <c r="H3" s="46">
        <v>9.9000000000000005E-2</v>
      </c>
      <c r="I3" s="47">
        <f>E3*(AVERAGE(F3:H3)*1.6007-0.0118)</f>
        <v>0.14666930000000003</v>
      </c>
      <c r="J3" s="54">
        <f>E3*(STDEV(F3:H3)*1.6007)</f>
        <v>2.7206696834821082E-17</v>
      </c>
    </row>
    <row r="4" spans="1:10">
      <c r="A4" s="50">
        <v>0</v>
      </c>
      <c r="B4" s="51">
        <v>10</v>
      </c>
      <c r="C4" s="51">
        <v>10</v>
      </c>
      <c r="D4" s="70">
        <v>0</v>
      </c>
      <c r="E4" s="36">
        <v>1</v>
      </c>
      <c r="F4" s="46">
        <v>0.11600000000000001</v>
      </c>
      <c r="G4" s="46">
        <v>0.11600000000000001</v>
      </c>
      <c r="H4" s="46">
        <v>0.11600000000000001</v>
      </c>
      <c r="I4" s="47">
        <f>E4*(AVERAGE(F4:H4)*1.6007-0.0118)</f>
        <v>0.17388120000000001</v>
      </c>
      <c r="J4" s="54">
        <f t="shared" ref="J4:J15" si="0">E4*(STDEV(F4:H4)*1.6007)</f>
        <v>0</v>
      </c>
    </row>
    <row r="5" spans="1:10">
      <c r="A5" s="50">
        <v>1</v>
      </c>
      <c r="B5" s="51">
        <v>170</v>
      </c>
      <c r="C5" s="51">
        <v>180</v>
      </c>
      <c r="D5" s="70">
        <v>3</v>
      </c>
      <c r="E5" s="36">
        <v>1</v>
      </c>
      <c r="F5" s="46">
        <v>0.17</v>
      </c>
      <c r="G5" s="46">
        <v>0.17</v>
      </c>
      <c r="H5" s="46">
        <v>0.17</v>
      </c>
      <c r="I5" s="47">
        <f t="shared" ref="I5:I15" si="1">E5*(AVERAGE(F5:H5)*1.6007-0.0118)</f>
        <v>0.26031900000000002</v>
      </c>
      <c r="J5" s="54">
        <f t="shared" si="0"/>
        <v>0</v>
      </c>
    </row>
    <row r="6" spans="1:10">
      <c r="A6" s="50">
        <v>2</v>
      </c>
      <c r="B6" s="51">
        <v>180</v>
      </c>
      <c r="C6" s="51">
        <v>360</v>
      </c>
      <c r="D6" s="70">
        <v>6</v>
      </c>
      <c r="E6" s="36">
        <v>10</v>
      </c>
      <c r="F6" s="46">
        <v>5.6000000000000001E-2</v>
      </c>
      <c r="G6" s="46">
        <v>0.06</v>
      </c>
      <c r="H6" s="46">
        <v>5.5E-2</v>
      </c>
      <c r="I6" s="47">
        <f t="shared" si="1"/>
        <v>0.79439899999999997</v>
      </c>
      <c r="J6" s="54">
        <f t="shared" si="0"/>
        <v>4.2350541236210876E-2</v>
      </c>
    </row>
    <row r="7" spans="1:10">
      <c r="A7" s="50">
        <v>3</v>
      </c>
      <c r="B7" s="51">
        <v>180</v>
      </c>
      <c r="C7" s="51">
        <v>540</v>
      </c>
      <c r="D7" s="70">
        <v>9</v>
      </c>
      <c r="E7" s="36">
        <v>10</v>
      </c>
      <c r="F7" s="46">
        <v>6.4000000000000001E-2</v>
      </c>
      <c r="G7" s="46">
        <v>6.4000000000000001E-2</v>
      </c>
      <c r="H7" s="46">
        <v>6.5000000000000002E-2</v>
      </c>
      <c r="I7" s="47">
        <f t="shared" si="1"/>
        <v>0.91178366666666677</v>
      </c>
      <c r="J7" s="54">
        <f t="shared" si="0"/>
        <v>9.241645758918348E-3</v>
      </c>
    </row>
    <row r="8" spans="1:10">
      <c r="A8" s="50">
        <v>4</v>
      </c>
      <c r="B8" s="51">
        <v>180</v>
      </c>
      <c r="C8" s="51">
        <v>720</v>
      </c>
      <c r="D8" s="70">
        <v>12</v>
      </c>
      <c r="E8" s="36">
        <v>10</v>
      </c>
      <c r="F8" s="46">
        <v>0.09</v>
      </c>
      <c r="G8" s="46">
        <v>9.6000000000000002E-2</v>
      </c>
      <c r="H8" s="46">
        <v>9.2999999999999999E-2</v>
      </c>
      <c r="I8" s="47">
        <f t="shared" si="1"/>
        <v>1.3706510000000003</v>
      </c>
      <c r="J8" s="54">
        <f t="shared" si="0"/>
        <v>4.8021000000000043E-2</v>
      </c>
    </row>
    <row r="9" spans="1:10">
      <c r="A9" s="50">
        <v>5</v>
      </c>
      <c r="B9" s="51">
        <v>180</v>
      </c>
      <c r="C9" s="51">
        <v>900</v>
      </c>
      <c r="D9" s="70">
        <v>15</v>
      </c>
      <c r="E9" s="36">
        <v>10</v>
      </c>
      <c r="F9" s="46">
        <v>0.112</v>
      </c>
      <c r="G9" s="46">
        <v>0.106</v>
      </c>
      <c r="H9" s="46">
        <v>0.105</v>
      </c>
      <c r="I9" s="47">
        <f t="shared" si="1"/>
        <v>1.6054203333333334</v>
      </c>
      <c r="J9" s="54">
        <f t="shared" si="0"/>
        <v>6.0601523927483372E-2</v>
      </c>
    </row>
    <row r="10" spans="1:10">
      <c r="A10" s="50">
        <v>6</v>
      </c>
      <c r="B10" s="51">
        <v>180</v>
      </c>
      <c r="C10" s="51">
        <v>1080</v>
      </c>
      <c r="D10" s="70">
        <v>18</v>
      </c>
      <c r="E10" s="36">
        <v>10</v>
      </c>
      <c r="F10" s="46">
        <v>0.1</v>
      </c>
      <c r="G10" s="46">
        <v>0.108</v>
      </c>
      <c r="H10" s="46">
        <v>0.104</v>
      </c>
      <c r="I10" s="47">
        <f t="shared" si="1"/>
        <v>1.5467279999999999</v>
      </c>
      <c r="J10" s="54">
        <f t="shared" si="0"/>
        <v>6.4027999999999946E-2</v>
      </c>
    </row>
    <row r="11" spans="1:10">
      <c r="A11" s="50">
        <v>7</v>
      </c>
      <c r="B11" s="51">
        <v>180</v>
      </c>
      <c r="C11" s="51">
        <v>1260</v>
      </c>
      <c r="D11" s="70">
        <v>21</v>
      </c>
      <c r="E11" s="36">
        <v>10</v>
      </c>
      <c r="F11" s="46">
        <v>9.5000000000000001E-2</v>
      </c>
      <c r="G11" s="46">
        <v>9.7000000000000003E-2</v>
      </c>
      <c r="H11" s="46">
        <v>9.4E-2</v>
      </c>
      <c r="I11" s="47">
        <f t="shared" si="1"/>
        <v>1.4080006666666667</v>
      </c>
      <c r="J11" s="54">
        <f t="shared" si="0"/>
        <v>2.4451096383052734E-2</v>
      </c>
    </row>
    <row r="12" spans="1:10">
      <c r="A12" s="50">
        <v>8</v>
      </c>
      <c r="B12" s="51">
        <v>180</v>
      </c>
      <c r="C12" s="51">
        <v>1440</v>
      </c>
      <c r="D12" s="70">
        <v>24</v>
      </c>
      <c r="E12" s="36">
        <v>10</v>
      </c>
      <c r="F12" s="46">
        <v>8.4000000000000005E-2</v>
      </c>
      <c r="G12" s="46">
        <v>8.7999999999999995E-2</v>
      </c>
      <c r="H12" s="46">
        <v>8.3000000000000004E-2</v>
      </c>
      <c r="I12" s="47">
        <f t="shared" si="1"/>
        <v>1.2425949999999999</v>
      </c>
      <c r="J12" s="54">
        <f t="shared" si="0"/>
        <v>4.2350541236210813E-2</v>
      </c>
    </row>
    <row r="13" spans="1:10">
      <c r="A13" s="50">
        <v>9</v>
      </c>
      <c r="B13" s="51">
        <v>180</v>
      </c>
      <c r="C13" s="51">
        <v>1620</v>
      </c>
      <c r="D13" s="70">
        <v>27</v>
      </c>
      <c r="E13" s="36">
        <v>10</v>
      </c>
      <c r="F13" s="46">
        <v>0.106</v>
      </c>
      <c r="G13" s="46">
        <v>8.3000000000000004E-2</v>
      </c>
      <c r="H13" s="46">
        <v>0.10299999999999999</v>
      </c>
      <c r="I13" s="47">
        <f t="shared" si="1"/>
        <v>1.4400146666666667</v>
      </c>
      <c r="J13" s="54">
        <f t="shared" si="0"/>
        <v>0.20014084955434291</v>
      </c>
    </row>
    <row r="14" spans="1:10">
      <c r="A14" s="50">
        <v>10</v>
      </c>
      <c r="B14" s="51">
        <v>180</v>
      </c>
      <c r="C14" s="51">
        <v>1800</v>
      </c>
      <c r="D14" s="70">
        <v>30</v>
      </c>
      <c r="E14" s="36">
        <v>10</v>
      </c>
      <c r="F14" s="46">
        <v>6.8000000000000005E-2</v>
      </c>
      <c r="G14" s="46">
        <v>7.2999999999999995E-2</v>
      </c>
      <c r="H14" s="46">
        <v>7.1999999999999995E-2</v>
      </c>
      <c r="I14" s="47">
        <f t="shared" si="1"/>
        <v>1.018497</v>
      </c>
      <c r="J14" s="54">
        <f t="shared" si="0"/>
        <v>4.2350541236210813E-2</v>
      </c>
    </row>
    <row r="15" spans="1:10">
      <c r="A15" s="50">
        <v>11</v>
      </c>
      <c r="B15" s="51">
        <v>1080</v>
      </c>
      <c r="C15" s="51">
        <v>2880</v>
      </c>
      <c r="D15" s="70">
        <v>48</v>
      </c>
      <c r="E15" s="36">
        <v>10</v>
      </c>
      <c r="F15" s="46">
        <v>2.7E-2</v>
      </c>
      <c r="G15" s="46">
        <v>2.5999999999999999E-2</v>
      </c>
      <c r="H15" s="46">
        <v>2.5999999999999999E-2</v>
      </c>
      <c r="I15" s="47">
        <f t="shared" si="1"/>
        <v>0.30351766666666669</v>
      </c>
      <c r="J15" s="54">
        <f t="shared" si="0"/>
        <v>9.241645758918348E-3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O20" sqref="O20"/>
    </sheetView>
  </sheetViews>
  <sheetFormatPr baseColWidth="10" defaultColWidth="8.83203125" defaultRowHeight="14" x14ac:dyDescent="0"/>
  <cols>
    <col min="1" max="2" width="8.83203125" style="2"/>
    <col min="3" max="3" width="10.83203125" style="2" bestFit="1" customWidth="1"/>
    <col min="4" max="4" width="12.1640625" style="2" bestFit="1" customWidth="1"/>
    <col min="5" max="16384" width="8.83203125" style="2"/>
  </cols>
  <sheetData>
    <row r="1" spans="1:7">
      <c r="A1" s="90" t="s">
        <v>4</v>
      </c>
      <c r="B1" s="90" t="s">
        <v>103</v>
      </c>
      <c r="C1" s="90" t="s">
        <v>103</v>
      </c>
      <c r="D1" s="90" t="s">
        <v>5</v>
      </c>
      <c r="E1" s="3" t="s">
        <v>29</v>
      </c>
      <c r="F1" s="3" t="s">
        <v>2</v>
      </c>
      <c r="G1" s="3" t="s">
        <v>32</v>
      </c>
    </row>
    <row r="2" spans="1:7">
      <c r="A2" s="91"/>
      <c r="B2" s="91"/>
      <c r="C2" s="91"/>
      <c r="D2" s="91"/>
      <c r="E2" s="4" t="s">
        <v>30</v>
      </c>
      <c r="F2" s="4" t="s">
        <v>31</v>
      </c>
      <c r="G2" s="4" t="s">
        <v>33</v>
      </c>
    </row>
    <row r="3" spans="1:7">
      <c r="A3" s="48" t="s">
        <v>6</v>
      </c>
      <c r="B3" s="49">
        <v>-10</v>
      </c>
      <c r="C3" s="49">
        <v>-10</v>
      </c>
      <c r="D3" s="60">
        <v>0</v>
      </c>
      <c r="E3" s="1"/>
      <c r="F3" s="1"/>
      <c r="G3" s="1" t="e">
        <f>(F3-$C$17)/E3*1000*Calculation!I4/Calculation!K3</f>
        <v>#DIV/0!</v>
      </c>
    </row>
    <row r="4" spans="1:7">
      <c r="A4" s="50">
        <v>0</v>
      </c>
      <c r="B4" s="51">
        <v>10</v>
      </c>
      <c r="C4" s="51">
        <v>10</v>
      </c>
      <c r="D4" s="70">
        <v>0</v>
      </c>
      <c r="E4" s="1"/>
      <c r="F4" s="1"/>
      <c r="G4" s="1" t="e">
        <f>(F4-$C$17)/E4*1000*Calculation!I5/Calculation!K4</f>
        <v>#DIV/0!</v>
      </c>
    </row>
    <row r="5" spans="1:7">
      <c r="A5" s="50">
        <v>1</v>
      </c>
      <c r="B5" s="51">
        <v>170</v>
      </c>
      <c r="C5" s="51">
        <v>180</v>
      </c>
      <c r="D5" s="70">
        <v>3</v>
      </c>
      <c r="E5" s="1"/>
      <c r="F5" s="1"/>
      <c r="G5" s="1" t="e">
        <f>(F5-$C$17)/E5*1000*Calculation!I6/Calculation!K5</f>
        <v>#DIV/0!</v>
      </c>
    </row>
    <row r="6" spans="1:7">
      <c r="A6" s="50">
        <v>2</v>
      </c>
      <c r="B6" s="51">
        <v>180</v>
      </c>
      <c r="C6" s="51">
        <v>360</v>
      </c>
      <c r="D6" s="70">
        <v>6</v>
      </c>
      <c r="E6" s="1"/>
      <c r="F6" s="1"/>
      <c r="G6" s="1" t="e">
        <f>(F6-$C$17)/E6*1000*Calculation!I7/Calculation!K6</f>
        <v>#DIV/0!</v>
      </c>
    </row>
    <row r="7" spans="1:7">
      <c r="A7" s="50">
        <v>3</v>
      </c>
      <c r="B7" s="51">
        <v>180</v>
      </c>
      <c r="C7" s="51">
        <v>540</v>
      </c>
      <c r="D7" s="70">
        <v>9</v>
      </c>
      <c r="E7" s="1"/>
      <c r="F7" s="1"/>
      <c r="G7" s="1" t="e">
        <f>(F7-$C$17)/E7*1000*Calculation!I8/Calculation!K7</f>
        <v>#DIV/0!</v>
      </c>
    </row>
    <row r="8" spans="1:7">
      <c r="A8" s="50">
        <v>4</v>
      </c>
      <c r="B8" s="51">
        <v>180</v>
      </c>
      <c r="C8" s="51">
        <v>720</v>
      </c>
      <c r="D8" s="70">
        <v>12</v>
      </c>
      <c r="E8" s="1"/>
      <c r="F8" s="1"/>
      <c r="G8" s="1" t="e">
        <f>(F8-$C$17)/E8*1000*Calculation!I9/Calculation!K8</f>
        <v>#DIV/0!</v>
      </c>
    </row>
    <row r="9" spans="1:7">
      <c r="A9" s="50">
        <v>5</v>
      </c>
      <c r="B9" s="51">
        <v>180</v>
      </c>
      <c r="C9" s="51">
        <v>900</v>
      </c>
      <c r="D9" s="70">
        <v>15</v>
      </c>
      <c r="E9" s="1"/>
      <c r="F9" s="1"/>
      <c r="G9" s="1" t="e">
        <f>(F9-$C$17)/E9*1000*Calculation!I10/Calculation!K9</f>
        <v>#DIV/0!</v>
      </c>
    </row>
    <row r="10" spans="1:7">
      <c r="A10" s="50">
        <v>6</v>
      </c>
      <c r="B10" s="51">
        <v>180</v>
      </c>
      <c r="C10" s="51">
        <v>1080</v>
      </c>
      <c r="D10" s="70">
        <v>18</v>
      </c>
      <c r="E10" s="1"/>
      <c r="F10" s="1"/>
      <c r="G10" s="1" t="e">
        <f>(F10-$C$17)/E10*1000*Calculation!I11/Calculation!K10</f>
        <v>#DIV/0!</v>
      </c>
    </row>
    <row r="11" spans="1:7">
      <c r="A11" s="50">
        <v>7</v>
      </c>
      <c r="B11" s="51">
        <v>180</v>
      </c>
      <c r="C11" s="51">
        <v>1260</v>
      </c>
      <c r="D11" s="70">
        <v>21</v>
      </c>
      <c r="E11" s="1"/>
      <c r="F11" s="1"/>
      <c r="G11" s="1" t="e">
        <f>(F11-$C$17)/E11*1000*Calculation!I12/Calculation!K11</f>
        <v>#DIV/0!</v>
      </c>
    </row>
    <row r="12" spans="1:7">
      <c r="A12" s="50">
        <v>8</v>
      </c>
      <c r="B12" s="51">
        <v>180</v>
      </c>
      <c r="C12" s="51">
        <v>1440</v>
      </c>
      <c r="D12" s="70">
        <v>24</v>
      </c>
      <c r="E12" s="1"/>
      <c r="F12" s="1"/>
      <c r="G12" s="1" t="e">
        <f>(F12-$C$17)/E12*1000*Calculation!I13/Calculation!K12</f>
        <v>#DIV/0!</v>
      </c>
    </row>
    <row r="13" spans="1:7">
      <c r="A13" s="50">
        <v>9</v>
      </c>
      <c r="B13" s="51">
        <v>180</v>
      </c>
      <c r="C13" s="51">
        <v>1620</v>
      </c>
      <c r="D13" s="70">
        <v>27</v>
      </c>
      <c r="E13" s="33"/>
      <c r="F13" s="33"/>
      <c r="G13" s="33" t="e">
        <f>(F13-$C$17)/E13*1000*Calculation!I14/Calculation!K13</f>
        <v>#DIV/0!</v>
      </c>
    </row>
    <row r="14" spans="1:7">
      <c r="A14" s="50">
        <v>10</v>
      </c>
      <c r="B14" s="51">
        <v>180</v>
      </c>
      <c r="C14" s="51">
        <v>1800</v>
      </c>
      <c r="D14" s="70">
        <v>30</v>
      </c>
      <c r="E14" s="33"/>
      <c r="F14" s="33"/>
      <c r="G14" s="33" t="e">
        <f>(F14-$C$17)/E14*1000*Calculation!I15/Calculation!K14</f>
        <v>#DIV/0!</v>
      </c>
    </row>
    <row r="15" spans="1:7">
      <c r="A15" s="50">
        <v>11</v>
      </c>
      <c r="B15" s="51">
        <v>1080</v>
      </c>
      <c r="C15" s="51">
        <v>2880</v>
      </c>
      <c r="D15" s="70">
        <v>48</v>
      </c>
      <c r="E15" s="33"/>
      <c r="F15" s="33"/>
      <c r="G15" s="33" t="e">
        <f>(F15-$C$17)/E15*1000*Calculation!#REF!/Calculation!K15</f>
        <v>#DIV/0!</v>
      </c>
    </row>
    <row r="16" spans="1:7">
      <c r="A16" s="59"/>
      <c r="B16" s="51"/>
      <c r="C16" s="51"/>
      <c r="D16" s="61"/>
    </row>
    <row r="17" spans="1:3" ht="15" customHeight="1">
      <c r="A17" s="101" t="s">
        <v>3</v>
      </c>
      <c r="B17" s="102"/>
      <c r="C17" s="1"/>
    </row>
  </sheetData>
  <mergeCells count="5">
    <mergeCell ref="A17:B17"/>
    <mergeCell ref="A1:A2"/>
    <mergeCell ref="B1:B2"/>
    <mergeCell ref="C1:C2"/>
    <mergeCell ref="D1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149"/>
  <sheetViews>
    <sheetView workbookViewId="0">
      <selection activeCell="F5" sqref="F5:F149"/>
    </sheetView>
  </sheetViews>
  <sheetFormatPr baseColWidth="10" defaultColWidth="8.83203125" defaultRowHeight="14" x14ac:dyDescent="0"/>
  <cols>
    <col min="4" max="4" width="9.33203125" bestFit="1" customWidth="1"/>
    <col min="5" max="5" width="22.33203125" bestFit="1" customWidth="1"/>
    <col min="6" max="6" width="13.6640625" bestFit="1" customWidth="1"/>
    <col min="9" max="9" width="9.1640625" bestFit="1" customWidth="1"/>
    <col min="10" max="10" width="12" bestFit="1" customWidth="1"/>
    <col min="11" max="11" width="8.5" customWidth="1"/>
  </cols>
  <sheetData>
    <row r="1" spans="1:10">
      <c r="A1" s="21" t="s">
        <v>49</v>
      </c>
      <c r="B1" s="10">
        <v>70.3</v>
      </c>
      <c r="C1" s="24" t="s">
        <v>50</v>
      </c>
      <c r="D1" s="2"/>
      <c r="E1" s="2"/>
      <c r="F1" s="2"/>
      <c r="G1" s="2"/>
    </row>
    <row r="2" spans="1:10">
      <c r="A2" s="2"/>
      <c r="B2" s="2"/>
      <c r="C2" s="2"/>
      <c r="D2" s="2"/>
      <c r="E2" s="2"/>
      <c r="F2" s="2"/>
      <c r="G2" s="2"/>
    </row>
    <row r="3" spans="1:10">
      <c r="A3" s="92" t="s">
        <v>5</v>
      </c>
      <c r="B3" s="92" t="s">
        <v>36</v>
      </c>
      <c r="C3" s="92"/>
      <c r="D3" s="92" t="s">
        <v>51</v>
      </c>
      <c r="E3" s="92"/>
      <c r="F3" s="92"/>
      <c r="G3" s="21" t="s">
        <v>52</v>
      </c>
    </row>
    <row r="4" spans="1:10">
      <c r="A4" s="92"/>
      <c r="B4" s="21" t="s">
        <v>53</v>
      </c>
      <c r="C4" s="21" t="s">
        <v>54</v>
      </c>
      <c r="D4" s="21" t="s">
        <v>55</v>
      </c>
      <c r="E4" s="21" t="s">
        <v>56</v>
      </c>
      <c r="F4" s="21" t="s">
        <v>57</v>
      </c>
      <c r="G4" s="21" t="s">
        <v>58</v>
      </c>
    </row>
    <row r="5" spans="1:10">
      <c r="A5" s="10">
        <v>0</v>
      </c>
      <c r="B5" s="10">
        <v>6.77</v>
      </c>
      <c r="C5" s="10">
        <f>B5/1000</f>
        <v>6.77E-3</v>
      </c>
      <c r="D5" s="10">
        <f>C5/1000*$B$1</f>
        <v>4.7593099999999997E-4</v>
      </c>
      <c r="E5" s="10">
        <f>D5/22.4</f>
        <v>2.1246919642857143E-5</v>
      </c>
      <c r="F5" s="10">
        <f>E5/Calculation!K$4*1000</f>
        <v>1.4298061670832533E-5</v>
      </c>
      <c r="G5" s="10">
        <f>(0+F5)/2*30</f>
        <v>2.1447092506248801E-4</v>
      </c>
      <c r="I5" s="115">
        <v>-0.16666666666666666</v>
      </c>
      <c r="J5" t="s">
        <v>175</v>
      </c>
    </row>
    <row r="6" spans="1:10">
      <c r="A6" s="10">
        <v>0.5</v>
      </c>
      <c r="B6" s="10">
        <v>5479.08</v>
      </c>
      <c r="C6" s="10">
        <f t="shared" ref="C6:C69" si="0">B6/1000</f>
        <v>5.4790799999999997</v>
      </c>
      <c r="D6" s="10">
        <f>C6/1000*$B$1</f>
        <v>0.38517932399999999</v>
      </c>
      <c r="E6" s="10">
        <f>D6/22.4</f>
        <v>1.7195505535714285E-2</v>
      </c>
      <c r="F6" s="10">
        <f>E6/Calculation!K$4*1000</f>
        <v>1.1571672635070179E-2</v>
      </c>
      <c r="G6" s="10">
        <f>G5+(F6+F5)/2*30</f>
        <v>0.17400403137617768</v>
      </c>
      <c r="I6" s="115">
        <v>0.16666666666666666</v>
      </c>
      <c r="J6" t="s">
        <v>176</v>
      </c>
    </row>
    <row r="7" spans="1:10">
      <c r="A7" s="10">
        <v>1</v>
      </c>
      <c r="B7" s="10">
        <v>14581.54</v>
      </c>
      <c r="C7" s="10">
        <f t="shared" si="0"/>
        <v>14.58154</v>
      </c>
      <c r="D7" s="10">
        <f t="shared" ref="D7:D69" si="1">C7/1000*$B$1</f>
        <v>1.025082262</v>
      </c>
      <c r="E7" s="10">
        <f t="shared" ref="E7:E69" si="2">D7/22.4</f>
        <v>4.5762600982142861E-2</v>
      </c>
      <c r="F7" s="10">
        <f>E7/Calculation!K$4*1000</f>
        <v>3.0795828386368011E-2</v>
      </c>
      <c r="G7" s="10">
        <f t="shared" ref="G7:G70" si="3">G6+(F7+F6)/2*30</f>
        <v>0.80951654669775053</v>
      </c>
      <c r="I7" s="115">
        <v>3</v>
      </c>
      <c r="J7" t="s">
        <v>177</v>
      </c>
    </row>
    <row r="8" spans="1:10">
      <c r="A8" s="10">
        <v>1.5</v>
      </c>
      <c r="B8" s="10">
        <v>18295.62</v>
      </c>
      <c r="C8" s="10">
        <f t="shared" si="0"/>
        <v>18.29562</v>
      </c>
      <c r="D8" s="10">
        <f t="shared" si="1"/>
        <v>1.2861820859999999</v>
      </c>
      <c r="E8" s="10">
        <f t="shared" si="2"/>
        <v>5.7418843125000001E-2</v>
      </c>
      <c r="F8" s="10">
        <f>E8/Calculation!K$4*1000</f>
        <v>3.863986751345895E-2</v>
      </c>
      <c r="G8" s="10">
        <f t="shared" si="3"/>
        <v>1.8510519851951548</v>
      </c>
      <c r="I8" s="115">
        <v>6</v>
      </c>
      <c r="J8" t="s">
        <v>178</v>
      </c>
    </row>
    <row r="9" spans="1:10">
      <c r="A9" s="10">
        <v>2</v>
      </c>
      <c r="B9" s="10">
        <v>27242.43</v>
      </c>
      <c r="C9" s="10">
        <f t="shared" si="0"/>
        <v>27.242429999999999</v>
      </c>
      <c r="D9" s="10">
        <f t="shared" si="1"/>
        <v>1.9151428289999999</v>
      </c>
      <c r="E9" s="10">
        <f t="shared" si="2"/>
        <v>8.5497447723214284E-2</v>
      </c>
      <c r="F9" s="10">
        <f>E9/Calculation!K$4*1000</f>
        <v>5.7535294564747166E-2</v>
      </c>
      <c r="G9" s="10">
        <f t="shared" si="3"/>
        <v>3.2936794163682466</v>
      </c>
      <c r="I9" s="115">
        <v>9</v>
      </c>
      <c r="J9" t="s">
        <v>179</v>
      </c>
    </row>
    <row r="10" spans="1:10">
      <c r="A10" s="10">
        <v>2.5</v>
      </c>
      <c r="B10" s="10">
        <v>21423.62</v>
      </c>
      <c r="C10" s="10">
        <f t="shared" si="0"/>
        <v>21.42362</v>
      </c>
      <c r="D10" s="10">
        <f t="shared" si="1"/>
        <v>1.5060804860000001</v>
      </c>
      <c r="E10" s="10">
        <f t="shared" si="2"/>
        <v>6.7235735982142872E-2</v>
      </c>
      <c r="F10" s="10">
        <f>E10/Calculation!K$4*1000</f>
        <v>4.5246121118534904E-2</v>
      </c>
      <c r="G10" s="10">
        <f t="shared" si="3"/>
        <v>4.8354006516174781</v>
      </c>
      <c r="I10" s="115">
        <v>12</v>
      </c>
      <c r="J10" t="s">
        <v>180</v>
      </c>
    </row>
    <row r="11" spans="1:10">
      <c r="A11" s="10">
        <v>3</v>
      </c>
      <c r="B11" s="10">
        <v>22905.73</v>
      </c>
      <c r="C11" s="10">
        <f t="shared" si="0"/>
        <v>22.905729999999998</v>
      </c>
      <c r="D11" s="10">
        <f t="shared" si="1"/>
        <v>1.610272819</v>
      </c>
      <c r="E11" s="10">
        <f t="shared" si="2"/>
        <v>7.1887179419642858E-2</v>
      </c>
      <c r="F11" s="10">
        <f>E11/Calculation!K$5*1000</f>
        <v>4.9921652374751983E-2</v>
      </c>
      <c r="G11" s="10">
        <f t="shared" si="3"/>
        <v>6.2629172540167817</v>
      </c>
      <c r="I11" s="115">
        <v>15</v>
      </c>
      <c r="J11" t="s">
        <v>181</v>
      </c>
    </row>
    <row r="12" spans="1:10">
      <c r="A12" s="10">
        <v>3.5</v>
      </c>
      <c r="B12" s="10">
        <v>24650.42</v>
      </c>
      <c r="C12" s="10">
        <f t="shared" si="0"/>
        <v>24.650419999999997</v>
      </c>
      <c r="D12" s="10">
        <f t="shared" si="1"/>
        <v>1.7329245259999997</v>
      </c>
      <c r="E12" s="10">
        <f t="shared" si="2"/>
        <v>7.7362702053571417E-2</v>
      </c>
      <c r="F12" s="10">
        <f>E12/Calculation!K$5*1000</f>
        <v>5.3724098648313484E-2</v>
      </c>
      <c r="G12" s="10">
        <f t="shared" si="3"/>
        <v>7.8176035193627635</v>
      </c>
      <c r="I12" s="115">
        <v>18</v>
      </c>
      <c r="J12" t="s">
        <v>182</v>
      </c>
    </row>
    <row r="13" spans="1:10">
      <c r="A13" s="10">
        <v>4</v>
      </c>
      <c r="B13" s="10">
        <v>27241.07</v>
      </c>
      <c r="C13" s="10">
        <f t="shared" si="0"/>
        <v>27.241070000000001</v>
      </c>
      <c r="D13" s="10">
        <f t="shared" si="1"/>
        <v>1.9150472209999998</v>
      </c>
      <c r="E13" s="10">
        <f t="shared" si="2"/>
        <v>8.5493179508928568E-2</v>
      </c>
      <c r="F13" s="10">
        <f>E13/Calculation!K$5*1000</f>
        <v>5.9370263547867057E-2</v>
      </c>
      <c r="G13" s="10">
        <f t="shared" si="3"/>
        <v>9.5140189523054719</v>
      </c>
      <c r="I13" s="115">
        <v>21</v>
      </c>
      <c r="J13" t="s">
        <v>183</v>
      </c>
    </row>
    <row r="14" spans="1:10">
      <c r="A14" s="10">
        <v>4.5</v>
      </c>
      <c r="B14" s="10">
        <v>31247.51</v>
      </c>
      <c r="C14" s="10">
        <f t="shared" si="0"/>
        <v>31.247509999999998</v>
      </c>
      <c r="D14" s="10">
        <f t="shared" si="1"/>
        <v>2.196699953</v>
      </c>
      <c r="E14" s="10">
        <f t="shared" si="2"/>
        <v>9.8066962187500009E-2</v>
      </c>
      <c r="F14" s="10">
        <f>E14/Calculation!K$5*1000</f>
        <v>6.8102057074652791E-2</v>
      </c>
      <c r="G14" s="10">
        <f t="shared" si="3"/>
        <v>11.426103761643269</v>
      </c>
      <c r="I14" s="115">
        <v>24</v>
      </c>
      <c r="J14" t="s">
        <v>184</v>
      </c>
    </row>
    <row r="15" spans="1:10">
      <c r="A15" s="10">
        <v>5</v>
      </c>
      <c r="B15" s="10">
        <v>35002.199999999997</v>
      </c>
      <c r="C15" s="10">
        <f t="shared" si="0"/>
        <v>35.002199999999995</v>
      </c>
      <c r="D15" s="10">
        <f t="shared" si="1"/>
        <v>2.4606546599999999</v>
      </c>
      <c r="E15" s="10">
        <f t="shared" si="2"/>
        <v>0.10985065446428571</v>
      </c>
      <c r="F15" s="10">
        <f>E15/Calculation!K$5*1000</f>
        <v>7.6285176711309521E-2</v>
      </c>
      <c r="G15" s="10">
        <f t="shared" si="3"/>
        <v>13.591912268432704</v>
      </c>
      <c r="I15" s="115">
        <v>27</v>
      </c>
      <c r="J15" t="s">
        <v>185</v>
      </c>
    </row>
    <row r="16" spans="1:10">
      <c r="A16" s="10">
        <v>5.5</v>
      </c>
      <c r="B16" s="10">
        <v>42859.42</v>
      </c>
      <c r="C16" s="10">
        <f t="shared" si="0"/>
        <v>42.85942</v>
      </c>
      <c r="D16" s="10">
        <f t="shared" si="1"/>
        <v>3.0130172260000001</v>
      </c>
      <c r="E16" s="10">
        <f t="shared" si="2"/>
        <v>0.13450969758928571</v>
      </c>
      <c r="F16" s="10">
        <f>E16/Calculation!K$5*1000</f>
        <v>9.3409512214781748E-2</v>
      </c>
      <c r="G16" s="10">
        <f t="shared" si="3"/>
        <v>16.137332602324072</v>
      </c>
      <c r="I16" s="115">
        <v>30</v>
      </c>
      <c r="J16" t="s">
        <v>186</v>
      </c>
    </row>
    <row r="17" spans="1:10">
      <c r="A17" s="10">
        <v>6</v>
      </c>
      <c r="B17" s="10">
        <v>52075.58</v>
      </c>
      <c r="C17" s="10">
        <f t="shared" si="0"/>
        <v>52.075580000000002</v>
      </c>
      <c r="D17" s="10">
        <f t="shared" si="1"/>
        <v>3.6609132739999999</v>
      </c>
      <c r="E17" s="10">
        <f t="shared" si="2"/>
        <v>0.16343362830357144</v>
      </c>
      <c r="F17" s="10">
        <f>E17/Calculation!K$6*1000</f>
        <v>0.11757814985868449</v>
      </c>
      <c r="G17" s="10">
        <f t="shared" si="3"/>
        <v>19.302147533426066</v>
      </c>
      <c r="I17" s="115">
        <v>48</v>
      </c>
      <c r="J17" t="s">
        <v>187</v>
      </c>
    </row>
    <row r="18" spans="1:10">
      <c r="A18" s="10">
        <v>6.5</v>
      </c>
      <c r="B18" s="10">
        <v>59235.73</v>
      </c>
      <c r="C18" s="10">
        <f t="shared" si="0"/>
        <v>59.235730000000004</v>
      </c>
      <c r="D18" s="10">
        <f t="shared" si="1"/>
        <v>4.1642718189999997</v>
      </c>
      <c r="E18" s="10">
        <f t="shared" si="2"/>
        <v>0.18590499191964285</v>
      </c>
      <c r="F18" s="10">
        <f>E18/Calculation!K$6*1000</f>
        <v>0.1337445985033402</v>
      </c>
      <c r="G18" s="10">
        <f t="shared" si="3"/>
        <v>23.071988758856435</v>
      </c>
    </row>
    <row r="19" spans="1:10">
      <c r="A19" s="10">
        <v>7</v>
      </c>
      <c r="B19" s="10">
        <v>83546.42</v>
      </c>
      <c r="C19" s="10">
        <f t="shared" si="0"/>
        <v>83.546419999999998</v>
      </c>
      <c r="D19" s="10">
        <f t="shared" si="1"/>
        <v>5.8733133259999999</v>
      </c>
      <c r="E19" s="10">
        <f t="shared" si="2"/>
        <v>0.26220148776785718</v>
      </c>
      <c r="F19" s="10">
        <f>E19/Calculation!K$6*1000</f>
        <v>0.18863416386176776</v>
      </c>
      <c r="G19" s="10">
        <f t="shared" si="3"/>
        <v>27.907670194333054</v>
      </c>
    </row>
    <row r="20" spans="1:10">
      <c r="A20" s="10">
        <v>7.5</v>
      </c>
      <c r="B20" s="10">
        <v>71575.839999999997</v>
      </c>
      <c r="C20" s="10">
        <f t="shared" si="0"/>
        <v>71.575839999999999</v>
      </c>
      <c r="D20" s="10">
        <f t="shared" si="1"/>
        <v>5.031781552</v>
      </c>
      <c r="E20" s="10">
        <f t="shared" si="2"/>
        <v>0.22463310500000003</v>
      </c>
      <c r="F20" s="10">
        <f>E20/Calculation!K$6*1000</f>
        <v>0.16160655035971225</v>
      </c>
      <c r="G20" s="10">
        <f t="shared" si="3"/>
        <v>33.161280907655254</v>
      </c>
    </row>
    <row r="21" spans="1:10">
      <c r="A21" s="10">
        <v>8</v>
      </c>
      <c r="B21" s="10">
        <v>73282.63</v>
      </c>
      <c r="C21" s="10">
        <f t="shared" si="0"/>
        <v>73.282630000000012</v>
      </c>
      <c r="D21" s="10">
        <f t="shared" si="1"/>
        <v>5.1517688890000013</v>
      </c>
      <c r="E21" s="10">
        <f t="shared" si="2"/>
        <v>0.22998968254464294</v>
      </c>
      <c r="F21" s="10">
        <f>E21/Calculation!K$6*1000</f>
        <v>0.16546020326952729</v>
      </c>
      <c r="G21" s="10">
        <f t="shared" si="3"/>
        <v>38.067282212093843</v>
      </c>
    </row>
    <row r="22" spans="1:10">
      <c r="A22" s="10">
        <v>8.5</v>
      </c>
      <c r="B22" s="10">
        <v>67137.62</v>
      </c>
      <c r="C22" s="10">
        <f t="shared" si="0"/>
        <v>67.137619999999998</v>
      </c>
      <c r="D22" s="10">
        <f t="shared" si="1"/>
        <v>4.7197746859999992</v>
      </c>
      <c r="E22" s="10">
        <f t="shared" si="2"/>
        <v>0.21070422705357139</v>
      </c>
      <c r="F22" s="10">
        <f>E22/Calculation!K$6*1000</f>
        <v>0.15158577485868446</v>
      </c>
      <c r="G22" s="10">
        <f t="shared" si="3"/>
        <v>42.822971884017022</v>
      </c>
    </row>
    <row r="23" spans="1:10">
      <c r="A23" s="10">
        <v>9</v>
      </c>
      <c r="B23" s="10">
        <v>60880.27</v>
      </c>
      <c r="C23" s="10">
        <f t="shared" si="0"/>
        <v>60.880269999999996</v>
      </c>
      <c r="D23" s="10">
        <f t="shared" si="1"/>
        <v>4.2798829809999992</v>
      </c>
      <c r="E23" s="10">
        <f t="shared" si="2"/>
        <v>0.19106620450892856</v>
      </c>
      <c r="F23" s="10">
        <f>E23/Calculation!K$7*1000</f>
        <v>0.14193117656467596</v>
      </c>
      <c r="G23" s="10">
        <f t="shared" si="3"/>
        <v>47.225726155367425</v>
      </c>
    </row>
    <row r="24" spans="1:10">
      <c r="A24" s="10">
        <v>9.5</v>
      </c>
      <c r="B24" s="10">
        <v>54480.800000000003</v>
      </c>
      <c r="C24" s="10">
        <f t="shared" si="0"/>
        <v>54.480800000000002</v>
      </c>
      <c r="D24" s="10">
        <f t="shared" si="1"/>
        <v>3.8300002399999999</v>
      </c>
      <c r="E24" s="10">
        <f t="shared" si="2"/>
        <v>0.17098215357142857</v>
      </c>
      <c r="F24" s="10">
        <f>E24/Calculation!K$7*1000</f>
        <v>0.12701198671071595</v>
      </c>
      <c r="G24" s="10">
        <f t="shared" si="3"/>
        <v>51.259873604498303</v>
      </c>
    </row>
    <row r="25" spans="1:10">
      <c r="A25" s="10">
        <v>10</v>
      </c>
      <c r="B25" s="10">
        <v>47022.86</v>
      </c>
      <c r="C25" s="10">
        <f t="shared" si="0"/>
        <v>47.022860000000001</v>
      </c>
      <c r="D25" s="10">
        <f t="shared" si="1"/>
        <v>3.3057070579999999</v>
      </c>
      <c r="E25" s="10">
        <f t="shared" si="2"/>
        <v>0.14757620794642856</v>
      </c>
      <c r="F25" s="10">
        <f>E25/Calculation!K$7*1000</f>
        <v>0.10962516830552885</v>
      </c>
      <c r="G25" s="10">
        <f t="shared" si="3"/>
        <v>54.809430929741978</v>
      </c>
    </row>
    <row r="26" spans="1:10">
      <c r="A26" s="10">
        <v>10.5</v>
      </c>
      <c r="B26" s="10">
        <v>38806.959999999999</v>
      </c>
      <c r="C26" s="10">
        <f t="shared" si="0"/>
        <v>38.806959999999997</v>
      </c>
      <c r="D26" s="10">
        <f t="shared" si="1"/>
        <v>2.7281292879999994</v>
      </c>
      <c r="E26" s="10">
        <f t="shared" si="2"/>
        <v>0.12179148607142855</v>
      </c>
      <c r="F26" s="10">
        <f>E26/Calculation!K$7*1000</f>
        <v>9.0471305263565963E-2</v>
      </c>
      <c r="G26" s="10">
        <f t="shared" si="3"/>
        <v>57.810878033278399</v>
      </c>
    </row>
    <row r="27" spans="1:10">
      <c r="A27" s="10">
        <v>11</v>
      </c>
      <c r="B27" s="10">
        <v>29657.119999999999</v>
      </c>
      <c r="C27" s="10">
        <f t="shared" si="0"/>
        <v>29.657119999999999</v>
      </c>
      <c r="D27" s="10">
        <f t="shared" si="1"/>
        <v>2.0848955359999999</v>
      </c>
      <c r="E27" s="10">
        <f t="shared" si="2"/>
        <v>9.3075693571428572E-2</v>
      </c>
      <c r="F27" s="10">
        <f>E27/Calculation!K$7*1000</f>
        <v>6.9140132511235311E-2</v>
      </c>
      <c r="G27" s="10">
        <f t="shared" si="3"/>
        <v>60.20504959990042</v>
      </c>
    </row>
    <row r="28" spans="1:10">
      <c r="A28" s="10">
        <v>11.5</v>
      </c>
      <c r="B28" s="10">
        <v>21234.12</v>
      </c>
      <c r="C28" s="10">
        <f t="shared" si="0"/>
        <v>21.234119999999997</v>
      </c>
      <c r="D28" s="10">
        <f t="shared" si="1"/>
        <v>1.4927586359999998</v>
      </c>
      <c r="E28" s="10">
        <f t="shared" si="2"/>
        <v>6.6641010535714279E-2</v>
      </c>
      <c r="F28" s="10">
        <f>E28/Calculation!K$7*1000</f>
        <v>4.9503453826921548E-2</v>
      </c>
      <c r="G28" s="10">
        <f t="shared" si="3"/>
        <v>61.984703394972776</v>
      </c>
    </row>
    <row r="29" spans="1:10">
      <c r="A29" s="10">
        <v>12</v>
      </c>
      <c r="B29" s="10">
        <v>13946.74</v>
      </c>
      <c r="C29" s="10">
        <f t="shared" si="0"/>
        <v>13.94674</v>
      </c>
      <c r="D29" s="10">
        <f t="shared" si="1"/>
        <v>0.98045582200000003</v>
      </c>
      <c r="E29" s="10">
        <f t="shared" si="2"/>
        <v>4.3770349196428575E-2</v>
      </c>
      <c r="F29" s="10">
        <f>E29/Calculation!K$8*1000</f>
        <v>3.370109723795444E-2</v>
      </c>
      <c r="G29" s="10">
        <f t="shared" si="3"/>
        <v>63.232771660945915</v>
      </c>
    </row>
    <row r="30" spans="1:10">
      <c r="A30" s="10">
        <v>12.5</v>
      </c>
      <c r="B30" s="10">
        <v>9159.31</v>
      </c>
      <c r="C30" s="10">
        <f t="shared" si="0"/>
        <v>9.1593099999999996</v>
      </c>
      <c r="D30" s="10">
        <f t="shared" si="1"/>
        <v>0.64389949300000004</v>
      </c>
      <c r="E30" s="10">
        <f t="shared" si="2"/>
        <v>2.8745513080357148E-2</v>
      </c>
      <c r="F30" s="10">
        <f>E30/Calculation!K$8*1000</f>
        <v>2.213268455155603E-2</v>
      </c>
      <c r="G30" s="10">
        <f t="shared" si="3"/>
        <v>64.070278387788576</v>
      </c>
    </row>
    <row r="31" spans="1:10">
      <c r="A31" s="10">
        <v>13</v>
      </c>
      <c r="B31" s="10">
        <v>6139.6</v>
      </c>
      <c r="C31" s="10">
        <f t="shared" si="0"/>
        <v>6.1396000000000006</v>
      </c>
      <c r="D31" s="10">
        <f t="shared" si="1"/>
        <v>0.43161388000000001</v>
      </c>
      <c r="E31" s="10">
        <f t="shared" si="2"/>
        <v>1.9268476785714288E-2</v>
      </c>
      <c r="F31" s="10">
        <f>E31/Calculation!K$8*1000</f>
        <v>1.4835815151221369E-2</v>
      </c>
      <c r="G31" s="10">
        <f t="shared" si="3"/>
        <v>64.624805883330239</v>
      </c>
    </row>
    <row r="32" spans="1:10">
      <c r="A32" s="10">
        <v>13.5</v>
      </c>
      <c r="B32" s="10">
        <v>4408.4399999999996</v>
      </c>
      <c r="C32" s="10">
        <f t="shared" si="0"/>
        <v>4.4084399999999997</v>
      </c>
      <c r="D32" s="10">
        <f t="shared" si="1"/>
        <v>0.30991333199999993</v>
      </c>
      <c r="E32" s="10">
        <f t="shared" si="2"/>
        <v>1.3835416607142855E-2</v>
      </c>
      <c r="F32" s="10">
        <f>E32/Calculation!K$8*1000</f>
        <v>1.0652615959549533E-2</v>
      </c>
      <c r="G32" s="10">
        <f t="shared" si="3"/>
        <v>65.007132349991807</v>
      </c>
    </row>
    <row r="33" spans="1:7">
      <c r="A33" s="10">
        <v>14</v>
      </c>
      <c r="B33" s="10">
        <v>3615.27</v>
      </c>
      <c r="C33" s="10">
        <f t="shared" si="0"/>
        <v>3.6152699999999998</v>
      </c>
      <c r="D33" s="10">
        <f t="shared" si="1"/>
        <v>0.25415348099999996</v>
      </c>
      <c r="E33" s="10">
        <f t="shared" si="2"/>
        <v>1.1346137544642856E-2</v>
      </c>
      <c r="F33" s="10">
        <f>E33/Calculation!K$8*1000</f>
        <v>8.7359888985855862E-3</v>
      </c>
      <c r="G33" s="10">
        <f t="shared" si="3"/>
        <v>65.297961422863835</v>
      </c>
    </row>
    <row r="34" spans="1:7">
      <c r="A34" s="10">
        <v>14.5</v>
      </c>
      <c r="B34" s="10">
        <v>3041.37</v>
      </c>
      <c r="C34" s="10">
        <f t="shared" si="0"/>
        <v>3.0413699999999997</v>
      </c>
      <c r="D34" s="10">
        <f t="shared" si="1"/>
        <v>0.21380831099999997</v>
      </c>
      <c r="E34" s="10">
        <f t="shared" si="2"/>
        <v>9.5450138839285707E-3</v>
      </c>
      <c r="F34" s="10">
        <f>E34/Calculation!K$8*1000</f>
        <v>7.3492089267167444E-3</v>
      </c>
      <c r="G34" s="10">
        <f t="shared" si="3"/>
        <v>65.539239390243367</v>
      </c>
    </row>
    <row r="35" spans="1:7">
      <c r="A35" s="10">
        <v>15</v>
      </c>
      <c r="B35" s="10">
        <v>2578.4699999999998</v>
      </c>
      <c r="C35" s="10">
        <f t="shared" si="0"/>
        <v>2.5784699999999998</v>
      </c>
      <c r="D35" s="10">
        <f t="shared" si="1"/>
        <v>0.18126644099999997</v>
      </c>
      <c r="E35" s="10">
        <f t="shared" si="2"/>
        <v>8.0922518303571424E-3</v>
      </c>
      <c r="F35" s="10">
        <f>E35/Calculation!K$9*1000</f>
        <v>6.4632101917092956E-3</v>
      </c>
      <c r="G35" s="10">
        <f t="shared" si="3"/>
        <v>65.746425677019758</v>
      </c>
    </row>
    <row r="36" spans="1:7">
      <c r="A36" s="10">
        <v>15.5</v>
      </c>
      <c r="B36" s="10">
        <v>2704.35</v>
      </c>
      <c r="C36" s="10">
        <f t="shared" si="0"/>
        <v>2.7043499999999998</v>
      </c>
      <c r="D36" s="10">
        <f t="shared" si="1"/>
        <v>0.190115805</v>
      </c>
      <c r="E36" s="10">
        <f t="shared" si="2"/>
        <v>8.4873127232142857E-3</v>
      </c>
      <c r="F36" s="10">
        <f>E36/Calculation!K$9*1000</f>
        <v>6.7787418437868325E-3</v>
      </c>
      <c r="G36" s="10">
        <f t="shared" si="3"/>
        <v>65.945054957552202</v>
      </c>
    </row>
    <row r="37" spans="1:7">
      <c r="A37" s="10">
        <v>16</v>
      </c>
      <c r="B37" s="10">
        <v>2307.7600000000002</v>
      </c>
      <c r="C37" s="10">
        <f t="shared" si="0"/>
        <v>2.30776</v>
      </c>
      <c r="D37" s="10">
        <f t="shared" si="1"/>
        <v>0.16223552799999999</v>
      </c>
      <c r="E37" s="10">
        <f t="shared" si="2"/>
        <v>7.2426575000000002E-3</v>
      </c>
      <c r="F37" s="10">
        <f>E37/Calculation!K$9*1000</f>
        <v>5.7846466904866237E-3</v>
      </c>
      <c r="G37" s="10">
        <f t="shared" si="3"/>
        <v>66.1335057855663</v>
      </c>
    </row>
    <row r="38" spans="1:7">
      <c r="A38" s="10">
        <v>16.5</v>
      </c>
      <c r="B38" s="10">
        <v>1533.55</v>
      </c>
      <c r="C38" s="10">
        <f t="shared" si="0"/>
        <v>1.53355</v>
      </c>
      <c r="D38" s="10">
        <f t="shared" si="1"/>
        <v>0.107808565</v>
      </c>
      <c r="E38" s="10">
        <f t="shared" si="2"/>
        <v>4.8128823660714285E-3</v>
      </c>
      <c r="F38" s="10">
        <f>E38/Calculation!K$9*1000</f>
        <v>3.8440067130879126E-3</v>
      </c>
      <c r="G38" s="10">
        <f t="shared" si="3"/>
        <v>66.277935586619918</v>
      </c>
    </row>
    <row r="39" spans="1:7">
      <c r="A39" s="10">
        <v>17</v>
      </c>
      <c r="B39" s="10">
        <v>1005.67</v>
      </c>
      <c r="C39" s="10">
        <f t="shared" si="0"/>
        <v>1.0056700000000001</v>
      </c>
      <c r="D39" s="10">
        <f t="shared" si="1"/>
        <v>7.0698601E-2</v>
      </c>
      <c r="E39" s="10">
        <f t="shared" si="2"/>
        <v>3.1561875446428573E-3</v>
      </c>
      <c r="F39" s="10">
        <f>E39/Calculation!K$9*1000</f>
        <v>2.5208191654338768E-3</v>
      </c>
      <c r="G39" s="10">
        <f t="shared" si="3"/>
        <v>66.373407974797743</v>
      </c>
    </row>
    <row r="40" spans="1:7">
      <c r="A40" s="10">
        <v>17.5</v>
      </c>
      <c r="B40" s="10">
        <v>250.4</v>
      </c>
      <c r="C40" s="10">
        <f t="shared" si="0"/>
        <v>0.25040000000000001</v>
      </c>
      <c r="D40" s="10">
        <f t="shared" si="1"/>
        <v>1.760312E-2</v>
      </c>
      <c r="E40" s="10">
        <f t="shared" si="2"/>
        <v>7.8585357142857144E-4</v>
      </c>
      <c r="F40" s="10">
        <f>E40/Calculation!K$9*1000</f>
        <v>6.2765431903571024E-4</v>
      </c>
      <c r="G40" s="10">
        <f t="shared" si="3"/>
        <v>66.420635077064787</v>
      </c>
    </row>
    <row r="41" spans="1:7">
      <c r="A41" s="10">
        <v>18</v>
      </c>
      <c r="B41" s="10">
        <v>144.83000000000001</v>
      </c>
      <c r="C41" s="10">
        <f t="shared" si="0"/>
        <v>0.14483000000000001</v>
      </c>
      <c r="D41" s="10">
        <f t="shared" si="1"/>
        <v>1.0181549E-2</v>
      </c>
      <c r="E41" s="10">
        <f t="shared" si="2"/>
        <v>4.5453343750000001E-4</v>
      </c>
      <c r="F41" s="10">
        <f>E41/Calculation!K$10*1000</f>
        <v>3.7720600102410885E-4</v>
      </c>
      <c r="G41" s="10">
        <f t="shared" si="3"/>
        <v>66.43570798186569</v>
      </c>
    </row>
    <row r="42" spans="1:7">
      <c r="A42" s="10">
        <v>18.5</v>
      </c>
      <c r="B42" s="10">
        <v>75.8</v>
      </c>
      <c r="C42" s="10">
        <f t="shared" si="0"/>
        <v>7.5799999999999992E-2</v>
      </c>
      <c r="D42" s="10">
        <f t="shared" si="1"/>
        <v>5.3287399999999985E-3</v>
      </c>
      <c r="E42" s="10">
        <f t="shared" si="2"/>
        <v>2.3789017857142852E-4</v>
      </c>
      <c r="F42" s="10">
        <f>E42/Calculation!K$10*1000</f>
        <v>1.9741914574071288E-4</v>
      </c>
      <c r="G42" s="10">
        <f t="shared" si="3"/>
        <v>66.444327359067159</v>
      </c>
    </row>
    <row r="43" spans="1:7">
      <c r="A43" s="10">
        <v>19</v>
      </c>
      <c r="B43" s="10">
        <v>144.83000000000001</v>
      </c>
      <c r="C43" s="10">
        <f t="shared" si="0"/>
        <v>0.14483000000000001</v>
      </c>
      <c r="D43" s="10">
        <f t="shared" si="1"/>
        <v>1.0181549E-2</v>
      </c>
      <c r="E43" s="10">
        <f t="shared" si="2"/>
        <v>4.5453343750000001E-4</v>
      </c>
      <c r="F43" s="10">
        <f>E43/Calculation!K$10*1000</f>
        <v>3.7720600102410885E-4</v>
      </c>
      <c r="G43" s="10">
        <f t="shared" si="3"/>
        <v>66.452946736268629</v>
      </c>
    </row>
    <row r="44" spans="1:7">
      <c r="A44" s="10">
        <v>19.5</v>
      </c>
      <c r="B44" s="10">
        <v>140.77000000000001</v>
      </c>
      <c r="C44" s="10">
        <f t="shared" si="0"/>
        <v>0.14077000000000001</v>
      </c>
      <c r="D44" s="10">
        <f t="shared" si="1"/>
        <v>9.896130999999999E-3</v>
      </c>
      <c r="E44" s="10">
        <f t="shared" si="2"/>
        <v>4.417915625E-4</v>
      </c>
      <c r="F44" s="10">
        <f>E44/Calculation!K$10*1000</f>
        <v>3.6663183569815507E-4</v>
      </c>
      <c r="G44" s="10">
        <f t="shared" si="3"/>
        <v>66.464104303819468</v>
      </c>
    </row>
    <row r="45" spans="1:7">
      <c r="A45" s="10">
        <v>20</v>
      </c>
      <c r="B45" s="10">
        <v>125.88</v>
      </c>
      <c r="C45" s="10">
        <f t="shared" si="0"/>
        <v>0.12587999999999999</v>
      </c>
      <c r="D45" s="10">
        <f t="shared" si="1"/>
        <v>8.8493639999999985E-3</v>
      </c>
      <c r="E45" s="10">
        <f t="shared" si="2"/>
        <v>3.950608928571428E-4</v>
      </c>
      <c r="F45" s="10">
        <f>E45/Calculation!K$10*1000</f>
        <v>3.2785121458893054E-4</v>
      </c>
      <c r="G45" s="10">
        <f t="shared" si="3"/>
        <v>66.47452154957378</v>
      </c>
    </row>
    <row r="46" spans="1:7">
      <c r="A46" s="10">
        <v>20.5</v>
      </c>
      <c r="B46" s="10">
        <v>139.41</v>
      </c>
      <c r="C46" s="10">
        <f t="shared" si="0"/>
        <v>0.13941000000000001</v>
      </c>
      <c r="D46" s="10">
        <f t="shared" si="1"/>
        <v>9.8005229999999985E-3</v>
      </c>
      <c r="E46" s="10">
        <f t="shared" si="2"/>
        <v>4.3752334821428569E-4</v>
      </c>
      <c r="F46" s="10">
        <f>E46/Calculation!K$10*1000</f>
        <v>3.630897507613824E-4</v>
      </c>
      <c r="G46" s="10">
        <f t="shared" si="3"/>
        <v>66.484885664054033</v>
      </c>
    </row>
    <row r="47" spans="1:7">
      <c r="A47" s="10">
        <v>21</v>
      </c>
      <c r="B47" s="10">
        <v>224.69</v>
      </c>
      <c r="C47" s="10">
        <f t="shared" si="0"/>
        <v>0.22469</v>
      </c>
      <c r="D47" s="10">
        <f t="shared" si="1"/>
        <v>1.5795706999999999E-2</v>
      </c>
      <c r="E47" s="10">
        <f t="shared" si="2"/>
        <v>7.0516549107142853E-4</v>
      </c>
      <c r="F47" s="10">
        <f>E47/Calculation!K$11*1000</f>
        <v>6.1089571933254109E-4</v>
      </c>
      <c r="G47" s="10">
        <f t="shared" si="3"/>
        <v>66.499495446105442</v>
      </c>
    </row>
    <row r="48" spans="1:7">
      <c r="A48" s="10">
        <v>21.5</v>
      </c>
      <c r="B48" s="10">
        <v>182.73</v>
      </c>
      <c r="C48" s="10">
        <f t="shared" si="0"/>
        <v>0.18273</v>
      </c>
      <c r="D48" s="10">
        <f t="shared" si="1"/>
        <v>1.2845919000000001E-2</v>
      </c>
      <c r="E48" s="10">
        <f t="shared" si="2"/>
        <v>5.7347852678571432E-4</v>
      </c>
      <c r="F48" s="10">
        <f>E48/Calculation!K$11*1000</f>
        <v>4.9681327515080885E-4</v>
      </c>
      <c r="G48" s="10">
        <f t="shared" si="3"/>
        <v>66.516111081022686</v>
      </c>
    </row>
    <row r="49" spans="1:7">
      <c r="A49" s="10">
        <v>22</v>
      </c>
      <c r="B49" s="10">
        <v>184.08</v>
      </c>
      <c r="C49" s="10">
        <f t="shared" si="0"/>
        <v>0.18408000000000002</v>
      </c>
      <c r="D49" s="10">
        <f t="shared" si="1"/>
        <v>1.2940824E-2</v>
      </c>
      <c r="E49" s="10">
        <f t="shared" si="2"/>
        <v>5.7771535714285719E-4</v>
      </c>
      <c r="F49" s="10">
        <f>E49/Calculation!K$11*1000</f>
        <v>5.0048370650555959E-4</v>
      </c>
      <c r="G49" s="10">
        <f t="shared" si="3"/>
        <v>66.531070535747531</v>
      </c>
    </row>
    <row r="50" spans="1:7">
      <c r="A50" s="10">
        <v>22.5</v>
      </c>
      <c r="B50" s="10">
        <v>43.31</v>
      </c>
      <c r="C50" s="10">
        <f t="shared" si="0"/>
        <v>4.3310000000000001E-2</v>
      </c>
      <c r="D50" s="10">
        <f t="shared" si="1"/>
        <v>3.0446930000000002E-3</v>
      </c>
      <c r="E50" s="10">
        <f t="shared" si="2"/>
        <v>1.3592379464285716E-4</v>
      </c>
      <c r="F50" s="10">
        <f>E50/Calculation!K$11*1000</f>
        <v>1.1775287553648299E-4</v>
      </c>
      <c r="G50" s="10">
        <f t="shared" si="3"/>
        <v>66.540344084478164</v>
      </c>
    </row>
    <row r="51" spans="1:7">
      <c r="A51" s="10">
        <v>23</v>
      </c>
      <c r="B51" s="10">
        <v>230.1</v>
      </c>
      <c r="C51" s="10">
        <f t="shared" si="0"/>
        <v>0.2301</v>
      </c>
      <c r="D51" s="10">
        <f t="shared" si="1"/>
        <v>1.6176030000000001E-2</v>
      </c>
      <c r="E51" s="10">
        <f t="shared" si="2"/>
        <v>7.2214419642857152E-4</v>
      </c>
      <c r="F51" s="10">
        <f>E51/Calculation!K$11*1000</f>
        <v>6.2560463313194952E-4</v>
      </c>
      <c r="G51" s="10">
        <f t="shared" si="3"/>
        <v>66.551494447108198</v>
      </c>
    </row>
    <row r="52" spans="1:7">
      <c r="A52" s="10">
        <v>23.5</v>
      </c>
      <c r="B52" s="10">
        <v>203.03</v>
      </c>
      <c r="C52" s="10">
        <f t="shared" si="0"/>
        <v>0.20302999999999999</v>
      </c>
      <c r="D52" s="10">
        <f t="shared" si="1"/>
        <v>1.4273008999999998E-2</v>
      </c>
      <c r="E52" s="10">
        <f t="shared" si="2"/>
        <v>6.3718790178571424E-4</v>
      </c>
      <c r="F52" s="10">
        <f>E52/Calculation!K$11*1000</f>
        <v>5.5200568737409682E-4</v>
      </c>
      <c r="G52" s="10">
        <f t="shared" si="3"/>
        <v>66.569158601915788</v>
      </c>
    </row>
    <row r="53" spans="1:7">
      <c r="A53" s="10">
        <v>24</v>
      </c>
      <c r="B53" s="10">
        <v>234.16</v>
      </c>
      <c r="C53" s="10">
        <f t="shared" si="0"/>
        <v>0.23416000000000001</v>
      </c>
      <c r="D53" s="10">
        <f t="shared" si="1"/>
        <v>1.6461448E-2</v>
      </c>
      <c r="E53" s="10">
        <f t="shared" si="2"/>
        <v>7.3488607142857152E-4</v>
      </c>
      <c r="F53" s="10">
        <f>E53/Calculation!K$12*1000</f>
        <v>6.6583177052951376E-4</v>
      </c>
      <c r="G53" s="10">
        <f t="shared" si="3"/>
        <v>66.587426163784343</v>
      </c>
    </row>
    <row r="54" spans="1:7">
      <c r="A54" s="10">
        <v>24.5</v>
      </c>
      <c r="B54" s="10">
        <v>265.29000000000002</v>
      </c>
      <c r="C54" s="10">
        <f t="shared" si="0"/>
        <v>0.26529000000000003</v>
      </c>
      <c r="D54" s="10">
        <f t="shared" si="1"/>
        <v>1.8649887E-2</v>
      </c>
      <c r="E54" s="10">
        <f t="shared" si="2"/>
        <v>8.3258424107142859E-4</v>
      </c>
      <c r="F54" s="10">
        <f>E54/Calculation!K$12*1000</f>
        <v>7.5434963445411129E-4</v>
      </c>
      <c r="G54" s="10">
        <f t="shared" si="3"/>
        <v>66.608728884859104</v>
      </c>
    </row>
    <row r="55" spans="1:7">
      <c r="A55" s="10">
        <v>25</v>
      </c>
      <c r="B55" s="10">
        <v>250.4</v>
      </c>
      <c r="C55" s="10">
        <f t="shared" si="0"/>
        <v>0.25040000000000001</v>
      </c>
      <c r="D55" s="10">
        <f t="shared" si="1"/>
        <v>1.760312E-2</v>
      </c>
      <c r="E55" s="10">
        <f t="shared" si="2"/>
        <v>7.8585357142857144E-4</v>
      </c>
      <c r="F55" s="10">
        <f>E55/Calculation!K$12*1000</f>
        <v>7.120100586803477E-4</v>
      </c>
      <c r="G55" s="10">
        <f t="shared" si="3"/>
        <v>66.630724280256118</v>
      </c>
    </row>
    <row r="56" spans="1:7">
      <c r="A56" s="10">
        <v>25.5</v>
      </c>
      <c r="B56" s="10">
        <v>189.49</v>
      </c>
      <c r="C56" s="10">
        <f t="shared" si="0"/>
        <v>0.18949000000000002</v>
      </c>
      <c r="D56" s="10">
        <f t="shared" si="1"/>
        <v>1.3321147000000002E-2</v>
      </c>
      <c r="E56" s="10">
        <f t="shared" si="2"/>
        <v>5.9469406250000007E-4</v>
      </c>
      <c r="F56" s="10">
        <f>E56/Calculation!K$12*1000</f>
        <v>5.3881304320822331E-4</v>
      </c>
      <c r="G56" s="10">
        <f t="shared" si="3"/>
        <v>66.649486626784451</v>
      </c>
    </row>
    <row r="57" spans="1:7">
      <c r="A57" s="10">
        <v>26</v>
      </c>
      <c r="B57" s="10">
        <v>205.74</v>
      </c>
      <c r="C57" s="10">
        <f t="shared" si="0"/>
        <v>0.20574000000000001</v>
      </c>
      <c r="D57" s="10">
        <f t="shared" si="1"/>
        <v>1.4463522000000001E-2</v>
      </c>
      <c r="E57" s="10">
        <f t="shared" si="2"/>
        <v>6.4569294642857148E-4</v>
      </c>
      <c r="F57" s="10">
        <f>E57/Calculation!K$12*1000</f>
        <v>5.8501976626555415E-4</v>
      </c>
      <c r="G57" s="10">
        <f t="shared" si="3"/>
        <v>66.66634411892656</v>
      </c>
    </row>
    <row r="58" spans="1:7">
      <c r="A58" s="10">
        <v>26.5</v>
      </c>
      <c r="B58" s="10">
        <v>25.72</v>
      </c>
      <c r="C58" s="10">
        <f t="shared" si="0"/>
        <v>2.572E-2</v>
      </c>
      <c r="D58" s="10">
        <f t="shared" si="1"/>
        <v>1.808116E-3</v>
      </c>
      <c r="E58" s="10">
        <f t="shared" si="2"/>
        <v>8.0719464285714296E-5</v>
      </c>
      <c r="F58" s="10">
        <f>E58/Calculation!K$12*1000</f>
        <v>7.3134579509818477E-5</v>
      </c>
      <c r="G58" s="10">
        <f t="shared" si="3"/>
        <v>66.676216434113186</v>
      </c>
    </row>
    <row r="59" spans="1:7">
      <c r="A59" s="10">
        <v>27</v>
      </c>
      <c r="B59" s="10">
        <v>211.15</v>
      </c>
      <c r="C59" s="10">
        <f t="shared" si="0"/>
        <v>0.21115</v>
      </c>
      <c r="D59" s="10">
        <f t="shared" si="1"/>
        <v>1.4843845E-2</v>
      </c>
      <c r="E59" s="10">
        <f t="shared" si="2"/>
        <v>6.6267165178571436E-4</v>
      </c>
      <c r="F59" s="10">
        <f>E59/Calculation!K$13*1000</f>
        <v>6.3036872017889793E-4</v>
      </c>
      <c r="G59" s="10">
        <f t="shared" si="3"/>
        <v>66.686768983608516</v>
      </c>
    </row>
    <row r="60" spans="1:7">
      <c r="A60" s="10">
        <v>27.5</v>
      </c>
      <c r="B60" s="10">
        <v>182.73</v>
      </c>
      <c r="C60" s="10">
        <f t="shared" si="0"/>
        <v>0.18273</v>
      </c>
      <c r="D60" s="10">
        <f t="shared" si="1"/>
        <v>1.2845919000000001E-2</v>
      </c>
      <c r="E60" s="10">
        <f t="shared" si="2"/>
        <v>5.7347852678571432E-4</v>
      </c>
      <c r="F60" s="10">
        <f>E60/Calculation!K$13*1000</f>
        <v>5.4552344891446844E-4</v>
      </c>
      <c r="G60" s="10">
        <f t="shared" si="3"/>
        <v>66.70440736614492</v>
      </c>
    </row>
    <row r="61" spans="1:7">
      <c r="A61" s="10">
        <v>28</v>
      </c>
      <c r="B61" s="10">
        <v>212.5</v>
      </c>
      <c r="C61" s="10">
        <f t="shared" si="0"/>
        <v>0.21249999999999999</v>
      </c>
      <c r="D61" s="10">
        <f t="shared" si="1"/>
        <v>1.4938749999999999E-2</v>
      </c>
      <c r="E61" s="10">
        <f t="shared" si="2"/>
        <v>6.6690848214285712E-4</v>
      </c>
      <c r="F61" s="10">
        <f>E61/Calculation!K$13*1000</f>
        <v>6.3439901983431595E-4</v>
      </c>
      <c r="G61" s="10">
        <f t="shared" si="3"/>
        <v>66.722106203176153</v>
      </c>
    </row>
    <row r="62" spans="1:7">
      <c r="A62" s="10">
        <v>28.5</v>
      </c>
      <c r="B62" s="10">
        <v>261.23</v>
      </c>
      <c r="C62" s="10">
        <f t="shared" si="0"/>
        <v>0.26123000000000002</v>
      </c>
      <c r="D62" s="10">
        <f t="shared" si="1"/>
        <v>1.8364468999999998E-2</v>
      </c>
      <c r="E62" s="10">
        <f t="shared" si="2"/>
        <v>8.1984236607142848E-4</v>
      </c>
      <c r="F62" s="10">
        <f>E62/Calculation!K$13*1000</f>
        <v>7.7987791035914506E-4</v>
      </c>
      <c r="G62" s="10">
        <f t="shared" si="3"/>
        <v>66.743320357129051</v>
      </c>
    </row>
    <row r="63" spans="1:7">
      <c r="A63" s="10">
        <v>29</v>
      </c>
      <c r="B63" s="10">
        <v>239.57</v>
      </c>
      <c r="C63" s="10">
        <f t="shared" si="0"/>
        <v>0.23957000000000001</v>
      </c>
      <c r="D63" s="10">
        <f t="shared" si="1"/>
        <v>1.6841770999999998E-2</v>
      </c>
      <c r="E63" s="10">
        <f t="shared" si="2"/>
        <v>7.5186477678571429E-4</v>
      </c>
      <c r="F63" s="10">
        <f>E63/Calculation!K$13*1000</f>
        <v>7.1521399144332742E-4</v>
      </c>
      <c r="G63" s="10">
        <f t="shared" si="3"/>
        <v>66.765746735656094</v>
      </c>
    </row>
    <row r="64" spans="1:7">
      <c r="A64" s="10">
        <v>29.5</v>
      </c>
      <c r="B64" s="10">
        <v>318.08</v>
      </c>
      <c r="C64" s="10">
        <f t="shared" si="0"/>
        <v>0.31807999999999997</v>
      </c>
      <c r="D64" s="10">
        <f t="shared" si="1"/>
        <v>2.2361023999999997E-2</v>
      </c>
      <c r="E64" s="10">
        <f t="shared" si="2"/>
        <v>9.9825999999999995E-4</v>
      </c>
      <c r="F64" s="10">
        <f>E64/Calculation!K$13*1000</f>
        <v>9.4959830695952568E-4</v>
      </c>
      <c r="G64" s="10">
        <f t="shared" si="3"/>
        <v>66.790718920132136</v>
      </c>
    </row>
    <row r="65" spans="1:7">
      <c r="A65" s="10">
        <v>30</v>
      </c>
      <c r="B65" s="10">
        <v>266.64</v>
      </c>
      <c r="C65" s="10">
        <f t="shared" si="0"/>
        <v>0.26663999999999999</v>
      </c>
      <c r="D65" s="10">
        <f t="shared" si="1"/>
        <v>1.8744792E-2</v>
      </c>
      <c r="E65" s="10">
        <f t="shared" si="2"/>
        <v>8.3682107142857146E-4</v>
      </c>
      <c r="F65" s="10">
        <f>E65/Calculation!K$14*1000</f>
        <v>8.4510974690142333E-4</v>
      </c>
      <c r="G65" s="10">
        <f t="shared" si="3"/>
        <v>66.81763954094005</v>
      </c>
    </row>
    <row r="66" spans="1:7">
      <c r="A66" s="10">
        <v>30.5</v>
      </c>
      <c r="B66" s="10">
        <v>265.29000000000002</v>
      </c>
      <c r="C66" s="10">
        <f t="shared" si="0"/>
        <v>0.26529000000000003</v>
      </c>
      <c r="D66" s="10">
        <f t="shared" si="1"/>
        <v>1.8649887E-2</v>
      </c>
      <c r="E66" s="10">
        <f t="shared" si="2"/>
        <v>8.3258424107142859E-4</v>
      </c>
      <c r="F66" s="10">
        <f>E66/Calculation!K$14*1000</f>
        <v>8.4083095092813754E-4</v>
      </c>
      <c r="G66" s="10">
        <f t="shared" si="3"/>
        <v>66.84292865140749</v>
      </c>
    </row>
    <row r="67" spans="1:7">
      <c r="A67" s="10">
        <v>31</v>
      </c>
      <c r="B67" s="10">
        <v>284.24</v>
      </c>
      <c r="C67" s="10">
        <f t="shared" si="0"/>
        <v>0.28423999999999999</v>
      </c>
      <c r="D67" s="10">
        <f t="shared" si="1"/>
        <v>1.9982072E-2</v>
      </c>
      <c r="E67" s="10">
        <f t="shared" si="2"/>
        <v>8.9205678571428575E-4</v>
      </c>
      <c r="F67" s="10">
        <f>E67/Calculation!K$14*1000</f>
        <v>9.0089256847907505E-4</v>
      </c>
      <c r="G67" s="10">
        <f t="shared" si="3"/>
        <v>66.869054504198601</v>
      </c>
    </row>
    <row r="68" spans="1:7">
      <c r="A68" s="10">
        <v>31.5</v>
      </c>
      <c r="B68" s="10">
        <v>312.66000000000003</v>
      </c>
      <c r="C68" s="10">
        <f t="shared" si="0"/>
        <v>0.31266000000000005</v>
      </c>
      <c r="D68" s="10">
        <f t="shared" si="1"/>
        <v>2.1979998000000001E-2</v>
      </c>
      <c r="E68" s="10">
        <f t="shared" si="2"/>
        <v>9.812499107142859E-4</v>
      </c>
      <c r="F68" s="10">
        <f>E68/Calculation!K$14*1000</f>
        <v>9.9096914741298781E-4</v>
      </c>
      <c r="G68" s="10">
        <f t="shared" si="3"/>
        <v>66.897432429936984</v>
      </c>
    </row>
    <row r="69" spans="1:7">
      <c r="A69" s="10">
        <v>32</v>
      </c>
      <c r="B69" s="10">
        <v>299.13</v>
      </c>
      <c r="C69" s="10">
        <f t="shared" si="0"/>
        <v>0.29913000000000001</v>
      </c>
      <c r="D69" s="10">
        <f t="shared" si="1"/>
        <v>2.1028838999999997E-2</v>
      </c>
      <c r="E69" s="10">
        <f t="shared" si="2"/>
        <v>9.3878745535714279E-4</v>
      </c>
      <c r="F69" s="10">
        <f>E69/Calculation!K$14*1000</f>
        <v>9.4808610332516776E-4</v>
      </c>
      <c r="G69" s="10">
        <f t="shared" si="3"/>
        <v>66.926518258698053</v>
      </c>
    </row>
    <row r="70" spans="1:7">
      <c r="A70" s="10">
        <v>32.5</v>
      </c>
      <c r="B70" s="10">
        <v>328.91</v>
      </c>
      <c r="C70" s="10">
        <f t="shared" ref="C70:C101" si="4">B70/1000</f>
        <v>0.32891000000000004</v>
      </c>
      <c r="D70" s="10">
        <f t="shared" ref="D70:D101" si="5">C70/1000*$B$1</f>
        <v>2.3122373000000002E-2</v>
      </c>
      <c r="E70" s="10">
        <f t="shared" ref="E70:E101" si="6">D70/22.4</f>
        <v>1.0322487946428573E-3</v>
      </c>
      <c r="F70" s="10">
        <f>E70/Calculation!K$14*1000</f>
        <v>1.0424731730173538E-3</v>
      </c>
      <c r="G70" s="10">
        <f t="shared" si="3"/>
        <v>66.956376647843186</v>
      </c>
    </row>
    <row r="71" spans="1:7">
      <c r="A71" s="10">
        <v>33</v>
      </c>
      <c r="B71" s="10">
        <v>308.60000000000002</v>
      </c>
      <c r="C71" s="10">
        <f t="shared" si="4"/>
        <v>0.30860000000000004</v>
      </c>
      <c r="D71" s="10">
        <f t="shared" si="5"/>
        <v>2.1694580000000002E-2</v>
      </c>
      <c r="E71" s="10">
        <f t="shared" si="6"/>
        <v>9.6850803571428589E-4</v>
      </c>
      <c r="F71" s="10">
        <f>E71/Calculation!K$14*1000</f>
        <v>9.7810106470814302E-4</v>
      </c>
      <c r="G71" s="10">
        <f t="shared" ref="G71:G101" si="7">G70+(F71+F70)/2*30</f>
        <v>66.986685261409065</v>
      </c>
    </row>
    <row r="72" spans="1:7">
      <c r="A72" s="10">
        <v>33.5</v>
      </c>
      <c r="B72" s="10">
        <v>319.43</v>
      </c>
      <c r="C72" s="10">
        <f t="shared" si="4"/>
        <v>0.31942999999999999</v>
      </c>
      <c r="D72" s="10">
        <f t="shared" si="5"/>
        <v>2.2455928999999999E-2</v>
      </c>
      <c r="E72" s="10">
        <f t="shared" si="6"/>
        <v>1.0024968303571429E-3</v>
      </c>
      <c r="F72" s="10">
        <f>E72/Calculation!K$14*1000</f>
        <v>1.0124265168493913E-3</v>
      </c>
      <c r="G72" s="10">
        <f t="shared" si="7"/>
        <v>67.016543175132426</v>
      </c>
    </row>
    <row r="73" spans="1:7">
      <c r="A73" s="10">
        <v>34</v>
      </c>
      <c r="B73" s="10">
        <v>299.13</v>
      </c>
      <c r="C73" s="10">
        <f t="shared" si="4"/>
        <v>0.29913000000000001</v>
      </c>
      <c r="D73" s="10">
        <f t="shared" si="5"/>
        <v>2.1028838999999997E-2</v>
      </c>
      <c r="E73" s="10">
        <f t="shared" si="6"/>
        <v>9.3878745535714279E-4</v>
      </c>
      <c r="F73" s="10">
        <f>E73/Calculation!K$14*1000</f>
        <v>9.4808610332516776E-4</v>
      </c>
      <c r="G73" s="10">
        <f t="shared" si="7"/>
        <v>67.045950864435042</v>
      </c>
    </row>
    <row r="74" spans="1:7">
      <c r="A74" s="10">
        <v>34.5</v>
      </c>
      <c r="B74" s="10">
        <v>323.49</v>
      </c>
      <c r="C74" s="10">
        <f t="shared" si="4"/>
        <v>0.32349</v>
      </c>
      <c r="D74" s="10">
        <f t="shared" si="5"/>
        <v>2.2741346999999999E-2</v>
      </c>
      <c r="E74" s="10">
        <f t="shared" si="6"/>
        <v>1.0152387053571428E-3</v>
      </c>
      <c r="F74" s="10">
        <f>E74/Calculation!K$14*1000</f>
        <v>1.0252945995542358E-3</v>
      </c>
      <c r="G74" s="10">
        <f t="shared" si="7"/>
        <v>67.075551574978235</v>
      </c>
    </row>
    <row r="75" spans="1:7">
      <c r="A75" s="10">
        <v>35</v>
      </c>
      <c r="B75" s="10">
        <v>266.64</v>
      </c>
      <c r="C75" s="10">
        <f t="shared" si="4"/>
        <v>0.26663999999999999</v>
      </c>
      <c r="D75" s="10">
        <f t="shared" si="5"/>
        <v>1.8744792E-2</v>
      </c>
      <c r="E75" s="10">
        <f t="shared" si="6"/>
        <v>8.3682107142857146E-4</v>
      </c>
      <c r="F75" s="10">
        <f>E75/Calculation!K$14*1000</f>
        <v>8.4510974690142333E-4</v>
      </c>
      <c r="G75" s="10">
        <f t="shared" si="7"/>
        <v>67.103607640175071</v>
      </c>
    </row>
    <row r="76" spans="1:7">
      <c r="A76" s="10">
        <v>35.5</v>
      </c>
      <c r="B76" s="10">
        <v>304.54000000000002</v>
      </c>
      <c r="C76" s="10">
        <f t="shared" si="4"/>
        <v>0.30454000000000003</v>
      </c>
      <c r="D76" s="10">
        <f t="shared" si="5"/>
        <v>2.1409161999999999E-2</v>
      </c>
      <c r="E76" s="10">
        <f t="shared" si="6"/>
        <v>9.5576616071428578E-4</v>
      </c>
      <c r="F76" s="10">
        <f>E76/Calculation!K$14*1000</f>
        <v>9.6523298200329845E-4</v>
      </c>
      <c r="G76" s="10">
        <f t="shared" si="7"/>
        <v>67.130762781108643</v>
      </c>
    </row>
    <row r="77" spans="1:7">
      <c r="A77" s="10">
        <v>36</v>
      </c>
      <c r="B77" s="10">
        <v>339.74</v>
      </c>
      <c r="C77" s="10">
        <f t="shared" si="4"/>
        <v>0.33973999999999999</v>
      </c>
      <c r="D77" s="10">
        <f t="shared" si="5"/>
        <v>2.3883722E-2</v>
      </c>
      <c r="E77" s="10">
        <f t="shared" si="6"/>
        <v>1.0662375892857142E-3</v>
      </c>
      <c r="F77" s="10">
        <f>E77/Calculation!K$14*1000</f>
        <v>1.0767986251586017E-3</v>
      </c>
      <c r="G77" s="10">
        <f t="shared" si="7"/>
        <v>67.161393255216069</v>
      </c>
    </row>
    <row r="78" spans="1:7">
      <c r="A78" s="10">
        <v>36.5</v>
      </c>
      <c r="B78" s="10">
        <v>468.32</v>
      </c>
      <c r="C78" s="10">
        <f t="shared" si="4"/>
        <v>0.46832000000000001</v>
      </c>
      <c r="D78" s="10">
        <f t="shared" si="5"/>
        <v>3.2922896E-2</v>
      </c>
      <c r="E78" s="10">
        <f t="shared" si="6"/>
        <v>1.469772142857143E-3</v>
      </c>
      <c r="F78" s="10">
        <f>E78/Calculation!K$14*1000</f>
        <v>1.4843301705253324E-3</v>
      </c>
      <c r="G78" s="10">
        <f t="shared" si="7"/>
        <v>67.199810187151328</v>
      </c>
    </row>
    <row r="79" spans="1:7">
      <c r="A79" s="10">
        <v>37</v>
      </c>
      <c r="B79" s="10">
        <v>312.66000000000003</v>
      </c>
      <c r="C79" s="10">
        <f t="shared" si="4"/>
        <v>0.31266000000000005</v>
      </c>
      <c r="D79" s="10">
        <f t="shared" si="5"/>
        <v>2.1979998000000001E-2</v>
      </c>
      <c r="E79" s="10">
        <f t="shared" si="6"/>
        <v>9.812499107142859E-4</v>
      </c>
      <c r="F79" s="10">
        <f>E79/Calculation!K$14*1000</f>
        <v>9.9096914741298781E-4</v>
      </c>
      <c r="G79" s="10">
        <f t="shared" si="7"/>
        <v>67.2369396769204</v>
      </c>
    </row>
    <row r="80" spans="1:7">
      <c r="A80" s="10">
        <v>37.5</v>
      </c>
      <c r="B80" s="10">
        <v>337.03</v>
      </c>
      <c r="C80" s="10">
        <f t="shared" si="4"/>
        <v>0.33703</v>
      </c>
      <c r="D80" s="10">
        <f t="shared" si="5"/>
        <v>2.3693209E-2</v>
      </c>
      <c r="E80" s="10">
        <f t="shared" si="6"/>
        <v>1.0577325446428571E-3</v>
      </c>
      <c r="F80" s="10">
        <f>E80/Calculation!K$14*1000</f>
        <v>1.0682093384270428E-3</v>
      </c>
      <c r="G80" s="10">
        <f t="shared" si="7"/>
        <v>67.267827354207995</v>
      </c>
    </row>
    <row r="81" spans="1:7">
      <c r="A81" s="10">
        <v>38</v>
      </c>
      <c r="B81" s="10">
        <v>369.51</v>
      </c>
      <c r="C81" s="10">
        <f t="shared" si="4"/>
        <v>0.36951000000000001</v>
      </c>
      <c r="D81" s="10">
        <f t="shared" si="5"/>
        <v>2.5976552999999999E-2</v>
      </c>
      <c r="E81" s="10">
        <f t="shared" si="6"/>
        <v>1.1596675446428571E-3</v>
      </c>
      <c r="F81" s="10">
        <f>E81/Calculation!K$14*1000</f>
        <v>1.1711540000658002E-3</v>
      </c>
      <c r="G81" s="10">
        <f t="shared" si="7"/>
        <v>67.301417804285393</v>
      </c>
    </row>
    <row r="82" spans="1:7">
      <c r="A82" s="10">
        <v>38.5</v>
      </c>
      <c r="B82" s="10">
        <v>355.98</v>
      </c>
      <c r="C82" s="10">
        <f t="shared" si="4"/>
        <v>0.35598000000000002</v>
      </c>
      <c r="D82" s="10">
        <f t="shared" si="5"/>
        <v>2.5025394000000003E-2</v>
      </c>
      <c r="E82" s="10">
        <f t="shared" si="6"/>
        <v>1.1172050892857145E-3</v>
      </c>
      <c r="F82" s="10">
        <f>E82/Calculation!K$14*1000</f>
        <v>1.1282709559779804E-3</v>
      </c>
      <c r="G82" s="10">
        <f t="shared" si="7"/>
        <v>67.335909178626054</v>
      </c>
    </row>
    <row r="83" spans="1:7">
      <c r="A83" s="10">
        <v>39</v>
      </c>
      <c r="B83" s="10">
        <v>360.04</v>
      </c>
      <c r="C83" s="10">
        <f t="shared" si="4"/>
        <v>0.36004000000000003</v>
      </c>
      <c r="D83" s="10">
        <f t="shared" si="5"/>
        <v>2.5310811999999999E-2</v>
      </c>
      <c r="E83" s="10">
        <f t="shared" si="6"/>
        <v>1.1299469642857144E-3</v>
      </c>
      <c r="F83" s="10">
        <f>E83/Calculation!K$14*1000</f>
        <v>1.1411390386828252E-3</v>
      </c>
      <c r="G83" s="10">
        <f t="shared" si="7"/>
        <v>67.369950328545968</v>
      </c>
    </row>
    <row r="84" spans="1:7">
      <c r="A84" s="10">
        <v>39.5</v>
      </c>
      <c r="B84" s="10">
        <v>406.06</v>
      </c>
      <c r="C84" s="10">
        <f t="shared" si="4"/>
        <v>0.40605999999999998</v>
      </c>
      <c r="D84" s="10">
        <f t="shared" si="5"/>
        <v>2.8546017999999996E-2</v>
      </c>
      <c r="E84" s="10">
        <f t="shared" si="6"/>
        <v>1.2743758035714285E-3</v>
      </c>
      <c r="F84" s="10">
        <f>E84/Calculation!K$14*1000</f>
        <v>1.2869984391943893E-3</v>
      </c>
      <c r="G84" s="10">
        <f t="shared" si="7"/>
        <v>67.406372390714125</v>
      </c>
    </row>
    <row r="85" spans="1:7">
      <c r="A85" s="10">
        <v>40</v>
      </c>
      <c r="B85" s="10">
        <v>319.43</v>
      </c>
      <c r="C85" s="10">
        <f t="shared" si="4"/>
        <v>0.31942999999999999</v>
      </c>
      <c r="D85" s="10">
        <f t="shared" si="5"/>
        <v>2.2455928999999999E-2</v>
      </c>
      <c r="E85" s="10">
        <f t="shared" si="6"/>
        <v>1.0024968303571429E-3</v>
      </c>
      <c r="F85" s="10">
        <f>E85/Calculation!K$14*1000</f>
        <v>1.0124265168493913E-3</v>
      </c>
      <c r="G85" s="10">
        <f t="shared" si="7"/>
        <v>67.440863765054786</v>
      </c>
    </row>
    <row r="86" spans="1:7">
      <c r="A86" s="10">
        <v>40.5</v>
      </c>
      <c r="B86" s="10">
        <v>319.43</v>
      </c>
      <c r="C86" s="10">
        <f t="shared" si="4"/>
        <v>0.31942999999999999</v>
      </c>
      <c r="D86" s="10">
        <f t="shared" si="5"/>
        <v>2.2455928999999999E-2</v>
      </c>
      <c r="E86" s="10">
        <f t="shared" si="6"/>
        <v>1.0024968303571429E-3</v>
      </c>
      <c r="F86" s="10">
        <f>E86/Calculation!K$14*1000</f>
        <v>1.0124265168493913E-3</v>
      </c>
      <c r="G86" s="10">
        <f t="shared" si="7"/>
        <v>67.471236560560271</v>
      </c>
    </row>
    <row r="87" spans="1:7">
      <c r="A87" s="10">
        <v>41</v>
      </c>
      <c r="B87" s="10">
        <v>339.74</v>
      </c>
      <c r="C87" s="10">
        <f t="shared" si="4"/>
        <v>0.33973999999999999</v>
      </c>
      <c r="D87" s="10">
        <f t="shared" si="5"/>
        <v>2.3883722E-2</v>
      </c>
      <c r="E87" s="10">
        <f t="shared" si="6"/>
        <v>1.0662375892857142E-3</v>
      </c>
      <c r="F87" s="10">
        <f>E87/Calculation!K$14*1000</f>
        <v>1.0767986251586017E-3</v>
      </c>
      <c r="G87" s="10">
        <f t="shared" si="7"/>
        <v>67.502574937690397</v>
      </c>
    </row>
    <row r="88" spans="1:7">
      <c r="A88" s="10">
        <v>41.5</v>
      </c>
      <c r="B88" s="10">
        <v>343.8</v>
      </c>
      <c r="C88" s="10">
        <f t="shared" si="4"/>
        <v>0.34379999999999999</v>
      </c>
      <c r="D88" s="10">
        <f t="shared" si="5"/>
        <v>2.4169139999999999E-2</v>
      </c>
      <c r="E88" s="10">
        <f t="shared" si="6"/>
        <v>1.0789794642857144E-3</v>
      </c>
      <c r="F88" s="10">
        <f>E88/Calculation!K$14*1000</f>
        <v>1.0896667078634464E-3</v>
      </c>
      <c r="G88" s="10">
        <f t="shared" si="7"/>
        <v>67.535071917685727</v>
      </c>
    </row>
    <row r="89" spans="1:7">
      <c r="A89" s="10">
        <v>42</v>
      </c>
      <c r="B89" s="10">
        <v>341.09</v>
      </c>
      <c r="C89" s="10">
        <f t="shared" si="4"/>
        <v>0.34108999999999995</v>
      </c>
      <c r="D89" s="10">
        <f t="shared" si="5"/>
        <v>2.3978626999999995E-2</v>
      </c>
      <c r="E89" s="10">
        <f t="shared" si="6"/>
        <v>1.070474419642857E-3</v>
      </c>
      <c r="F89" s="10">
        <f>E89/Calculation!K$14*1000</f>
        <v>1.0810774211318873E-3</v>
      </c>
      <c r="G89" s="10">
        <f t="shared" si="7"/>
        <v>67.567633079620663</v>
      </c>
    </row>
    <row r="90" spans="1:7">
      <c r="A90" s="10">
        <v>42.5</v>
      </c>
      <c r="B90" s="10">
        <v>326.2</v>
      </c>
      <c r="C90" s="10">
        <f t="shared" si="4"/>
        <v>0.32619999999999999</v>
      </c>
      <c r="D90" s="10">
        <f t="shared" si="5"/>
        <v>2.2931859999999998E-2</v>
      </c>
      <c r="E90" s="10">
        <f t="shared" si="6"/>
        <v>1.02374375E-3</v>
      </c>
      <c r="F90" s="10">
        <f>E90/Calculation!K$14*1000</f>
        <v>1.0338838862857945E-3</v>
      </c>
      <c r="G90" s="10">
        <f t="shared" si="7"/>
        <v>67.599357499231928</v>
      </c>
    </row>
    <row r="91" spans="1:7">
      <c r="A91" s="10">
        <v>43</v>
      </c>
      <c r="B91" s="10">
        <v>364.1</v>
      </c>
      <c r="C91" s="10">
        <f t="shared" si="4"/>
        <v>0.36410000000000003</v>
      </c>
      <c r="D91" s="10">
        <f t="shared" si="5"/>
        <v>2.5596230000000001E-2</v>
      </c>
      <c r="E91" s="10">
        <f t="shared" si="6"/>
        <v>1.1426888392857145E-3</v>
      </c>
      <c r="F91" s="10">
        <f>E91/Calculation!K$14*1000</f>
        <v>1.1540071213876697E-3</v>
      </c>
      <c r="G91" s="10">
        <f t="shared" si="7"/>
        <v>67.632175864347033</v>
      </c>
    </row>
    <row r="92" spans="1:7">
      <c r="A92" s="10">
        <v>43.5</v>
      </c>
      <c r="B92" s="10">
        <v>506.22</v>
      </c>
      <c r="C92" s="10">
        <f t="shared" si="4"/>
        <v>0.50622</v>
      </c>
      <c r="D92" s="10">
        <f t="shared" si="5"/>
        <v>3.5587265999999999E-2</v>
      </c>
      <c r="E92" s="10">
        <f t="shared" si="6"/>
        <v>1.5887172321428571E-3</v>
      </c>
      <c r="F92" s="10">
        <f>E92/Calculation!K$14*1000</f>
        <v>1.604453405627207E-3</v>
      </c>
      <c r="G92" s="10">
        <f t="shared" si="7"/>
        <v>67.673552772252251</v>
      </c>
    </row>
    <row r="93" spans="1:7">
      <c r="A93" s="10">
        <v>44</v>
      </c>
      <c r="B93" s="10">
        <v>373.57</v>
      </c>
      <c r="C93" s="10">
        <f t="shared" si="4"/>
        <v>0.37357000000000001</v>
      </c>
      <c r="D93" s="10">
        <f t="shared" si="5"/>
        <v>2.6261970999999999E-2</v>
      </c>
      <c r="E93" s="10">
        <f t="shared" si="6"/>
        <v>1.172409419642857E-3</v>
      </c>
      <c r="F93" s="10">
        <f>E93/Calculation!K$14*1000</f>
        <v>1.1840220827706446E-3</v>
      </c>
      <c r="G93" s="10">
        <f t="shared" si="7"/>
        <v>67.715379904578214</v>
      </c>
    </row>
    <row r="94" spans="1:7">
      <c r="A94" s="10">
        <v>44.5</v>
      </c>
      <c r="B94" s="10">
        <v>366.81</v>
      </c>
      <c r="C94" s="10">
        <f t="shared" si="4"/>
        <v>0.36681000000000002</v>
      </c>
      <c r="D94" s="10">
        <f t="shared" si="5"/>
        <v>2.5786743000000001E-2</v>
      </c>
      <c r="E94" s="10">
        <f t="shared" si="6"/>
        <v>1.1511938839285716E-3</v>
      </c>
      <c r="F94" s="10">
        <f>E94/Calculation!K$14*1000</f>
        <v>1.1625964081192288E-3</v>
      </c>
      <c r="G94" s="10">
        <f t="shared" si="7"/>
        <v>67.750579181941561</v>
      </c>
    </row>
    <row r="95" spans="1:7">
      <c r="A95" s="10">
        <v>45</v>
      </c>
      <c r="B95" s="10">
        <v>338.38</v>
      </c>
      <c r="C95" s="10">
        <f t="shared" si="4"/>
        <v>0.33838000000000001</v>
      </c>
      <c r="D95" s="10">
        <f t="shared" si="5"/>
        <v>2.3788113999999999E-2</v>
      </c>
      <c r="E95" s="10">
        <f t="shared" si="6"/>
        <v>1.0619693750000001E-3</v>
      </c>
      <c r="F95" s="10">
        <f>E95/Calculation!K$14*1000</f>
        <v>1.0724881344003289E-3</v>
      </c>
      <c r="G95" s="10">
        <f t="shared" si="7"/>
        <v>67.784105450079352</v>
      </c>
    </row>
    <row r="96" spans="1:7">
      <c r="A96" s="10">
        <v>45.5</v>
      </c>
      <c r="B96" s="10">
        <v>334.32</v>
      </c>
      <c r="C96" s="10">
        <f t="shared" si="4"/>
        <v>0.33432000000000001</v>
      </c>
      <c r="D96" s="10">
        <f t="shared" si="5"/>
        <v>2.3502695999999997E-2</v>
      </c>
      <c r="E96" s="10">
        <f t="shared" si="6"/>
        <v>1.0492275E-3</v>
      </c>
      <c r="F96" s="10">
        <f>E96/Calculation!K$14*1000</f>
        <v>1.0596200516954839E-3</v>
      </c>
      <c r="G96" s="10">
        <f t="shared" si="7"/>
        <v>67.816087072870786</v>
      </c>
    </row>
    <row r="97" spans="1:7">
      <c r="A97" s="10">
        <v>46</v>
      </c>
      <c r="B97" s="10">
        <v>366.81</v>
      </c>
      <c r="C97" s="10">
        <f t="shared" si="4"/>
        <v>0.36681000000000002</v>
      </c>
      <c r="D97" s="10">
        <f t="shared" si="5"/>
        <v>2.5786743000000001E-2</v>
      </c>
      <c r="E97" s="10">
        <f t="shared" si="6"/>
        <v>1.1511938839285716E-3</v>
      </c>
      <c r="F97" s="10">
        <f>E97/Calculation!K$14*1000</f>
        <v>1.1625964081192288E-3</v>
      </c>
      <c r="G97" s="10">
        <f t="shared" si="7"/>
        <v>67.849420319768001</v>
      </c>
    </row>
    <row r="98" spans="1:7">
      <c r="A98" s="10">
        <v>46.5</v>
      </c>
      <c r="B98" s="10">
        <v>368.16</v>
      </c>
      <c r="C98" s="10">
        <f t="shared" si="4"/>
        <v>0.36816000000000004</v>
      </c>
      <c r="D98" s="10">
        <f t="shared" si="5"/>
        <v>2.5881648E-2</v>
      </c>
      <c r="E98" s="10">
        <f t="shared" si="6"/>
        <v>1.1554307142857144E-3</v>
      </c>
      <c r="F98" s="10">
        <f>E98/Calculation!K$14*1000</f>
        <v>1.1668752040925145E-3</v>
      </c>
      <c r="G98" s="10">
        <f t="shared" si="7"/>
        <v>67.884362393951179</v>
      </c>
    </row>
    <row r="99" spans="1:7">
      <c r="A99" s="10">
        <v>47</v>
      </c>
      <c r="B99" s="10">
        <v>353.27</v>
      </c>
      <c r="C99" s="10">
        <f t="shared" si="4"/>
        <v>0.35326999999999997</v>
      </c>
      <c r="D99" s="10">
        <f t="shared" si="5"/>
        <v>2.4834880999999996E-2</v>
      </c>
      <c r="E99" s="10">
        <f t="shared" si="6"/>
        <v>1.1087000446428571E-3</v>
      </c>
      <c r="F99" s="10">
        <f>E99/Calculation!K$14*1000</f>
        <v>1.1196816692464215E-3</v>
      </c>
      <c r="G99" s="10">
        <f t="shared" si="7"/>
        <v>67.918660747051263</v>
      </c>
    </row>
    <row r="100" spans="1:7">
      <c r="A100" s="10">
        <v>47.5</v>
      </c>
      <c r="B100" s="10">
        <v>358.68</v>
      </c>
      <c r="C100" s="10">
        <f t="shared" si="4"/>
        <v>0.35868</v>
      </c>
      <c r="D100" s="10">
        <f t="shared" si="5"/>
        <v>2.5215203999999998E-2</v>
      </c>
      <c r="E100" s="10">
        <f t="shared" si="6"/>
        <v>1.12567875E-3</v>
      </c>
      <c r="F100" s="10">
        <f>E100/Calculation!K$14*1000</f>
        <v>1.136828547924552E-3</v>
      </c>
      <c r="G100" s="10">
        <f t="shared" si="7"/>
        <v>67.95250840030883</v>
      </c>
    </row>
    <row r="101" spans="1:7">
      <c r="A101" s="10">
        <v>48</v>
      </c>
      <c r="B101" s="10">
        <v>327.55</v>
      </c>
      <c r="C101" s="10">
        <f t="shared" si="4"/>
        <v>0.32755000000000001</v>
      </c>
      <c r="D101" s="10">
        <f t="shared" si="5"/>
        <v>2.3026765000000001E-2</v>
      </c>
      <c r="E101" s="10">
        <f t="shared" si="6"/>
        <v>1.0279805803571429E-3</v>
      </c>
      <c r="F101" s="10">
        <f>E101/Calculation!K$15*1000</f>
        <v>1.0984226342843021E-3</v>
      </c>
      <c r="G101" s="10">
        <f t="shared" si="7"/>
        <v>67.98603716804196</v>
      </c>
    </row>
    <row r="102" spans="1:7">
      <c r="A102" s="10">
        <v>48.5</v>
      </c>
      <c r="B102" s="10">
        <v>358.68</v>
      </c>
      <c r="C102" s="10">
        <f t="shared" ref="C102:C149" si="8">B102/1000</f>
        <v>0.35868</v>
      </c>
      <c r="D102" s="10">
        <f t="shared" ref="D102:D149" si="9">C102/1000*$B$1</f>
        <v>2.5215203999999998E-2</v>
      </c>
      <c r="E102" s="10">
        <f t="shared" ref="E102:E149" si="10">D102/22.4</f>
        <v>1.12567875E-3</v>
      </c>
      <c r="F102" s="10">
        <f>E102/Calculation!K$15*1000</f>
        <v>1.2028155410321888E-3</v>
      </c>
      <c r="G102" s="10">
        <f t="shared" ref="G102:G149" si="11">G101+(F102+F101)/2*30</f>
        <v>68.020555740671711</v>
      </c>
    </row>
    <row r="103" spans="1:7">
      <c r="A103" s="10">
        <v>49</v>
      </c>
      <c r="B103" s="10">
        <v>378.99</v>
      </c>
      <c r="C103" s="10">
        <f t="shared" si="8"/>
        <v>0.37898999999999999</v>
      </c>
      <c r="D103" s="10">
        <f t="shared" si="9"/>
        <v>2.6642996999999998E-2</v>
      </c>
      <c r="E103" s="10">
        <f t="shared" si="10"/>
        <v>1.1894195089285713E-3</v>
      </c>
      <c r="F103" s="10">
        <f>E103/Calculation!K$15*1000</f>
        <v>1.270924115913319E-3</v>
      </c>
      <c r="G103" s="10">
        <f t="shared" si="11"/>
        <v>68.057661835525892</v>
      </c>
    </row>
    <row r="104" spans="1:7">
      <c r="A104" s="10">
        <v>49.5</v>
      </c>
      <c r="B104" s="10">
        <v>338.38</v>
      </c>
      <c r="C104" s="10">
        <f t="shared" si="8"/>
        <v>0.33838000000000001</v>
      </c>
      <c r="D104" s="10">
        <f t="shared" si="9"/>
        <v>2.3788113999999999E-2</v>
      </c>
      <c r="E104" s="10">
        <f t="shared" si="10"/>
        <v>1.0619693750000001E-3</v>
      </c>
      <c r="F104" s="10">
        <f>E104/Calculation!K$15*1000</f>
        <v>1.1347405006537083E-3</v>
      </c>
      <c r="G104" s="10">
        <f t="shared" si="11"/>
        <v>68.093746804774398</v>
      </c>
    </row>
    <row r="105" spans="1:7">
      <c r="A105" s="10">
        <v>50</v>
      </c>
      <c r="B105" s="10">
        <v>418.24</v>
      </c>
      <c r="C105" s="10">
        <f t="shared" si="8"/>
        <v>0.41824</v>
      </c>
      <c r="D105" s="10">
        <f t="shared" si="9"/>
        <v>2.9402272E-2</v>
      </c>
      <c r="E105" s="10">
        <f t="shared" si="10"/>
        <v>1.3126014285714286E-3</v>
      </c>
      <c r="F105" s="10">
        <f>E105/Calculation!K$15*1000</f>
        <v>1.4025470388125982E-3</v>
      </c>
      <c r="G105" s="10">
        <f t="shared" si="11"/>
        <v>68.13180611786639</v>
      </c>
    </row>
    <row r="106" spans="1:7">
      <c r="A106" s="10">
        <v>50.5</v>
      </c>
      <c r="B106" s="10">
        <v>372.22</v>
      </c>
      <c r="C106" s="10">
        <f t="shared" si="8"/>
        <v>0.37222000000000005</v>
      </c>
      <c r="D106" s="10">
        <f t="shared" si="9"/>
        <v>2.6167066000000003E-2</v>
      </c>
      <c r="E106" s="10">
        <f t="shared" si="10"/>
        <v>1.1681725892857145E-3</v>
      </c>
      <c r="F106" s="10">
        <f>E106/Calculation!K$15*1000</f>
        <v>1.2482212576196091E-3</v>
      </c>
      <c r="G106" s="10">
        <f t="shared" si="11"/>
        <v>68.17156764231288</v>
      </c>
    </row>
    <row r="107" spans="1:7">
      <c r="A107" s="10">
        <v>51</v>
      </c>
      <c r="B107" s="10">
        <v>366.81</v>
      </c>
      <c r="C107" s="10">
        <f t="shared" si="8"/>
        <v>0.36681000000000002</v>
      </c>
      <c r="D107" s="10">
        <f t="shared" si="9"/>
        <v>2.5786743000000001E-2</v>
      </c>
      <c r="E107" s="10">
        <f t="shared" si="10"/>
        <v>1.1511938839285716E-3</v>
      </c>
      <c r="F107" s="10">
        <f>E107/Calculation!K$15*1000</f>
        <v>1.2300790916862309E-3</v>
      </c>
      <c r="G107" s="10">
        <f t="shared" si="11"/>
        <v>68.208742147552471</v>
      </c>
    </row>
    <row r="108" spans="1:7">
      <c r="A108" s="10">
        <v>51.5</v>
      </c>
      <c r="B108" s="10">
        <v>406.06</v>
      </c>
      <c r="C108" s="10">
        <f t="shared" si="8"/>
        <v>0.40605999999999998</v>
      </c>
      <c r="D108" s="10">
        <f t="shared" si="9"/>
        <v>2.8546017999999996E-2</v>
      </c>
      <c r="E108" s="10">
        <f t="shared" si="10"/>
        <v>1.2743758035714285E-3</v>
      </c>
      <c r="F108" s="10">
        <f>E108/Calculation!K$15*1000</f>
        <v>1.3617020145855095E-3</v>
      </c>
      <c r="G108" s="10">
        <f t="shared" si="11"/>
        <v>68.247618864146546</v>
      </c>
    </row>
    <row r="109" spans="1:7">
      <c r="A109" s="10">
        <v>52</v>
      </c>
      <c r="B109" s="10">
        <v>378.99</v>
      </c>
      <c r="C109" s="10">
        <f t="shared" si="8"/>
        <v>0.37898999999999999</v>
      </c>
      <c r="D109" s="10">
        <f t="shared" si="9"/>
        <v>2.6642996999999998E-2</v>
      </c>
      <c r="E109" s="10">
        <f t="shared" si="10"/>
        <v>1.1894195089285713E-3</v>
      </c>
      <c r="F109" s="10">
        <f>E109/Calculation!K$15*1000</f>
        <v>1.270924115913319E-3</v>
      </c>
      <c r="G109" s="10">
        <f t="shared" si="11"/>
        <v>68.287108256104034</v>
      </c>
    </row>
    <row r="110" spans="1:7">
      <c r="A110" s="10">
        <v>52.5</v>
      </c>
      <c r="B110" s="10">
        <v>410.12</v>
      </c>
      <c r="C110" s="10">
        <f t="shared" si="8"/>
        <v>0.41011999999999998</v>
      </c>
      <c r="D110" s="10">
        <f t="shared" si="9"/>
        <v>2.8831435999999998E-2</v>
      </c>
      <c r="E110" s="10">
        <f t="shared" si="10"/>
        <v>1.2871176785714286E-3</v>
      </c>
      <c r="F110" s="10">
        <f>E110/Calculation!K$15*1000</f>
        <v>1.3753170226612058E-3</v>
      </c>
      <c r="G110" s="10">
        <f t="shared" si="11"/>
        <v>68.326801873182646</v>
      </c>
    </row>
    <row r="111" spans="1:7">
      <c r="A111" s="10">
        <v>53</v>
      </c>
      <c r="B111" s="10">
        <v>0</v>
      </c>
      <c r="C111" s="10">
        <f t="shared" si="8"/>
        <v>0</v>
      </c>
      <c r="D111" s="10">
        <f t="shared" si="9"/>
        <v>0</v>
      </c>
      <c r="E111" s="10">
        <f t="shared" si="10"/>
        <v>0</v>
      </c>
      <c r="F111" s="10">
        <f>E111/Calculation!K$15*1000</f>
        <v>0</v>
      </c>
      <c r="G111" s="10">
        <f t="shared" si="11"/>
        <v>68.347431628522557</v>
      </c>
    </row>
    <row r="112" spans="1:7">
      <c r="A112" s="10">
        <v>53.5</v>
      </c>
      <c r="B112" s="10">
        <v>0</v>
      </c>
      <c r="C112" s="10">
        <f t="shared" si="8"/>
        <v>0</v>
      </c>
      <c r="D112" s="10">
        <f t="shared" si="9"/>
        <v>0</v>
      </c>
      <c r="E112" s="10">
        <f t="shared" si="10"/>
        <v>0</v>
      </c>
      <c r="F112" s="10">
        <f>E112/Calculation!K$15*1000</f>
        <v>0</v>
      </c>
      <c r="G112" s="10">
        <f t="shared" si="11"/>
        <v>68.347431628522557</v>
      </c>
    </row>
    <row r="113" spans="1:7">
      <c r="A113" s="10">
        <v>54</v>
      </c>
      <c r="B113" s="10">
        <v>0</v>
      </c>
      <c r="C113" s="10">
        <f t="shared" si="8"/>
        <v>0</v>
      </c>
      <c r="D113" s="10">
        <f t="shared" si="9"/>
        <v>0</v>
      </c>
      <c r="E113" s="10">
        <f t="shared" si="10"/>
        <v>0</v>
      </c>
      <c r="F113" s="10">
        <f>E113/Calculation!K$15*1000</f>
        <v>0</v>
      </c>
      <c r="G113" s="10">
        <f t="shared" si="11"/>
        <v>68.347431628522557</v>
      </c>
    </row>
    <row r="114" spans="1:7">
      <c r="A114" s="10">
        <v>54.5</v>
      </c>
      <c r="B114" s="10">
        <v>0</v>
      </c>
      <c r="C114" s="10">
        <f t="shared" si="8"/>
        <v>0</v>
      </c>
      <c r="D114" s="10">
        <f t="shared" si="9"/>
        <v>0</v>
      </c>
      <c r="E114" s="10">
        <f t="shared" si="10"/>
        <v>0</v>
      </c>
      <c r="F114" s="10">
        <f>E114/Calculation!K$15*1000</f>
        <v>0</v>
      </c>
      <c r="G114" s="10">
        <f t="shared" si="11"/>
        <v>68.347431628522557</v>
      </c>
    </row>
    <row r="115" spans="1:7">
      <c r="A115" s="10">
        <v>55</v>
      </c>
      <c r="B115" s="10">
        <v>0</v>
      </c>
      <c r="C115" s="10">
        <f t="shared" si="8"/>
        <v>0</v>
      </c>
      <c r="D115" s="10">
        <f t="shared" si="9"/>
        <v>0</v>
      </c>
      <c r="E115" s="10">
        <f t="shared" si="10"/>
        <v>0</v>
      </c>
      <c r="F115" s="10">
        <f>E115/Calculation!K$15*1000</f>
        <v>0</v>
      </c>
      <c r="G115" s="10">
        <f t="shared" si="11"/>
        <v>68.347431628522557</v>
      </c>
    </row>
    <row r="116" spans="1:7">
      <c r="A116" s="10">
        <v>55.5</v>
      </c>
      <c r="B116" s="10">
        <v>0</v>
      </c>
      <c r="C116" s="10">
        <f t="shared" si="8"/>
        <v>0</v>
      </c>
      <c r="D116" s="10">
        <f t="shared" si="9"/>
        <v>0</v>
      </c>
      <c r="E116" s="10">
        <f t="shared" si="10"/>
        <v>0</v>
      </c>
      <c r="F116" s="10">
        <f>E116/Calculation!K$15*1000</f>
        <v>0</v>
      </c>
      <c r="G116" s="10">
        <f t="shared" si="11"/>
        <v>68.347431628522557</v>
      </c>
    </row>
    <row r="117" spans="1:7">
      <c r="A117" s="10">
        <v>56</v>
      </c>
      <c r="B117" s="10">
        <v>0</v>
      </c>
      <c r="C117" s="10">
        <f t="shared" si="8"/>
        <v>0</v>
      </c>
      <c r="D117" s="10">
        <f t="shared" si="9"/>
        <v>0</v>
      </c>
      <c r="E117" s="10">
        <f t="shared" si="10"/>
        <v>0</v>
      </c>
      <c r="F117" s="10">
        <f>E117/Calculation!K$15*1000</f>
        <v>0</v>
      </c>
      <c r="G117" s="10">
        <f t="shared" si="11"/>
        <v>68.347431628522557</v>
      </c>
    </row>
    <row r="118" spans="1:7">
      <c r="A118" s="10">
        <v>56.5</v>
      </c>
      <c r="B118" s="10">
        <v>0</v>
      </c>
      <c r="C118" s="10">
        <f t="shared" si="8"/>
        <v>0</v>
      </c>
      <c r="D118" s="10">
        <f t="shared" si="9"/>
        <v>0</v>
      </c>
      <c r="E118" s="10">
        <f t="shared" si="10"/>
        <v>0</v>
      </c>
      <c r="F118" s="10">
        <f>E118/Calculation!K$15*1000</f>
        <v>0</v>
      </c>
      <c r="G118" s="10">
        <f t="shared" si="11"/>
        <v>68.347431628522557</v>
      </c>
    </row>
    <row r="119" spans="1:7">
      <c r="A119" s="10">
        <v>57</v>
      </c>
      <c r="B119" s="10">
        <v>0</v>
      </c>
      <c r="C119" s="10">
        <f t="shared" si="8"/>
        <v>0</v>
      </c>
      <c r="D119" s="10">
        <f t="shared" si="9"/>
        <v>0</v>
      </c>
      <c r="E119" s="10">
        <f t="shared" si="10"/>
        <v>0</v>
      </c>
      <c r="F119" s="10">
        <f>E119/Calculation!K$15*1000</f>
        <v>0</v>
      </c>
      <c r="G119" s="10">
        <f t="shared" si="11"/>
        <v>68.347431628522557</v>
      </c>
    </row>
    <row r="120" spans="1:7">
      <c r="A120" s="10">
        <v>57.5</v>
      </c>
      <c r="B120" s="10">
        <v>0</v>
      </c>
      <c r="C120" s="10">
        <f t="shared" si="8"/>
        <v>0</v>
      </c>
      <c r="D120" s="10">
        <f t="shared" si="9"/>
        <v>0</v>
      </c>
      <c r="E120" s="10">
        <f t="shared" si="10"/>
        <v>0</v>
      </c>
      <c r="F120" s="10">
        <f>E120/Calculation!K$15*1000</f>
        <v>0</v>
      </c>
      <c r="G120" s="10">
        <f t="shared" si="11"/>
        <v>68.347431628522557</v>
      </c>
    </row>
    <row r="121" spans="1:7">
      <c r="A121" s="10">
        <v>58</v>
      </c>
      <c r="B121" s="10">
        <v>0</v>
      </c>
      <c r="C121" s="10">
        <f t="shared" si="8"/>
        <v>0</v>
      </c>
      <c r="D121" s="10">
        <f t="shared" si="9"/>
        <v>0</v>
      </c>
      <c r="E121" s="10">
        <f t="shared" si="10"/>
        <v>0</v>
      </c>
      <c r="F121" s="10">
        <f>E121/Calculation!K$15*1000</f>
        <v>0</v>
      </c>
      <c r="G121" s="10">
        <f t="shared" si="11"/>
        <v>68.347431628522557</v>
      </c>
    </row>
    <row r="122" spans="1:7">
      <c r="A122" s="10">
        <v>58.5</v>
      </c>
      <c r="B122" s="10">
        <v>0</v>
      </c>
      <c r="C122" s="10">
        <f t="shared" si="8"/>
        <v>0</v>
      </c>
      <c r="D122" s="10">
        <f t="shared" si="9"/>
        <v>0</v>
      </c>
      <c r="E122" s="10">
        <f t="shared" si="10"/>
        <v>0</v>
      </c>
      <c r="F122" s="10">
        <f>E122/Calculation!K$15*1000</f>
        <v>0</v>
      </c>
      <c r="G122" s="10">
        <f t="shared" si="11"/>
        <v>68.347431628522557</v>
      </c>
    </row>
    <row r="123" spans="1:7">
      <c r="A123" s="10">
        <v>59</v>
      </c>
      <c r="B123" s="10">
        <v>0</v>
      </c>
      <c r="C123" s="10">
        <f t="shared" si="8"/>
        <v>0</v>
      </c>
      <c r="D123" s="10">
        <f t="shared" si="9"/>
        <v>0</v>
      </c>
      <c r="E123" s="10">
        <f t="shared" si="10"/>
        <v>0</v>
      </c>
      <c r="F123" s="10">
        <f>E123/Calculation!K$15*1000</f>
        <v>0</v>
      </c>
      <c r="G123" s="10">
        <f t="shared" si="11"/>
        <v>68.347431628522557</v>
      </c>
    </row>
    <row r="124" spans="1:7">
      <c r="A124" s="10">
        <v>59.5</v>
      </c>
      <c r="B124" s="10">
        <v>0</v>
      </c>
      <c r="C124" s="10">
        <f t="shared" si="8"/>
        <v>0</v>
      </c>
      <c r="D124" s="10">
        <f t="shared" si="9"/>
        <v>0</v>
      </c>
      <c r="E124" s="10">
        <f t="shared" si="10"/>
        <v>0</v>
      </c>
      <c r="F124" s="10">
        <f>E124/Calculation!K$15*1000</f>
        <v>0</v>
      </c>
      <c r="G124" s="10">
        <f t="shared" si="11"/>
        <v>68.347431628522557</v>
      </c>
    </row>
    <row r="125" spans="1:7">
      <c r="A125" s="10">
        <v>60</v>
      </c>
      <c r="B125" s="10">
        <v>0</v>
      </c>
      <c r="C125" s="10">
        <f t="shared" si="8"/>
        <v>0</v>
      </c>
      <c r="D125" s="10">
        <f t="shared" si="9"/>
        <v>0</v>
      </c>
      <c r="E125" s="10">
        <f t="shared" si="10"/>
        <v>0</v>
      </c>
      <c r="F125" s="10">
        <f>E125/Calculation!K$15*1000</f>
        <v>0</v>
      </c>
      <c r="G125" s="10">
        <f t="shared" si="11"/>
        <v>68.347431628522557</v>
      </c>
    </row>
    <row r="126" spans="1:7">
      <c r="A126" s="10">
        <v>60.5</v>
      </c>
      <c r="B126" s="10">
        <v>1.35</v>
      </c>
      <c r="C126" s="10">
        <f t="shared" si="8"/>
        <v>1.3500000000000001E-3</v>
      </c>
      <c r="D126" s="10">
        <f t="shared" si="9"/>
        <v>9.4905E-5</v>
      </c>
      <c r="E126" s="10">
        <f t="shared" si="10"/>
        <v>4.2368303571428578E-6</v>
      </c>
      <c r="F126" s="10">
        <f>E126/Calculation!K$15*1000</f>
        <v>4.52715785768221E-6</v>
      </c>
      <c r="G126" s="10">
        <f t="shared" si="11"/>
        <v>68.347499535890421</v>
      </c>
    </row>
    <row r="127" spans="1:7">
      <c r="A127" s="10">
        <v>61</v>
      </c>
      <c r="B127" s="10">
        <v>0</v>
      </c>
      <c r="C127" s="10">
        <f t="shared" si="8"/>
        <v>0</v>
      </c>
      <c r="D127" s="10">
        <f t="shared" si="9"/>
        <v>0</v>
      </c>
      <c r="E127" s="10">
        <f t="shared" si="10"/>
        <v>0</v>
      </c>
      <c r="F127" s="10">
        <f>E127/Calculation!K$15*1000</f>
        <v>0</v>
      </c>
      <c r="G127" s="10">
        <f t="shared" si="11"/>
        <v>68.347567443258285</v>
      </c>
    </row>
    <row r="128" spans="1:7">
      <c r="A128" s="10">
        <v>61.5</v>
      </c>
      <c r="B128" s="10">
        <v>0</v>
      </c>
      <c r="C128" s="10">
        <f t="shared" si="8"/>
        <v>0</v>
      </c>
      <c r="D128" s="10">
        <f t="shared" si="9"/>
        <v>0</v>
      </c>
      <c r="E128" s="10">
        <f t="shared" si="10"/>
        <v>0</v>
      </c>
      <c r="F128" s="10">
        <f>E128/Calculation!K$15*1000</f>
        <v>0</v>
      </c>
      <c r="G128" s="10">
        <f t="shared" si="11"/>
        <v>68.347567443258285</v>
      </c>
    </row>
    <row r="129" spans="1:7">
      <c r="A129" s="10">
        <v>62</v>
      </c>
      <c r="B129" s="10">
        <v>0</v>
      </c>
      <c r="C129" s="10">
        <f t="shared" si="8"/>
        <v>0</v>
      </c>
      <c r="D129" s="10">
        <f t="shared" si="9"/>
        <v>0</v>
      </c>
      <c r="E129" s="10">
        <f t="shared" si="10"/>
        <v>0</v>
      </c>
      <c r="F129" s="10">
        <f>E129/Calculation!K$15*1000</f>
        <v>0</v>
      </c>
      <c r="G129" s="10">
        <f t="shared" si="11"/>
        <v>68.347567443258285</v>
      </c>
    </row>
    <row r="130" spans="1:7">
      <c r="A130" s="10">
        <v>62.5</v>
      </c>
      <c r="B130" s="10">
        <v>0</v>
      </c>
      <c r="C130" s="10">
        <f t="shared" si="8"/>
        <v>0</v>
      </c>
      <c r="D130" s="10">
        <f t="shared" si="9"/>
        <v>0</v>
      </c>
      <c r="E130" s="10">
        <f t="shared" si="10"/>
        <v>0</v>
      </c>
      <c r="F130" s="10">
        <f>E130/Calculation!K$15*1000</f>
        <v>0</v>
      </c>
      <c r="G130" s="10">
        <f t="shared" si="11"/>
        <v>68.347567443258285</v>
      </c>
    </row>
    <row r="131" spans="1:7">
      <c r="A131" s="10">
        <v>63</v>
      </c>
      <c r="B131" s="10">
        <v>0</v>
      </c>
      <c r="C131" s="10">
        <f t="shared" si="8"/>
        <v>0</v>
      </c>
      <c r="D131" s="10">
        <f t="shared" si="9"/>
        <v>0</v>
      </c>
      <c r="E131" s="10">
        <f t="shared" si="10"/>
        <v>0</v>
      </c>
      <c r="F131" s="10">
        <f>E131/Calculation!K$15*1000</f>
        <v>0</v>
      </c>
      <c r="G131" s="10">
        <f t="shared" si="11"/>
        <v>68.347567443258285</v>
      </c>
    </row>
    <row r="132" spans="1:7">
      <c r="A132" s="10">
        <v>63.5</v>
      </c>
      <c r="B132" s="10">
        <v>0</v>
      </c>
      <c r="C132" s="10">
        <f t="shared" si="8"/>
        <v>0</v>
      </c>
      <c r="D132" s="10">
        <f t="shared" si="9"/>
        <v>0</v>
      </c>
      <c r="E132" s="10">
        <f t="shared" si="10"/>
        <v>0</v>
      </c>
      <c r="F132" s="10">
        <f>E132/Calculation!K$15*1000</f>
        <v>0</v>
      </c>
      <c r="G132" s="10">
        <f t="shared" si="11"/>
        <v>68.347567443258285</v>
      </c>
    </row>
    <row r="133" spans="1:7">
      <c r="A133" s="10">
        <v>64</v>
      </c>
      <c r="B133" s="10">
        <v>0</v>
      </c>
      <c r="C133" s="10">
        <f t="shared" si="8"/>
        <v>0</v>
      </c>
      <c r="D133" s="10">
        <f t="shared" si="9"/>
        <v>0</v>
      </c>
      <c r="E133" s="10">
        <f t="shared" si="10"/>
        <v>0</v>
      </c>
      <c r="F133" s="10">
        <f>E133/Calculation!K$15*1000</f>
        <v>0</v>
      </c>
      <c r="G133" s="10">
        <f t="shared" si="11"/>
        <v>68.347567443258285</v>
      </c>
    </row>
    <row r="134" spans="1:7">
      <c r="A134" s="10">
        <v>64.5</v>
      </c>
      <c r="B134" s="10">
        <v>0</v>
      </c>
      <c r="C134" s="10">
        <f t="shared" si="8"/>
        <v>0</v>
      </c>
      <c r="D134" s="10">
        <f t="shared" si="9"/>
        <v>0</v>
      </c>
      <c r="E134" s="10">
        <f t="shared" si="10"/>
        <v>0</v>
      </c>
      <c r="F134" s="10">
        <f>E134/Calculation!K$15*1000</f>
        <v>0</v>
      </c>
      <c r="G134" s="10">
        <f t="shared" si="11"/>
        <v>68.347567443258285</v>
      </c>
    </row>
    <row r="135" spans="1:7">
      <c r="A135" s="10">
        <v>65</v>
      </c>
      <c r="B135" s="10">
        <v>0</v>
      </c>
      <c r="C135" s="10">
        <f t="shared" si="8"/>
        <v>0</v>
      </c>
      <c r="D135" s="10">
        <f t="shared" si="9"/>
        <v>0</v>
      </c>
      <c r="E135" s="10">
        <f t="shared" si="10"/>
        <v>0</v>
      </c>
      <c r="F135" s="10">
        <f>E135/Calculation!K$15*1000</f>
        <v>0</v>
      </c>
      <c r="G135" s="10">
        <f t="shared" si="11"/>
        <v>68.347567443258285</v>
      </c>
    </row>
    <row r="136" spans="1:7">
      <c r="A136" s="10">
        <v>65.5</v>
      </c>
      <c r="B136" s="10">
        <v>0</v>
      </c>
      <c r="C136" s="10">
        <f t="shared" si="8"/>
        <v>0</v>
      </c>
      <c r="D136" s="10">
        <f t="shared" si="9"/>
        <v>0</v>
      </c>
      <c r="E136" s="10">
        <f t="shared" si="10"/>
        <v>0</v>
      </c>
      <c r="F136" s="10">
        <f>E136/Calculation!K$15*1000</f>
        <v>0</v>
      </c>
      <c r="G136" s="10">
        <f t="shared" si="11"/>
        <v>68.347567443258285</v>
      </c>
    </row>
    <row r="137" spans="1:7">
      <c r="A137" s="10">
        <v>66</v>
      </c>
      <c r="B137" s="10">
        <v>0</v>
      </c>
      <c r="C137" s="10">
        <f t="shared" si="8"/>
        <v>0</v>
      </c>
      <c r="D137" s="10">
        <f t="shared" si="9"/>
        <v>0</v>
      </c>
      <c r="E137" s="10">
        <f t="shared" si="10"/>
        <v>0</v>
      </c>
      <c r="F137" s="10">
        <f>E137/Calculation!K$15*1000</f>
        <v>0</v>
      </c>
      <c r="G137" s="10">
        <f t="shared" si="11"/>
        <v>68.347567443258285</v>
      </c>
    </row>
    <row r="138" spans="1:7">
      <c r="A138" s="10">
        <v>66.5</v>
      </c>
      <c r="B138" s="10">
        <v>0</v>
      </c>
      <c r="C138" s="10">
        <f t="shared" si="8"/>
        <v>0</v>
      </c>
      <c r="D138" s="10">
        <f t="shared" si="9"/>
        <v>0</v>
      </c>
      <c r="E138" s="10">
        <f t="shared" si="10"/>
        <v>0</v>
      </c>
      <c r="F138" s="10">
        <f>E138/Calculation!K$15*1000</f>
        <v>0</v>
      </c>
      <c r="G138" s="10">
        <f t="shared" si="11"/>
        <v>68.347567443258285</v>
      </c>
    </row>
    <row r="139" spans="1:7">
      <c r="A139" s="10">
        <v>67</v>
      </c>
      <c r="B139" s="10">
        <v>0</v>
      </c>
      <c r="C139" s="10">
        <f t="shared" si="8"/>
        <v>0</v>
      </c>
      <c r="D139" s="10">
        <f t="shared" si="9"/>
        <v>0</v>
      </c>
      <c r="E139" s="10">
        <f t="shared" si="10"/>
        <v>0</v>
      </c>
      <c r="F139" s="10">
        <f>E139/Calculation!K$15*1000</f>
        <v>0</v>
      </c>
      <c r="G139" s="10">
        <f t="shared" si="11"/>
        <v>68.347567443258285</v>
      </c>
    </row>
    <row r="140" spans="1:7">
      <c r="A140" s="10">
        <v>67.5</v>
      </c>
      <c r="B140" s="10">
        <v>0</v>
      </c>
      <c r="C140" s="10">
        <f t="shared" si="8"/>
        <v>0</v>
      </c>
      <c r="D140" s="10">
        <f t="shared" si="9"/>
        <v>0</v>
      </c>
      <c r="E140" s="10">
        <f t="shared" si="10"/>
        <v>0</v>
      </c>
      <c r="F140" s="10">
        <f>E140/Calculation!K$15*1000</f>
        <v>0</v>
      </c>
      <c r="G140" s="10">
        <f t="shared" si="11"/>
        <v>68.347567443258285</v>
      </c>
    </row>
    <row r="141" spans="1:7">
      <c r="A141" s="10">
        <v>68</v>
      </c>
      <c r="B141" s="10">
        <v>0</v>
      </c>
      <c r="C141" s="10">
        <f t="shared" si="8"/>
        <v>0</v>
      </c>
      <c r="D141" s="10">
        <f t="shared" si="9"/>
        <v>0</v>
      </c>
      <c r="E141" s="10">
        <f t="shared" si="10"/>
        <v>0</v>
      </c>
      <c r="F141" s="10">
        <f>E141/Calculation!K$15*1000</f>
        <v>0</v>
      </c>
      <c r="G141" s="10">
        <f t="shared" si="11"/>
        <v>68.347567443258285</v>
      </c>
    </row>
    <row r="142" spans="1:7">
      <c r="A142" s="10">
        <v>68.5</v>
      </c>
      <c r="B142" s="10">
        <v>0</v>
      </c>
      <c r="C142" s="10">
        <f t="shared" si="8"/>
        <v>0</v>
      </c>
      <c r="D142" s="10">
        <f t="shared" si="9"/>
        <v>0</v>
      </c>
      <c r="E142" s="10">
        <f t="shared" si="10"/>
        <v>0</v>
      </c>
      <c r="F142" s="10">
        <f>E142/Calculation!K$15*1000</f>
        <v>0</v>
      </c>
      <c r="G142" s="10">
        <f t="shared" si="11"/>
        <v>68.347567443258285</v>
      </c>
    </row>
    <row r="143" spans="1:7">
      <c r="A143" s="10">
        <v>69</v>
      </c>
      <c r="B143" s="10">
        <v>0</v>
      </c>
      <c r="C143" s="10">
        <f t="shared" si="8"/>
        <v>0</v>
      </c>
      <c r="D143" s="10">
        <f t="shared" si="9"/>
        <v>0</v>
      </c>
      <c r="E143" s="10">
        <f t="shared" si="10"/>
        <v>0</v>
      </c>
      <c r="F143" s="10">
        <f>E143/Calculation!K$15*1000</f>
        <v>0</v>
      </c>
      <c r="G143" s="10">
        <f t="shared" si="11"/>
        <v>68.347567443258285</v>
      </c>
    </row>
    <row r="144" spans="1:7">
      <c r="A144" s="10">
        <v>69.5</v>
      </c>
      <c r="B144" s="10">
        <v>0</v>
      </c>
      <c r="C144" s="10">
        <f t="shared" si="8"/>
        <v>0</v>
      </c>
      <c r="D144" s="10">
        <f t="shared" si="9"/>
        <v>0</v>
      </c>
      <c r="E144" s="10">
        <f t="shared" si="10"/>
        <v>0</v>
      </c>
      <c r="F144" s="10">
        <f>E144/Calculation!K$15*1000</f>
        <v>0</v>
      </c>
      <c r="G144" s="10">
        <f t="shared" si="11"/>
        <v>68.347567443258285</v>
      </c>
    </row>
    <row r="145" spans="1:7">
      <c r="A145" s="10">
        <v>70</v>
      </c>
      <c r="B145" s="10">
        <v>0</v>
      </c>
      <c r="C145" s="10">
        <f t="shared" si="8"/>
        <v>0</v>
      </c>
      <c r="D145" s="10">
        <f t="shared" si="9"/>
        <v>0</v>
      </c>
      <c r="E145" s="10">
        <f t="shared" si="10"/>
        <v>0</v>
      </c>
      <c r="F145" s="10">
        <f>E145/Calculation!K$15*1000</f>
        <v>0</v>
      </c>
      <c r="G145" s="10">
        <f t="shared" si="11"/>
        <v>68.347567443258285</v>
      </c>
    </row>
    <row r="146" spans="1:7">
      <c r="A146" s="10">
        <v>70.5</v>
      </c>
      <c r="B146" s="10">
        <v>0</v>
      </c>
      <c r="C146" s="10">
        <f t="shared" si="8"/>
        <v>0</v>
      </c>
      <c r="D146" s="10">
        <f t="shared" si="9"/>
        <v>0</v>
      </c>
      <c r="E146" s="10">
        <f t="shared" si="10"/>
        <v>0</v>
      </c>
      <c r="F146" s="10">
        <f>E146/Calculation!K$15*1000</f>
        <v>0</v>
      </c>
      <c r="G146" s="10">
        <f t="shared" si="11"/>
        <v>68.347567443258285</v>
      </c>
    </row>
    <row r="147" spans="1:7">
      <c r="A147" s="10">
        <v>71</v>
      </c>
      <c r="B147" s="10">
        <v>0</v>
      </c>
      <c r="C147" s="10">
        <f t="shared" si="8"/>
        <v>0</v>
      </c>
      <c r="D147" s="10">
        <f t="shared" si="9"/>
        <v>0</v>
      </c>
      <c r="E147" s="10">
        <f t="shared" si="10"/>
        <v>0</v>
      </c>
      <c r="F147" s="10">
        <f>E147/Calculation!K$15*1000</f>
        <v>0</v>
      </c>
      <c r="G147" s="10">
        <f t="shared" si="11"/>
        <v>68.347567443258285</v>
      </c>
    </row>
    <row r="148" spans="1:7">
      <c r="A148" s="10">
        <v>71.5</v>
      </c>
      <c r="B148" s="10">
        <v>0</v>
      </c>
      <c r="C148" s="10">
        <f t="shared" si="8"/>
        <v>0</v>
      </c>
      <c r="D148" s="10">
        <f t="shared" si="9"/>
        <v>0</v>
      </c>
      <c r="E148" s="10">
        <f t="shared" si="10"/>
        <v>0</v>
      </c>
      <c r="F148" s="10">
        <f>E148/Calculation!K$15*1000</f>
        <v>0</v>
      </c>
      <c r="G148" s="10">
        <f t="shared" si="11"/>
        <v>68.347567443258285</v>
      </c>
    </row>
    <row r="149" spans="1:7">
      <c r="A149" s="10">
        <v>72</v>
      </c>
      <c r="B149" s="10">
        <v>0</v>
      </c>
      <c r="C149" s="10">
        <f t="shared" si="8"/>
        <v>0</v>
      </c>
      <c r="D149" s="10">
        <f t="shared" si="9"/>
        <v>0</v>
      </c>
      <c r="E149" s="10">
        <f t="shared" si="10"/>
        <v>0</v>
      </c>
      <c r="F149" s="10">
        <f>E149/Calculation!K$15*1000</f>
        <v>0</v>
      </c>
      <c r="G149" s="10">
        <f t="shared" si="11"/>
        <v>68.347567443258285</v>
      </c>
    </row>
  </sheetData>
  <mergeCells count="3">
    <mergeCell ref="A3:A4"/>
    <mergeCell ref="B3:C3"/>
    <mergeCell ref="D3:F3"/>
  </mergeCells>
  <pageMargins left="0.7" right="0.7" top="0.75" bottom="0.75" header="0.3" footer="0.3"/>
  <ignoredErrors>
    <ignoredError sqref="C5" evalError="1"/>
    <ignoredError sqref="F11 F59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152"/>
  <sheetViews>
    <sheetView topLeftCell="A86" zoomScale="98" zoomScaleNormal="98" zoomScalePageLayoutView="98" workbookViewId="0">
      <selection activeCell="F5" sqref="F5:F149"/>
    </sheetView>
  </sheetViews>
  <sheetFormatPr baseColWidth="10" defaultColWidth="8.83203125" defaultRowHeight="14" x14ac:dyDescent="0"/>
  <cols>
    <col min="1" max="1" width="8.5" style="2" bestFit="1" customWidth="1"/>
    <col min="2" max="2" width="10.5" style="2" bestFit="1" customWidth="1"/>
    <col min="3" max="3" width="7.83203125" style="2" bestFit="1" customWidth="1"/>
    <col min="4" max="4" width="9.33203125" style="2" bestFit="1" customWidth="1"/>
    <col min="5" max="5" width="22.33203125" style="2" bestFit="1" customWidth="1"/>
    <col min="6" max="6" width="13.6640625" style="2" bestFit="1" customWidth="1"/>
    <col min="7" max="7" width="8.5" style="2" bestFit="1" customWidth="1"/>
    <col min="8" max="8" width="8.83203125" style="2"/>
    <col min="9" max="9" width="8.6640625" style="2" customWidth="1"/>
    <col min="10" max="10" width="8.83203125" style="2"/>
    <col min="11" max="11" width="12.33203125" style="2" bestFit="1" customWidth="1"/>
    <col min="12" max="13" width="8.83203125" style="2"/>
    <col min="14" max="14" width="7.6640625" style="2" customWidth="1"/>
    <col min="15" max="16384" width="8.83203125" style="2"/>
  </cols>
  <sheetData>
    <row r="1" spans="1:12">
      <c r="A1" s="6" t="s">
        <v>49</v>
      </c>
      <c r="B1" s="10">
        <v>70.3</v>
      </c>
      <c r="C1" s="7" t="s">
        <v>50</v>
      </c>
    </row>
    <row r="3" spans="1:12">
      <c r="A3" s="92" t="s">
        <v>5</v>
      </c>
      <c r="B3" s="92" t="s">
        <v>36</v>
      </c>
      <c r="C3" s="92"/>
      <c r="D3" s="92" t="s">
        <v>51</v>
      </c>
      <c r="E3" s="92"/>
      <c r="F3" s="92"/>
      <c r="G3" s="6" t="s">
        <v>52</v>
      </c>
    </row>
    <row r="4" spans="1:12">
      <c r="A4" s="92"/>
      <c r="B4" s="6" t="s">
        <v>53</v>
      </c>
      <c r="C4" s="6" t="s">
        <v>54</v>
      </c>
      <c r="D4" s="6" t="s">
        <v>55</v>
      </c>
      <c r="E4" s="6" t="s">
        <v>56</v>
      </c>
      <c r="F4" s="6" t="s">
        <v>57</v>
      </c>
      <c r="G4" s="6" t="s">
        <v>58</v>
      </c>
    </row>
    <row r="5" spans="1:12">
      <c r="A5" s="31">
        <v>0</v>
      </c>
      <c r="B5" s="10">
        <v>0</v>
      </c>
      <c r="C5" s="32">
        <f>B5/1000</f>
        <v>0</v>
      </c>
      <c r="D5" s="10">
        <f>C5/1000*$B$1</f>
        <v>0</v>
      </c>
      <c r="E5" s="10">
        <f>D5/22.4</f>
        <v>0</v>
      </c>
      <c r="F5" s="10">
        <f>E5/Calculation!K$4*1000</f>
        <v>0</v>
      </c>
      <c r="G5" s="10">
        <f>(0+F5)/2*30</f>
        <v>0</v>
      </c>
    </row>
    <row r="6" spans="1:12">
      <c r="A6" s="31">
        <v>0.5</v>
      </c>
      <c r="B6" s="10">
        <v>1498.47</v>
      </c>
      <c r="C6" s="32">
        <f t="shared" ref="C6:C69" si="0">B6/1000</f>
        <v>1.49847</v>
      </c>
      <c r="D6" s="10">
        <f t="shared" ref="D6:D69" si="1">C6/1000*$B$1</f>
        <v>0.10534244099999999</v>
      </c>
      <c r="E6" s="10">
        <f t="shared" ref="E6:E69" si="2">D6/22.4</f>
        <v>4.7027875446428568E-3</v>
      </c>
      <c r="F6" s="10">
        <f>E6/Calculation!K$4*1000</f>
        <v>3.1647291686694862E-3</v>
      </c>
      <c r="G6" s="10">
        <f>G5+(F6+F5)/2*30</f>
        <v>4.7470937530042293E-2</v>
      </c>
    </row>
    <row r="7" spans="1:12">
      <c r="A7" s="31">
        <v>1</v>
      </c>
      <c r="B7" s="10">
        <v>2467.2600000000002</v>
      </c>
      <c r="C7" s="32">
        <f t="shared" si="0"/>
        <v>2.46726</v>
      </c>
      <c r="D7" s="10">
        <f t="shared" si="1"/>
        <v>0.17344837800000001</v>
      </c>
      <c r="E7" s="10">
        <f t="shared" si="2"/>
        <v>7.7432311607142871E-3</v>
      </c>
      <c r="F7" s="10">
        <f>E7/Calculation!K$4*1000</f>
        <v>5.2107881296865992E-3</v>
      </c>
      <c r="G7" s="10">
        <f>G6+(F7+F6)/2*30</f>
        <v>0.17310369700538358</v>
      </c>
    </row>
    <row r="8" spans="1:12">
      <c r="A8" s="31">
        <v>1.5</v>
      </c>
      <c r="B8" s="10">
        <v>2950.2</v>
      </c>
      <c r="C8" s="32">
        <f t="shared" si="0"/>
        <v>2.9501999999999997</v>
      </c>
      <c r="D8" s="10">
        <f t="shared" si="1"/>
        <v>0.20739905999999997</v>
      </c>
      <c r="E8" s="10">
        <f t="shared" si="2"/>
        <v>9.258886607142856E-3</v>
      </c>
      <c r="F8" s="10">
        <f>E8/Calculation!K$4*1000</f>
        <v>6.2307446885214376E-3</v>
      </c>
      <c r="G8" s="10">
        <f t="shared" ref="G8:G70" si="3">G7+(F8+F7)/2*30</f>
        <v>0.34472668927850414</v>
      </c>
      <c r="K8" s="2">
        <f>0.001977/44.01</f>
        <v>4.492160872528971E-5</v>
      </c>
      <c r="L8" s="2">
        <f>1/K8</f>
        <v>22261.001517450681</v>
      </c>
    </row>
    <row r="9" spans="1:12">
      <c r="A9" s="31">
        <v>2</v>
      </c>
      <c r="B9" s="10">
        <v>3366.58</v>
      </c>
      <c r="C9" s="32">
        <f t="shared" si="0"/>
        <v>3.3665799999999999</v>
      </c>
      <c r="D9" s="10">
        <f t="shared" si="1"/>
        <v>0.23667057399999999</v>
      </c>
      <c r="E9" s="10">
        <f t="shared" si="2"/>
        <v>1.0565650625000001E-2</v>
      </c>
      <c r="F9" s="10">
        <f>E9/Calculation!K$4*1000</f>
        <v>7.1101282806191124E-3</v>
      </c>
      <c r="G9" s="10">
        <f t="shared" si="3"/>
        <v>0.54483978381561238</v>
      </c>
    </row>
    <row r="10" spans="1:12">
      <c r="A10" s="31">
        <v>2.5</v>
      </c>
      <c r="B10" s="10">
        <v>3777.11</v>
      </c>
      <c r="C10" s="32">
        <f t="shared" si="0"/>
        <v>3.77711</v>
      </c>
      <c r="D10" s="10">
        <f t="shared" si="1"/>
        <v>0.26553083299999997</v>
      </c>
      <c r="E10" s="10">
        <f t="shared" si="2"/>
        <v>1.1854055044642856E-2</v>
      </c>
      <c r="F10" s="10">
        <f>E10/Calculation!K$4*1000</f>
        <v>7.9771568268121491E-3</v>
      </c>
      <c r="G10" s="10">
        <f t="shared" si="3"/>
        <v>0.77114906042708131</v>
      </c>
    </row>
    <row r="11" spans="1:12">
      <c r="A11" s="31">
        <v>3</v>
      </c>
      <c r="B11" s="10">
        <v>4196.08</v>
      </c>
      <c r="C11" s="32">
        <f t="shared" si="0"/>
        <v>4.1960800000000003</v>
      </c>
      <c r="D11" s="10">
        <f t="shared" si="1"/>
        <v>0.29498442400000002</v>
      </c>
      <c r="E11" s="10">
        <f t="shared" si="2"/>
        <v>1.3168947500000002E-2</v>
      </c>
      <c r="F11" s="10">
        <f>E11/Calculation!K$5*1000</f>
        <v>9.1451024305555569E-3</v>
      </c>
      <c r="G11" s="10">
        <f t="shared" si="3"/>
        <v>1.0279829492875969</v>
      </c>
    </row>
    <row r="12" spans="1:12">
      <c r="A12" s="31">
        <v>3.5</v>
      </c>
      <c r="B12" s="10">
        <v>4680.32</v>
      </c>
      <c r="C12" s="32">
        <f t="shared" si="0"/>
        <v>4.68032</v>
      </c>
      <c r="D12" s="10">
        <f t="shared" si="1"/>
        <v>0.329026496</v>
      </c>
      <c r="E12" s="10">
        <f t="shared" si="2"/>
        <v>1.4688682857142858E-2</v>
      </c>
      <c r="F12" s="10">
        <f>E12/Calculation!K$5*1000</f>
        <v>1.0200474206349206E-2</v>
      </c>
      <c r="G12" s="10">
        <f t="shared" si="3"/>
        <v>1.3181665988411684</v>
      </c>
    </row>
    <row r="13" spans="1:12">
      <c r="A13" s="31">
        <v>4</v>
      </c>
      <c r="B13" s="10">
        <v>5375.9</v>
      </c>
      <c r="C13" s="32">
        <f t="shared" si="0"/>
        <v>5.3758999999999997</v>
      </c>
      <c r="D13" s="10">
        <f t="shared" si="1"/>
        <v>0.37792576999999994</v>
      </c>
      <c r="E13" s="10">
        <f t="shared" si="2"/>
        <v>1.6871686160714282E-2</v>
      </c>
      <c r="F13" s="10">
        <f>E13/Calculation!K$5*1000</f>
        <v>1.1716448722718251E-2</v>
      </c>
      <c r="G13" s="10">
        <f t="shared" si="3"/>
        <v>1.6469204427771802</v>
      </c>
    </row>
    <row r="14" spans="1:12">
      <c r="A14" s="31">
        <v>4.5</v>
      </c>
      <c r="B14" s="10">
        <v>6262.23</v>
      </c>
      <c r="C14" s="32">
        <f t="shared" si="0"/>
        <v>6.2622299999999997</v>
      </c>
      <c r="D14" s="10">
        <f t="shared" si="1"/>
        <v>0.44023476899999997</v>
      </c>
      <c r="E14" s="10">
        <f t="shared" si="2"/>
        <v>1.9653337901785715E-2</v>
      </c>
      <c r="F14" s="10">
        <f>E14/Calculation!K$5*1000</f>
        <v>1.3648151320684525E-2</v>
      </c>
      <c r="G14" s="10">
        <f t="shared" si="3"/>
        <v>2.0273894434282216</v>
      </c>
    </row>
    <row r="15" spans="1:12">
      <c r="A15" s="31">
        <v>5</v>
      </c>
      <c r="B15" s="10">
        <v>7345.79</v>
      </c>
      <c r="C15" s="32">
        <f t="shared" si="0"/>
        <v>7.34579</v>
      </c>
      <c r="D15" s="10">
        <f t="shared" si="1"/>
        <v>0.51640903699999996</v>
      </c>
      <c r="E15" s="10">
        <f t="shared" si="2"/>
        <v>2.3053974866071428E-2</v>
      </c>
      <c r="F15" s="10">
        <f>E15/Calculation!K$5*1000</f>
        <v>1.6009704768105159E-2</v>
      </c>
      <c r="G15" s="10">
        <f t="shared" si="3"/>
        <v>2.472257284760067</v>
      </c>
    </row>
    <row r="16" spans="1:12">
      <c r="A16" s="31">
        <v>5.5</v>
      </c>
      <c r="B16" s="10">
        <v>9244.41</v>
      </c>
      <c r="C16" s="32">
        <f t="shared" si="0"/>
        <v>9.2444100000000002</v>
      </c>
      <c r="D16" s="10">
        <f t="shared" si="1"/>
        <v>0.64988202299999998</v>
      </c>
      <c r="E16" s="10">
        <f t="shared" si="2"/>
        <v>2.9012590312499999E-2</v>
      </c>
      <c r="F16" s="10">
        <f>E16/Calculation!K$5*1000</f>
        <v>2.0147632161458331E-2</v>
      </c>
      <c r="G16" s="10">
        <f t="shared" si="3"/>
        <v>3.0146173387035193</v>
      </c>
    </row>
    <row r="17" spans="1:7">
      <c r="A17" s="31">
        <v>6</v>
      </c>
      <c r="B17" s="10">
        <v>11454.37</v>
      </c>
      <c r="C17" s="32">
        <f t="shared" si="0"/>
        <v>11.454370000000001</v>
      </c>
      <c r="D17" s="10">
        <f t="shared" si="1"/>
        <v>0.80524221099999993</v>
      </c>
      <c r="E17" s="10">
        <f t="shared" si="2"/>
        <v>3.5948312991071429E-2</v>
      </c>
      <c r="F17" s="10">
        <f>E17/Calculation!K$6*1000</f>
        <v>2.5862095677029805E-2</v>
      </c>
      <c r="G17" s="10">
        <f t="shared" si="3"/>
        <v>3.7047632562808417</v>
      </c>
    </row>
    <row r="18" spans="1:7">
      <c r="A18" s="31">
        <v>6.5</v>
      </c>
      <c r="B18" s="10">
        <v>12991.81</v>
      </c>
      <c r="C18" s="32">
        <f t="shared" si="0"/>
        <v>12.991809999999999</v>
      </c>
      <c r="D18" s="10">
        <f t="shared" si="1"/>
        <v>0.91332424299999992</v>
      </c>
      <c r="E18" s="10">
        <f t="shared" si="2"/>
        <v>4.077340370535714E-2</v>
      </c>
      <c r="F18" s="10">
        <f>E18/Calculation!K$6*1000</f>
        <v>2.9333383960688589E-2</v>
      </c>
      <c r="G18" s="10">
        <f t="shared" si="3"/>
        <v>4.5326954508466173</v>
      </c>
    </row>
    <row r="19" spans="1:7">
      <c r="A19" s="31">
        <v>7</v>
      </c>
      <c r="B19" s="10">
        <v>13190.83</v>
      </c>
      <c r="C19" s="32">
        <f t="shared" si="0"/>
        <v>13.19083</v>
      </c>
      <c r="D19" s="10">
        <f t="shared" si="1"/>
        <v>0.92731534900000001</v>
      </c>
      <c r="E19" s="10">
        <f t="shared" si="2"/>
        <v>4.1398006651785717E-2</v>
      </c>
      <c r="F19" s="10">
        <f>E19/Calculation!K$6*1000</f>
        <v>2.978273859840699E-2</v>
      </c>
      <c r="G19" s="10">
        <f t="shared" si="3"/>
        <v>5.4194372892330511</v>
      </c>
    </row>
    <row r="20" spans="1:7">
      <c r="A20" s="31">
        <v>7.5</v>
      </c>
      <c r="B20" s="10">
        <v>16325.43</v>
      </c>
      <c r="C20" s="32">
        <f t="shared" si="0"/>
        <v>16.325430000000001</v>
      </c>
      <c r="D20" s="10">
        <f t="shared" si="1"/>
        <v>1.147677729</v>
      </c>
      <c r="E20" s="10">
        <f t="shared" si="2"/>
        <v>5.1235612901785715E-2</v>
      </c>
      <c r="F20" s="10">
        <f>E20/Calculation!K$6*1000</f>
        <v>3.6860153166752313E-2</v>
      </c>
      <c r="G20" s="10">
        <f t="shared" si="3"/>
        <v>6.4190806657104407</v>
      </c>
    </row>
    <row r="21" spans="1:7">
      <c r="A21" s="31">
        <v>8</v>
      </c>
      <c r="B21" s="10">
        <v>18707.47</v>
      </c>
      <c r="C21" s="32">
        <f t="shared" si="0"/>
        <v>18.707470000000001</v>
      </c>
      <c r="D21" s="10">
        <f t="shared" si="1"/>
        <v>1.3151351410000001</v>
      </c>
      <c r="E21" s="10">
        <f t="shared" si="2"/>
        <v>5.871139022321429E-2</v>
      </c>
      <c r="F21" s="10">
        <f>E21/Calculation!K$6*1000</f>
        <v>4.2238410232528265E-2</v>
      </c>
      <c r="G21" s="10">
        <f t="shared" si="3"/>
        <v>7.6055591166996495</v>
      </c>
    </row>
    <row r="22" spans="1:7">
      <c r="A22" s="31">
        <v>8.5</v>
      </c>
      <c r="B22" s="10">
        <v>21206.06</v>
      </c>
      <c r="C22" s="32">
        <f t="shared" si="0"/>
        <v>21.206060000000001</v>
      </c>
      <c r="D22" s="10">
        <f t="shared" si="1"/>
        <v>1.4907860180000001</v>
      </c>
      <c r="E22" s="10">
        <f t="shared" si="2"/>
        <v>6.6552947232142862E-2</v>
      </c>
      <c r="F22" s="10">
        <f>E22/Calculation!K$6*1000</f>
        <v>4.7879818152620768E-2</v>
      </c>
      <c r="G22" s="10">
        <f t="shared" si="3"/>
        <v>8.9573325424768857</v>
      </c>
    </row>
    <row r="23" spans="1:7">
      <c r="A23" s="31">
        <v>9</v>
      </c>
      <c r="B23" s="10">
        <v>23305.65</v>
      </c>
      <c r="C23" s="32">
        <f t="shared" si="0"/>
        <v>23.30565</v>
      </c>
      <c r="D23" s="10">
        <f t="shared" si="1"/>
        <v>1.638387195</v>
      </c>
      <c r="E23" s="10">
        <f t="shared" si="2"/>
        <v>7.3142285491071435E-2</v>
      </c>
      <c r="F23" s="10">
        <f>E23/Calculation!K$7*1000</f>
        <v>5.4332845848162975E-2</v>
      </c>
      <c r="G23" s="10">
        <f t="shared" si="3"/>
        <v>10.490522502488641</v>
      </c>
    </row>
    <row r="24" spans="1:7">
      <c r="A24" s="31">
        <v>9.5</v>
      </c>
      <c r="B24" s="10">
        <v>25399.06</v>
      </c>
      <c r="C24" s="32">
        <f t="shared" si="0"/>
        <v>25.399060000000002</v>
      </c>
      <c r="D24" s="10">
        <f t="shared" si="1"/>
        <v>1.785553918</v>
      </c>
      <c r="E24" s="10">
        <f t="shared" si="2"/>
        <v>7.9712228482142863E-2</v>
      </c>
      <c r="F24" s="10">
        <f>E24/Calculation!K$7*1000</f>
        <v>5.9213247073917376E-2</v>
      </c>
      <c r="G24" s="10">
        <f t="shared" si="3"/>
        <v>12.193713896319846</v>
      </c>
    </row>
    <row r="25" spans="1:7">
      <c r="A25" s="31">
        <v>10</v>
      </c>
      <c r="B25" s="10">
        <v>27343.62</v>
      </c>
      <c r="C25" s="32">
        <f t="shared" si="0"/>
        <v>27.343619999999998</v>
      </c>
      <c r="D25" s="10">
        <f t="shared" si="1"/>
        <v>1.9222564859999998</v>
      </c>
      <c r="E25" s="10">
        <f t="shared" si="2"/>
        <v>8.5815021696428573E-2</v>
      </c>
      <c r="F25" s="10">
        <f>E25/Calculation!K$7*1000</f>
        <v>6.3746631842096058E-2</v>
      </c>
      <c r="G25" s="10">
        <f t="shared" si="3"/>
        <v>14.038112080060047</v>
      </c>
    </row>
    <row r="26" spans="1:7">
      <c r="A26" s="31">
        <v>10.5</v>
      </c>
      <c r="B26" s="10">
        <v>29638.33</v>
      </c>
      <c r="C26" s="32">
        <f t="shared" si="0"/>
        <v>29.638330000000003</v>
      </c>
      <c r="D26" s="10">
        <f t="shared" si="1"/>
        <v>2.0835745990000003</v>
      </c>
      <c r="E26" s="10">
        <f t="shared" si="2"/>
        <v>9.3016723169642879E-2</v>
      </c>
      <c r="F26" s="10">
        <f>E26/Calculation!K$7*1000</f>
        <v>6.9096327074635741E-2</v>
      </c>
      <c r="G26" s="10">
        <f t="shared" si="3"/>
        <v>16.030756463811024</v>
      </c>
    </row>
    <row r="27" spans="1:7">
      <c r="A27" s="31">
        <v>11</v>
      </c>
      <c r="B27" s="10">
        <v>31316.66</v>
      </c>
      <c r="C27" s="32">
        <f t="shared" si="0"/>
        <v>31.316659999999999</v>
      </c>
      <c r="D27" s="10">
        <f t="shared" si="1"/>
        <v>2.2015611979999998</v>
      </c>
      <c r="E27" s="10">
        <f t="shared" si="2"/>
        <v>9.8283982053571431E-2</v>
      </c>
      <c r="F27" s="10">
        <f>E27/Calculation!K$7*1000</f>
        <v>7.3009045457188768E-2</v>
      </c>
      <c r="G27" s="10">
        <f t="shared" si="3"/>
        <v>18.162337051788391</v>
      </c>
    </row>
    <row r="28" spans="1:7">
      <c r="A28" s="31">
        <v>11.5</v>
      </c>
      <c r="B28" s="10">
        <v>33544.17</v>
      </c>
      <c r="C28" s="32">
        <f t="shared" si="0"/>
        <v>33.544170000000001</v>
      </c>
      <c r="D28" s="10">
        <f t="shared" si="1"/>
        <v>2.3581551509999996</v>
      </c>
      <c r="E28" s="10">
        <f t="shared" si="2"/>
        <v>0.10527478352678571</v>
      </c>
      <c r="F28" s="10">
        <f>E28/Calculation!K$7*1000</f>
        <v>7.8202076222485664E-2</v>
      </c>
      <c r="G28" s="10">
        <f t="shared" si="3"/>
        <v>20.430503876983508</v>
      </c>
    </row>
    <row r="29" spans="1:7">
      <c r="A29" s="31">
        <v>12</v>
      </c>
      <c r="B29" s="10">
        <v>36156.879999999997</v>
      </c>
      <c r="C29" s="32">
        <f t="shared" si="0"/>
        <v>36.156879999999994</v>
      </c>
      <c r="D29" s="10">
        <f t="shared" si="1"/>
        <v>2.5418286639999996</v>
      </c>
      <c r="E29" s="10">
        <f t="shared" si="2"/>
        <v>0.11347449392857142</v>
      </c>
      <c r="F29" s="10">
        <f>E29/Calculation!K$8*1000</f>
        <v>8.7369989596210298E-2</v>
      </c>
      <c r="G29" s="10">
        <f t="shared" si="3"/>
        <v>22.914084864263948</v>
      </c>
    </row>
    <row r="30" spans="1:7">
      <c r="A30" s="31">
        <v>12.5</v>
      </c>
      <c r="B30" s="10">
        <v>39504.129999999997</v>
      </c>
      <c r="C30" s="32">
        <f t="shared" si="0"/>
        <v>39.504129999999996</v>
      </c>
      <c r="D30" s="10">
        <f t="shared" si="1"/>
        <v>2.7771403389999998</v>
      </c>
      <c r="E30" s="10">
        <f t="shared" si="2"/>
        <v>0.12397947941964285</v>
      </c>
      <c r="F30" s="10">
        <f>E30/Calculation!K$8*1000</f>
        <v>9.5458331225131685E-2</v>
      </c>
      <c r="G30" s="10">
        <f t="shared" si="3"/>
        <v>25.656509676584079</v>
      </c>
    </row>
    <row r="31" spans="1:7">
      <c r="A31" s="31">
        <v>13</v>
      </c>
      <c r="B31" s="10">
        <v>43138.559999999998</v>
      </c>
      <c r="C31" s="32">
        <f t="shared" si="0"/>
        <v>43.138559999999998</v>
      </c>
      <c r="D31" s="10">
        <f t="shared" si="1"/>
        <v>3.0326407679999998</v>
      </c>
      <c r="E31" s="10">
        <f t="shared" si="2"/>
        <v>0.13538574857142857</v>
      </c>
      <c r="F31" s="10">
        <f>E31/Calculation!K$8*1000</f>
        <v>0.10424061861519837</v>
      </c>
      <c r="G31" s="10">
        <f t="shared" si="3"/>
        <v>28.651993924189028</v>
      </c>
    </row>
    <row r="32" spans="1:7">
      <c r="A32" s="31">
        <v>13.5</v>
      </c>
      <c r="B32" s="10">
        <v>45752.4</v>
      </c>
      <c r="C32" s="32">
        <f t="shared" si="0"/>
        <v>45.752400000000002</v>
      </c>
      <c r="D32" s="10">
        <f t="shared" si="1"/>
        <v>3.2163937199999997</v>
      </c>
      <c r="E32" s="10">
        <f t="shared" si="2"/>
        <v>0.14358900535714286</v>
      </c>
      <c r="F32" s="10">
        <f>E32/Calculation!K$8*1000</f>
        <v>0.11055673808142884</v>
      </c>
      <c r="G32" s="10">
        <f t="shared" si="3"/>
        <v>31.873954274638436</v>
      </c>
    </row>
    <row r="33" spans="1:7">
      <c r="A33" s="31">
        <v>14</v>
      </c>
      <c r="B33" s="10">
        <v>48437.68</v>
      </c>
      <c r="C33" s="32">
        <f t="shared" si="0"/>
        <v>48.43768</v>
      </c>
      <c r="D33" s="10">
        <f t="shared" si="1"/>
        <v>3.4051689039999995</v>
      </c>
      <c r="E33" s="10">
        <f t="shared" si="2"/>
        <v>0.1520164689285714</v>
      </c>
      <c r="F33" s="10">
        <f>E33/Calculation!K$8*1000</f>
        <v>0.11704548616098964</v>
      </c>
      <c r="G33" s="10">
        <f t="shared" si="3"/>
        <v>35.287987638274714</v>
      </c>
    </row>
    <row r="34" spans="1:7">
      <c r="A34" s="31">
        <v>14.5</v>
      </c>
      <c r="B34" s="10">
        <v>51437.87</v>
      </c>
      <c r="C34" s="32">
        <f t="shared" si="0"/>
        <v>51.437870000000004</v>
      </c>
      <c r="D34" s="10">
        <f t="shared" si="1"/>
        <v>3.6160822610000003</v>
      </c>
      <c r="E34" s="10">
        <f t="shared" si="2"/>
        <v>0.16143224379464288</v>
      </c>
      <c r="F34" s="10">
        <f>E34/Calculation!K$8*1000</f>
        <v>0.12429518716081749</v>
      </c>
      <c r="G34" s="10">
        <f t="shared" si="3"/>
        <v>38.908097738101823</v>
      </c>
    </row>
    <row r="35" spans="1:7">
      <c r="A35" s="31">
        <v>15</v>
      </c>
      <c r="B35" s="10">
        <v>52806.81</v>
      </c>
      <c r="C35" s="32">
        <f t="shared" si="0"/>
        <v>52.806809999999999</v>
      </c>
      <c r="D35" s="10">
        <f t="shared" si="1"/>
        <v>3.7123187429999995</v>
      </c>
      <c r="E35" s="10">
        <f t="shared" si="2"/>
        <v>0.16572851531249999</v>
      </c>
      <c r="F35" s="10">
        <f>E35/Calculation!K$9*1000</f>
        <v>0.13236590403753248</v>
      </c>
      <c r="G35" s="10">
        <f t="shared" si="3"/>
        <v>42.75801410607707</v>
      </c>
    </row>
    <row r="36" spans="1:7">
      <c r="A36" s="31">
        <v>15.5</v>
      </c>
      <c r="B36" s="10">
        <v>53988.57</v>
      </c>
      <c r="C36" s="32">
        <f t="shared" si="0"/>
        <v>53.988570000000003</v>
      </c>
      <c r="D36" s="10">
        <f t="shared" si="1"/>
        <v>3.7953964709999997</v>
      </c>
      <c r="E36" s="10">
        <f t="shared" si="2"/>
        <v>0.16943734245535713</v>
      </c>
      <c r="F36" s="10">
        <f>E36/Calculation!K$9*1000</f>
        <v>0.13532811157772273</v>
      </c>
      <c r="G36" s="10">
        <f t="shared" si="3"/>
        <v>46.773424340305894</v>
      </c>
    </row>
    <row r="37" spans="1:7">
      <c r="A37" s="31">
        <v>16</v>
      </c>
      <c r="B37" s="10">
        <v>54802.82</v>
      </c>
      <c r="C37" s="32">
        <f t="shared" si="0"/>
        <v>54.802819999999997</v>
      </c>
      <c r="D37" s="10">
        <f t="shared" si="1"/>
        <v>3.8526382459999997</v>
      </c>
      <c r="E37" s="10">
        <f t="shared" si="2"/>
        <v>0.17199277883928571</v>
      </c>
      <c r="F37" s="10">
        <f>E37/Calculation!K$9*1000</f>
        <v>0.13736911608760621</v>
      </c>
      <c r="G37" s="10">
        <f t="shared" si="3"/>
        <v>50.863882755285829</v>
      </c>
    </row>
    <row r="38" spans="1:7">
      <c r="A38" s="31">
        <v>16.5</v>
      </c>
      <c r="B38" s="10">
        <v>54869.38</v>
      </c>
      <c r="C38" s="32">
        <f t="shared" si="0"/>
        <v>54.86938</v>
      </c>
      <c r="D38" s="10">
        <f t="shared" si="1"/>
        <v>3.8573174140000002</v>
      </c>
      <c r="E38" s="10">
        <f t="shared" si="2"/>
        <v>0.17220167026785715</v>
      </c>
      <c r="F38" s="10">
        <f>E38/Calculation!K$9*1000</f>
        <v>0.13753595582991862</v>
      </c>
      <c r="G38" s="10">
        <f t="shared" si="3"/>
        <v>54.987458834048702</v>
      </c>
    </row>
    <row r="39" spans="1:7">
      <c r="A39" s="31">
        <v>17</v>
      </c>
      <c r="B39" s="10">
        <v>53791.83</v>
      </c>
      <c r="C39" s="32">
        <f t="shared" si="0"/>
        <v>53.791830000000004</v>
      </c>
      <c r="D39" s="10">
        <f t="shared" si="1"/>
        <v>3.7815656490000005</v>
      </c>
      <c r="E39" s="10">
        <f t="shared" si="2"/>
        <v>0.1688198950446429</v>
      </c>
      <c r="F39" s="10">
        <f>E39/Calculation!K$9*1000</f>
        <v>0.13483496177449958</v>
      </c>
      <c r="G39" s="10">
        <f t="shared" si="3"/>
        <v>59.073022598114974</v>
      </c>
    </row>
    <row r="40" spans="1:7">
      <c r="A40" s="31">
        <v>17.5</v>
      </c>
      <c r="B40" s="10">
        <v>49471.72</v>
      </c>
      <c r="C40" s="32">
        <f t="shared" si="0"/>
        <v>49.471719999999998</v>
      </c>
      <c r="D40" s="10">
        <f t="shared" si="1"/>
        <v>3.4778619159999997</v>
      </c>
      <c r="E40" s="10">
        <f t="shared" si="2"/>
        <v>0.15526169267857143</v>
      </c>
      <c r="F40" s="10">
        <f>E40/Calculation!K$9*1000</f>
        <v>0.12400614508037271</v>
      </c>
      <c r="G40" s="10">
        <f t="shared" si="3"/>
        <v>62.955639200938059</v>
      </c>
    </row>
    <row r="41" spans="1:7">
      <c r="A41" s="31">
        <v>18</v>
      </c>
      <c r="B41" s="10">
        <v>43169.07</v>
      </c>
      <c r="C41" s="32">
        <f t="shared" si="0"/>
        <v>43.169069999999998</v>
      </c>
      <c r="D41" s="10">
        <f t="shared" si="1"/>
        <v>3.0347856209999997</v>
      </c>
      <c r="E41" s="10">
        <f t="shared" si="2"/>
        <v>0.1354815009375</v>
      </c>
      <c r="F41" s="10">
        <f>E41/Calculation!K$10*1000</f>
        <v>0.11243272983932767</v>
      </c>
      <c r="G41" s="10">
        <f t="shared" si="3"/>
        <v>66.502222324733566</v>
      </c>
    </row>
    <row r="42" spans="1:7">
      <c r="A42" s="31">
        <v>18.5</v>
      </c>
      <c r="B42" s="10">
        <v>36882.49</v>
      </c>
      <c r="C42" s="32">
        <f t="shared" si="0"/>
        <v>36.882489999999997</v>
      </c>
      <c r="D42" s="10">
        <f t="shared" si="1"/>
        <v>2.5928390469999996</v>
      </c>
      <c r="E42" s="10">
        <f t="shared" si="2"/>
        <v>0.11575174316964285</v>
      </c>
      <c r="F42" s="10">
        <f>E42/Calculation!K$10*1000</f>
        <v>9.6059494308580282E-2</v>
      </c>
      <c r="G42" s="10">
        <f t="shared" si="3"/>
        <v>69.629605686952189</v>
      </c>
    </row>
    <row r="43" spans="1:7">
      <c r="A43" s="31">
        <v>19</v>
      </c>
      <c r="B43" s="10">
        <v>31244.26</v>
      </c>
      <c r="C43" s="32">
        <f t="shared" si="0"/>
        <v>31.244259999999997</v>
      </c>
      <c r="D43" s="10">
        <f t="shared" si="1"/>
        <v>2.1964714779999994</v>
      </c>
      <c r="E43" s="10">
        <f t="shared" si="2"/>
        <v>9.805676241071426E-2</v>
      </c>
      <c r="F43" s="10">
        <f>E43/Calculation!K$10*1000</f>
        <v>8.1374869637212729E-2</v>
      </c>
      <c r="G43" s="10">
        <f t="shared" si="3"/>
        <v>72.291121146139091</v>
      </c>
    </row>
    <row r="44" spans="1:7">
      <c r="A44" s="31">
        <v>19.5</v>
      </c>
      <c r="B44" s="10">
        <v>26380.35</v>
      </c>
      <c r="C44" s="32">
        <f t="shared" si="0"/>
        <v>26.38035</v>
      </c>
      <c r="D44" s="10">
        <f t="shared" si="1"/>
        <v>1.8545386049999999</v>
      </c>
      <c r="E44" s="10">
        <f t="shared" si="2"/>
        <v>8.2791902008928567E-2</v>
      </c>
      <c r="F44" s="10">
        <f>E44/Calculation!K$10*1000</f>
        <v>6.8706941442493619E-2</v>
      </c>
      <c r="G44" s="10">
        <f t="shared" si="3"/>
        <v>74.542348312334681</v>
      </c>
    </row>
    <row r="45" spans="1:7">
      <c r="A45" s="31">
        <v>20</v>
      </c>
      <c r="B45" s="10">
        <v>22245.14</v>
      </c>
      <c r="C45" s="32">
        <f t="shared" si="0"/>
        <v>22.245139999999999</v>
      </c>
      <c r="D45" s="10">
        <f t="shared" si="1"/>
        <v>1.5638333419999999</v>
      </c>
      <c r="E45" s="10">
        <f t="shared" si="2"/>
        <v>6.9813988482142861E-2</v>
      </c>
      <c r="F45" s="10">
        <f>E45/Calculation!K$10*1000</f>
        <v>5.7936893610587903E-2</v>
      </c>
      <c r="G45" s="10">
        <f t="shared" si="3"/>
        <v>76.44200583813091</v>
      </c>
    </row>
    <row r="46" spans="1:7">
      <c r="A46" s="31">
        <v>20.5</v>
      </c>
      <c r="B46" s="10">
        <v>18620.14</v>
      </c>
      <c r="C46" s="32">
        <f t="shared" si="0"/>
        <v>18.620139999999999</v>
      </c>
      <c r="D46" s="10">
        <f t="shared" si="1"/>
        <v>1.3089958420000001</v>
      </c>
      <c r="E46" s="10">
        <f t="shared" si="2"/>
        <v>5.8437314375000007E-2</v>
      </c>
      <c r="F46" s="10">
        <f>E46/Calculation!K$10*1000</f>
        <v>4.8495674569557765E-2</v>
      </c>
      <c r="G46" s="10">
        <f t="shared" si="3"/>
        <v>78.038494360833099</v>
      </c>
    </row>
    <row r="47" spans="1:7">
      <c r="A47" s="31">
        <v>21</v>
      </c>
      <c r="B47" s="10">
        <v>15833.89</v>
      </c>
      <c r="C47" s="32">
        <f t="shared" si="0"/>
        <v>15.83389</v>
      </c>
      <c r="D47" s="10">
        <f t="shared" si="1"/>
        <v>1.1131224669999999</v>
      </c>
      <c r="E47" s="10">
        <f t="shared" si="2"/>
        <v>4.9692967276785717E-2</v>
      </c>
      <c r="F47" s="10">
        <f>E47/Calculation!K$11*1000</f>
        <v>4.3049782461980199E-2</v>
      </c>
      <c r="G47" s="10">
        <f t="shared" si="3"/>
        <v>79.411676216306162</v>
      </c>
    </row>
    <row r="48" spans="1:7">
      <c r="A48" s="31">
        <v>21.5</v>
      </c>
      <c r="B48" s="10">
        <v>13250.56</v>
      </c>
      <c r="C48" s="32">
        <f t="shared" si="0"/>
        <v>13.25056</v>
      </c>
      <c r="D48" s="10">
        <f t="shared" si="1"/>
        <v>0.93151436799999998</v>
      </c>
      <c r="E48" s="10">
        <f t="shared" si="2"/>
        <v>4.158546285714286E-2</v>
      </c>
      <c r="F48" s="10">
        <f>E48/Calculation!K$11*1000</f>
        <v>3.6026126586670509E-2</v>
      </c>
      <c r="G48" s="10">
        <f t="shared" si="3"/>
        <v>80.597814852035924</v>
      </c>
    </row>
    <row r="49" spans="1:7">
      <c r="A49" s="31">
        <v>22</v>
      </c>
      <c r="B49" s="10">
        <v>11073.06</v>
      </c>
      <c r="C49" s="32">
        <f t="shared" si="0"/>
        <v>11.07306</v>
      </c>
      <c r="D49" s="10">
        <f t="shared" si="1"/>
        <v>0.7784361179999999</v>
      </c>
      <c r="E49" s="10">
        <f t="shared" si="2"/>
        <v>3.4751612410714283E-2</v>
      </c>
      <c r="F49" s="10">
        <f>E49/Calculation!K$11*1000</f>
        <v>3.0105856753359684E-2</v>
      </c>
      <c r="G49" s="10">
        <f t="shared" si="3"/>
        <v>81.589794602136379</v>
      </c>
    </row>
    <row r="50" spans="1:7">
      <c r="A50" s="31">
        <v>22.5</v>
      </c>
      <c r="B50" s="10">
        <v>8666.67</v>
      </c>
      <c r="C50" s="32">
        <f t="shared" si="0"/>
        <v>8.6666699999999999</v>
      </c>
      <c r="D50" s="10">
        <f t="shared" si="1"/>
        <v>0.60926690099999992</v>
      </c>
      <c r="E50" s="10">
        <f t="shared" si="2"/>
        <v>2.7199415223214285E-2</v>
      </c>
      <c r="F50" s="10">
        <f>E50/Calculation!K$11*1000</f>
        <v>2.3563272080945986E-2</v>
      </c>
      <c r="G50" s="10">
        <f t="shared" si="3"/>
        <v>82.394831534650962</v>
      </c>
    </row>
    <row r="51" spans="1:7">
      <c r="A51" s="31">
        <v>23</v>
      </c>
      <c r="B51" s="10">
        <v>7791.22</v>
      </c>
      <c r="C51" s="32">
        <f t="shared" si="0"/>
        <v>7.79122</v>
      </c>
      <c r="D51" s="10">
        <f t="shared" si="1"/>
        <v>0.54772276599999992</v>
      </c>
      <c r="E51" s="10">
        <f t="shared" si="2"/>
        <v>2.4451909196428569E-2</v>
      </c>
      <c r="F51" s="10">
        <f>E51/Calculation!K$11*1000</f>
        <v>2.1183065318341184E-2</v>
      </c>
      <c r="G51" s="10">
        <f t="shared" si="3"/>
        <v>83.066026595640267</v>
      </c>
    </row>
    <row r="52" spans="1:7">
      <c r="A52" s="31">
        <v>23.5</v>
      </c>
      <c r="B52" s="10">
        <v>6512.38</v>
      </c>
      <c r="C52" s="32">
        <f t="shared" si="0"/>
        <v>6.5123800000000003</v>
      </c>
      <c r="D52" s="10">
        <f t="shared" si="1"/>
        <v>0.45782031399999995</v>
      </c>
      <c r="E52" s="10">
        <f t="shared" si="2"/>
        <v>2.0438406874999999E-2</v>
      </c>
      <c r="F52" s="10">
        <f>E52/Calculation!K$11*1000</f>
        <v>1.7706106478556475E-2</v>
      </c>
      <c r="G52" s="10">
        <f t="shared" si="3"/>
        <v>83.649364172593735</v>
      </c>
    </row>
    <row r="53" spans="1:7">
      <c r="A53" s="31">
        <v>24</v>
      </c>
      <c r="B53" s="10">
        <v>5418.43</v>
      </c>
      <c r="C53" s="32">
        <f t="shared" si="0"/>
        <v>5.4184299999999999</v>
      </c>
      <c r="D53" s="10">
        <f t="shared" si="1"/>
        <v>0.38091562899999998</v>
      </c>
      <c r="E53" s="10">
        <f t="shared" si="2"/>
        <v>1.700516200892857E-2</v>
      </c>
      <c r="F53" s="10">
        <f>E53/Calculation!K$12*1000</f>
        <v>1.5407255040955897E-2</v>
      </c>
      <c r="G53" s="10">
        <f t="shared" si="3"/>
        <v>84.14606459538642</v>
      </c>
    </row>
    <row r="54" spans="1:7">
      <c r="A54" s="31">
        <v>24.5</v>
      </c>
      <c r="B54" s="10">
        <v>4491.53</v>
      </c>
      <c r="C54" s="32">
        <f t="shared" si="0"/>
        <v>4.49153</v>
      </c>
      <c r="D54" s="10">
        <f t="shared" si="1"/>
        <v>0.31575455899999999</v>
      </c>
      <c r="E54" s="10">
        <f t="shared" si="2"/>
        <v>1.4096185669642857E-2</v>
      </c>
      <c r="F54" s="10">
        <f>E54/Calculation!K$12*1000</f>
        <v>1.2771623557765744E-2</v>
      </c>
      <c r="G54" s="10">
        <f t="shared" si="3"/>
        <v>84.568747774367239</v>
      </c>
    </row>
    <row r="55" spans="1:7">
      <c r="A55" s="31">
        <v>25</v>
      </c>
      <c r="B55" s="10">
        <v>3755.19</v>
      </c>
      <c r="C55" s="32">
        <f t="shared" si="0"/>
        <v>3.7551900000000002</v>
      </c>
      <c r="D55" s="10">
        <f t="shared" si="1"/>
        <v>0.26398985699999999</v>
      </c>
      <c r="E55" s="10">
        <f t="shared" si="2"/>
        <v>1.1785261473214285E-2</v>
      </c>
      <c r="F55" s="10">
        <f>E55/Calculation!K$12*1000</f>
        <v>1.0677847652778974E-2</v>
      </c>
      <c r="G55" s="10">
        <f t="shared" si="3"/>
        <v>84.920489842525413</v>
      </c>
    </row>
    <row r="56" spans="1:7">
      <c r="A56" s="31">
        <v>25.5</v>
      </c>
      <c r="B56" s="10">
        <v>3129.09</v>
      </c>
      <c r="C56" s="32">
        <f t="shared" si="0"/>
        <v>3.1290900000000001</v>
      </c>
      <c r="D56" s="10">
        <f t="shared" si="1"/>
        <v>0.21997502699999999</v>
      </c>
      <c r="E56" s="10">
        <f t="shared" si="2"/>
        <v>9.8203137053571431E-3</v>
      </c>
      <c r="F56" s="10">
        <f>E56/Calculation!K$12*1000</f>
        <v>8.8975381570131368E-3</v>
      </c>
      <c r="G56" s="10">
        <f t="shared" si="3"/>
        <v>85.214120629672294</v>
      </c>
    </row>
    <row r="57" spans="1:7">
      <c r="A57" s="31">
        <v>26</v>
      </c>
      <c r="B57" s="10">
        <v>2518.7199999999998</v>
      </c>
      <c r="C57" s="32">
        <f t="shared" si="0"/>
        <v>2.5187199999999996</v>
      </c>
      <c r="D57" s="10">
        <f t="shared" si="1"/>
        <v>0.17706601599999996</v>
      </c>
      <c r="E57" s="10">
        <f t="shared" si="2"/>
        <v>7.9047328571428561E-3</v>
      </c>
      <c r="F57" s="10">
        <f>E57/Calculation!K$12*1000</f>
        <v>7.1619567691667942E-3</v>
      </c>
      <c r="G57" s="10">
        <f t="shared" si="3"/>
        <v>85.455013053564997</v>
      </c>
    </row>
    <row r="58" spans="1:7">
      <c r="A58" s="31">
        <v>26.5</v>
      </c>
      <c r="B58" s="10">
        <v>2067.44</v>
      </c>
      <c r="C58" s="32">
        <f t="shared" si="0"/>
        <v>2.0674399999999999</v>
      </c>
      <c r="D58" s="10">
        <f t="shared" si="1"/>
        <v>0.14534103199999998</v>
      </c>
      <c r="E58" s="10">
        <f t="shared" si="2"/>
        <v>6.4884389285714281E-3</v>
      </c>
      <c r="F58" s="10">
        <f>E58/Calculation!K$12*1000</f>
        <v>5.8787463087783473E-3</v>
      </c>
      <c r="G58" s="10">
        <f t="shared" si="3"/>
        <v>85.650623599734175</v>
      </c>
    </row>
    <row r="59" spans="1:7">
      <c r="A59" s="31">
        <v>27</v>
      </c>
      <c r="B59" s="10">
        <v>1678.01</v>
      </c>
      <c r="C59" s="32">
        <f t="shared" si="0"/>
        <v>1.67801</v>
      </c>
      <c r="D59" s="10">
        <f t="shared" si="1"/>
        <v>0.11796410299999999</v>
      </c>
      <c r="E59" s="10">
        <f t="shared" si="2"/>
        <v>5.2662545982142851E-3</v>
      </c>
      <c r="F59" s="10">
        <f>E59/Calculation!K$13*1000</f>
        <v>5.0095430553984957E-3</v>
      </c>
      <c r="G59" s="10">
        <f t="shared" si="3"/>
        <v>85.813947940196826</v>
      </c>
    </row>
    <row r="60" spans="1:7">
      <c r="A60" s="31">
        <v>27.5</v>
      </c>
      <c r="B60" s="10">
        <v>1362.28</v>
      </c>
      <c r="C60" s="32">
        <f t="shared" si="0"/>
        <v>1.3622799999999999</v>
      </c>
      <c r="D60" s="10">
        <f t="shared" si="1"/>
        <v>9.5768283999999995E-2</v>
      </c>
      <c r="E60" s="10">
        <f t="shared" si="2"/>
        <v>4.2753698214285712E-3</v>
      </c>
      <c r="F60" s="10">
        <f>E60/Calculation!K$13*1000</f>
        <v>4.0669604552465493E-3</v>
      </c>
      <c r="G60" s="10">
        <f t="shared" si="3"/>
        <v>85.950095492856505</v>
      </c>
    </row>
    <row r="61" spans="1:7">
      <c r="A61" s="31">
        <v>28</v>
      </c>
      <c r="B61" s="10">
        <v>1117.32</v>
      </c>
      <c r="C61" s="32">
        <f t="shared" si="0"/>
        <v>1.1173199999999999</v>
      </c>
      <c r="D61" s="10">
        <f t="shared" si="1"/>
        <v>7.8547595999999983E-2</v>
      </c>
      <c r="E61" s="10">
        <f t="shared" si="2"/>
        <v>3.5065891071428567E-3</v>
      </c>
      <c r="F61" s="10">
        <f>E61/Calculation!K$13*1000</f>
        <v>3.3356551192530717E-3</v>
      </c>
      <c r="G61" s="10">
        <f t="shared" si="3"/>
        <v>86.061134726473995</v>
      </c>
    </row>
    <row r="62" spans="1:7">
      <c r="A62" s="31">
        <v>28.5</v>
      </c>
      <c r="B62" s="10">
        <v>888.44</v>
      </c>
      <c r="C62" s="32">
        <f t="shared" si="0"/>
        <v>0.88844000000000001</v>
      </c>
      <c r="D62" s="10">
        <f t="shared" si="1"/>
        <v>6.2457331999999997E-2</v>
      </c>
      <c r="E62" s="10">
        <f t="shared" si="2"/>
        <v>2.78827375E-3</v>
      </c>
      <c r="F62" s="10">
        <f>E62/Calculation!K$13*1000</f>
        <v>2.6523551302663514E-3</v>
      </c>
      <c r="G62" s="10">
        <f t="shared" si="3"/>
        <v>86.150954880216787</v>
      </c>
    </row>
    <row r="63" spans="1:7">
      <c r="A63" s="31">
        <v>29</v>
      </c>
      <c r="B63" s="10">
        <v>716.04</v>
      </c>
      <c r="C63" s="32">
        <f t="shared" si="0"/>
        <v>0.71604000000000001</v>
      </c>
      <c r="D63" s="10">
        <f t="shared" si="1"/>
        <v>5.0337612000000004E-2</v>
      </c>
      <c r="E63" s="10">
        <f t="shared" si="2"/>
        <v>2.2472148214285718E-3</v>
      </c>
      <c r="F63" s="10">
        <f>E63/Calculation!K$13*1000</f>
        <v>2.1376709372337116E-3</v>
      </c>
      <c r="G63" s="10">
        <f t="shared" si="3"/>
        <v>86.222805271229291</v>
      </c>
    </row>
    <row r="64" spans="1:7">
      <c r="A64" s="31">
        <v>29.5</v>
      </c>
      <c r="B64" s="10">
        <v>570.75</v>
      </c>
      <c r="C64" s="32">
        <f t="shared" si="0"/>
        <v>0.57074999999999998</v>
      </c>
      <c r="D64" s="10">
        <f t="shared" si="1"/>
        <v>4.0123724999999999E-2</v>
      </c>
      <c r="E64" s="10">
        <f t="shared" si="2"/>
        <v>1.7912377232142858E-3</v>
      </c>
      <c r="F64" s="10">
        <f>E64/Calculation!K$13*1000</f>
        <v>1.7039211320961686E-3</v>
      </c>
      <c r="G64" s="10">
        <f t="shared" si="3"/>
        <v>86.280429152269235</v>
      </c>
    </row>
    <row r="65" spans="1:7">
      <c r="A65" s="31">
        <v>30</v>
      </c>
      <c r="B65" s="10">
        <v>470.76</v>
      </c>
      <c r="C65" s="32">
        <f t="shared" si="0"/>
        <v>0.47076000000000001</v>
      </c>
      <c r="D65" s="10">
        <f t="shared" si="1"/>
        <v>3.3094428000000002E-2</v>
      </c>
      <c r="E65" s="10">
        <f t="shared" si="2"/>
        <v>1.4774298214285716E-3</v>
      </c>
      <c r="F65" s="10">
        <f>E65/Calculation!K$14*1000</f>
        <v>1.492063698062234E-3</v>
      </c>
      <c r="G65" s="10">
        <f t="shared" si="3"/>
        <v>86.328368924721616</v>
      </c>
    </row>
    <row r="66" spans="1:7">
      <c r="A66" s="31">
        <v>30.5</v>
      </c>
      <c r="B66" s="10">
        <v>382.61</v>
      </c>
      <c r="C66" s="32">
        <f t="shared" si="0"/>
        <v>0.38261000000000001</v>
      </c>
      <c r="D66" s="10">
        <f t="shared" si="1"/>
        <v>2.6897483E-2</v>
      </c>
      <c r="E66" s="10">
        <f t="shared" si="2"/>
        <v>1.2007804910714286E-3</v>
      </c>
      <c r="F66" s="10">
        <f>E66/Calculation!K$14*1000</f>
        <v>1.2126741683991659E-3</v>
      </c>
      <c r="G66" s="10">
        <f t="shared" si="3"/>
        <v>86.368939992718538</v>
      </c>
    </row>
    <row r="67" spans="1:7">
      <c r="A67" s="31">
        <v>31</v>
      </c>
      <c r="B67" s="10">
        <v>315.08</v>
      </c>
      <c r="C67" s="32">
        <f t="shared" si="0"/>
        <v>0.31507999999999997</v>
      </c>
      <c r="D67" s="10">
        <f t="shared" si="1"/>
        <v>2.2150123999999997E-2</v>
      </c>
      <c r="E67" s="10">
        <f t="shared" si="2"/>
        <v>9.8884482142857144E-4</v>
      </c>
      <c r="F67" s="10">
        <f>E67/Calculation!K$14*1000</f>
        <v>9.9863928537991475E-4</v>
      </c>
      <c r="G67" s="10">
        <f t="shared" si="3"/>
        <v>86.402109694525222</v>
      </c>
    </row>
    <row r="68" spans="1:7">
      <c r="A68" s="31">
        <v>31.5</v>
      </c>
      <c r="B68" s="10">
        <v>266.22000000000003</v>
      </c>
      <c r="C68" s="32">
        <f t="shared" si="0"/>
        <v>0.26622000000000001</v>
      </c>
      <c r="D68" s="10">
        <f t="shared" si="1"/>
        <v>1.8715266000000001E-2</v>
      </c>
      <c r="E68" s="10">
        <f t="shared" si="2"/>
        <v>8.3550294642857148E-4</v>
      </c>
      <c r="F68" s="10">
        <f>E68/Calculation!K$14*1000</f>
        <v>8.4377856593195668E-4</v>
      </c>
      <c r="G68" s="10">
        <f t="shared" si="3"/>
        <v>86.429745962294902</v>
      </c>
    </row>
    <row r="69" spans="1:7">
      <c r="A69" s="31">
        <v>32</v>
      </c>
      <c r="B69" s="10">
        <v>216.87</v>
      </c>
      <c r="C69" s="32">
        <f t="shared" si="0"/>
        <v>0.21687000000000001</v>
      </c>
      <c r="D69" s="10">
        <f t="shared" si="1"/>
        <v>1.5245960999999999E-2</v>
      </c>
      <c r="E69" s="10">
        <f t="shared" si="2"/>
        <v>6.8062325892857139E-4</v>
      </c>
      <c r="F69" s="10">
        <f>E69/Calculation!K$14*1000</f>
        <v>6.8736480201962073E-4</v>
      </c>
      <c r="G69" s="10">
        <f t="shared" si="3"/>
        <v>86.45271311281418</v>
      </c>
    </row>
    <row r="70" spans="1:7">
      <c r="A70" s="31">
        <v>32.5</v>
      </c>
      <c r="B70" s="10">
        <v>182.95</v>
      </c>
      <c r="C70" s="32">
        <f t="shared" ref="C70:C101" si="4">B70/1000</f>
        <v>0.18295</v>
      </c>
      <c r="D70" s="10">
        <f t="shared" ref="D70:D101" si="5">C70/1000*$B$1</f>
        <v>1.2861384999999999E-2</v>
      </c>
      <c r="E70" s="10">
        <f t="shared" ref="E70:E101" si="6">D70/22.4</f>
        <v>5.7416897321428575E-4</v>
      </c>
      <c r="F70" s="10">
        <f>E70/Calculation!K$14*1000</f>
        <v>5.798560913426921E-4</v>
      </c>
      <c r="G70" s="10">
        <f t="shared" si="3"/>
        <v>86.471721426214614</v>
      </c>
    </row>
    <row r="71" spans="1:7">
      <c r="A71" s="31">
        <v>33</v>
      </c>
      <c r="B71" s="10">
        <v>156</v>
      </c>
      <c r="C71" s="32">
        <f t="shared" si="4"/>
        <v>0.156</v>
      </c>
      <c r="D71" s="10">
        <f t="shared" si="5"/>
        <v>1.0966799999999999E-2</v>
      </c>
      <c r="E71" s="10">
        <f t="shared" si="6"/>
        <v>4.8958928571428569E-4</v>
      </c>
      <c r="F71" s="10">
        <f>E71/Calculation!K$14*1000</f>
        <v>4.9443864580191285E-4</v>
      </c>
      <c r="G71" s="10">
        <f t="shared" ref="G71:G101" si="7">G70+(F71+F70)/2*30</f>
        <v>86.487835847271782</v>
      </c>
    </row>
    <row r="72" spans="1:7">
      <c r="A72" s="31">
        <v>33.5</v>
      </c>
      <c r="B72" s="10">
        <v>0</v>
      </c>
      <c r="C72" s="32">
        <f t="shared" si="4"/>
        <v>0</v>
      </c>
      <c r="D72" s="10">
        <f t="shared" si="5"/>
        <v>0</v>
      </c>
      <c r="E72" s="10">
        <f t="shared" si="6"/>
        <v>0</v>
      </c>
      <c r="F72" s="10">
        <f>E72/Calculation!K$14*1000</f>
        <v>0</v>
      </c>
      <c r="G72" s="10">
        <f t="shared" si="7"/>
        <v>86.495252426958814</v>
      </c>
    </row>
    <row r="73" spans="1:7">
      <c r="A73" s="31">
        <v>34</v>
      </c>
      <c r="B73" s="10">
        <v>0</v>
      </c>
      <c r="C73" s="32">
        <f t="shared" si="4"/>
        <v>0</v>
      </c>
      <c r="D73" s="10">
        <f t="shared" si="5"/>
        <v>0</v>
      </c>
      <c r="E73" s="10">
        <f t="shared" si="6"/>
        <v>0</v>
      </c>
      <c r="F73" s="10">
        <f>E73/Calculation!K$14*1000</f>
        <v>0</v>
      </c>
      <c r="G73" s="10">
        <f t="shared" si="7"/>
        <v>86.495252426958814</v>
      </c>
    </row>
    <row r="74" spans="1:7">
      <c r="A74" s="31">
        <v>34.5</v>
      </c>
      <c r="B74" s="10">
        <v>0</v>
      </c>
      <c r="C74" s="32">
        <f t="shared" si="4"/>
        <v>0</v>
      </c>
      <c r="D74" s="10">
        <f t="shared" si="5"/>
        <v>0</v>
      </c>
      <c r="E74" s="10">
        <f t="shared" si="6"/>
        <v>0</v>
      </c>
      <c r="F74" s="10">
        <f>E74/Calculation!K$14*1000</f>
        <v>0</v>
      </c>
      <c r="G74" s="10">
        <f t="shared" si="7"/>
        <v>86.495252426958814</v>
      </c>
    </row>
    <row r="75" spans="1:7">
      <c r="A75" s="31">
        <v>35</v>
      </c>
      <c r="B75" s="10">
        <v>0</v>
      </c>
      <c r="C75" s="32">
        <f t="shared" si="4"/>
        <v>0</v>
      </c>
      <c r="D75" s="10">
        <f t="shared" si="5"/>
        <v>0</v>
      </c>
      <c r="E75" s="10">
        <f t="shared" si="6"/>
        <v>0</v>
      </c>
      <c r="F75" s="10">
        <f>E75/Calculation!K$14*1000</f>
        <v>0</v>
      </c>
      <c r="G75" s="10">
        <f t="shared" si="7"/>
        <v>86.495252426958814</v>
      </c>
    </row>
    <row r="76" spans="1:7">
      <c r="A76" s="31">
        <v>35.5</v>
      </c>
      <c r="B76" s="10">
        <v>0</v>
      </c>
      <c r="C76" s="32">
        <f t="shared" si="4"/>
        <v>0</v>
      </c>
      <c r="D76" s="10">
        <f t="shared" si="5"/>
        <v>0</v>
      </c>
      <c r="E76" s="10">
        <f t="shared" si="6"/>
        <v>0</v>
      </c>
      <c r="F76" s="10">
        <f>E76/Calculation!K$14*1000</f>
        <v>0</v>
      </c>
      <c r="G76" s="10">
        <f t="shared" si="7"/>
        <v>86.495252426958814</v>
      </c>
    </row>
    <row r="77" spans="1:7">
      <c r="A77" s="31">
        <v>36</v>
      </c>
      <c r="B77" s="10">
        <v>0</v>
      </c>
      <c r="C77" s="32">
        <f t="shared" si="4"/>
        <v>0</v>
      </c>
      <c r="D77" s="10">
        <f t="shared" si="5"/>
        <v>0</v>
      </c>
      <c r="E77" s="10">
        <f t="shared" si="6"/>
        <v>0</v>
      </c>
      <c r="F77" s="10">
        <f>E77/Calculation!K$14*1000</f>
        <v>0</v>
      </c>
      <c r="G77" s="10">
        <f t="shared" si="7"/>
        <v>86.495252426958814</v>
      </c>
    </row>
    <row r="78" spans="1:7">
      <c r="A78" s="31">
        <v>36.5</v>
      </c>
      <c r="B78" s="10">
        <v>0</v>
      </c>
      <c r="C78" s="32">
        <f t="shared" si="4"/>
        <v>0</v>
      </c>
      <c r="D78" s="10">
        <f t="shared" si="5"/>
        <v>0</v>
      </c>
      <c r="E78" s="10">
        <f t="shared" si="6"/>
        <v>0</v>
      </c>
      <c r="F78" s="10">
        <f>E78/Calculation!K$14*1000</f>
        <v>0</v>
      </c>
      <c r="G78" s="10">
        <f t="shared" si="7"/>
        <v>86.495252426958814</v>
      </c>
    </row>
    <row r="79" spans="1:7">
      <c r="A79" s="31">
        <v>37</v>
      </c>
      <c r="B79" s="10">
        <v>0</v>
      </c>
      <c r="C79" s="32">
        <f t="shared" si="4"/>
        <v>0</v>
      </c>
      <c r="D79" s="10">
        <f t="shared" si="5"/>
        <v>0</v>
      </c>
      <c r="E79" s="10">
        <f t="shared" si="6"/>
        <v>0</v>
      </c>
      <c r="F79" s="10">
        <f>E79/Calculation!K$14*1000</f>
        <v>0</v>
      </c>
      <c r="G79" s="10">
        <f t="shared" si="7"/>
        <v>86.495252426958814</v>
      </c>
    </row>
    <row r="80" spans="1:7">
      <c r="A80" s="31">
        <v>37.5</v>
      </c>
      <c r="B80" s="10">
        <v>0</v>
      </c>
      <c r="C80" s="32">
        <f t="shared" si="4"/>
        <v>0</v>
      </c>
      <c r="D80" s="10">
        <f t="shared" si="5"/>
        <v>0</v>
      </c>
      <c r="E80" s="10">
        <f t="shared" si="6"/>
        <v>0</v>
      </c>
      <c r="F80" s="10">
        <f>E80/Calculation!K$14*1000</f>
        <v>0</v>
      </c>
      <c r="G80" s="10">
        <f t="shared" si="7"/>
        <v>86.495252426958814</v>
      </c>
    </row>
    <row r="81" spans="1:7">
      <c r="A81" s="31">
        <v>38</v>
      </c>
      <c r="B81" s="10">
        <v>0</v>
      </c>
      <c r="C81" s="32">
        <f t="shared" si="4"/>
        <v>0</v>
      </c>
      <c r="D81" s="10">
        <f t="shared" si="5"/>
        <v>0</v>
      </c>
      <c r="E81" s="10">
        <f t="shared" si="6"/>
        <v>0</v>
      </c>
      <c r="F81" s="10">
        <f>E81/Calculation!K$14*1000</f>
        <v>0</v>
      </c>
      <c r="G81" s="10">
        <f t="shared" si="7"/>
        <v>86.495252426958814</v>
      </c>
    </row>
    <row r="82" spans="1:7">
      <c r="A82" s="31">
        <v>38.5</v>
      </c>
      <c r="B82" s="10">
        <v>0</v>
      </c>
      <c r="C82" s="32">
        <f t="shared" si="4"/>
        <v>0</v>
      </c>
      <c r="D82" s="10">
        <f t="shared" si="5"/>
        <v>0</v>
      </c>
      <c r="E82" s="10">
        <f t="shared" si="6"/>
        <v>0</v>
      </c>
      <c r="F82" s="10">
        <f>E82/Calculation!K$14*1000</f>
        <v>0</v>
      </c>
      <c r="G82" s="10">
        <f t="shared" si="7"/>
        <v>86.495252426958814</v>
      </c>
    </row>
    <row r="83" spans="1:7">
      <c r="A83" s="31">
        <v>39</v>
      </c>
      <c r="B83" s="10">
        <v>0</v>
      </c>
      <c r="C83" s="32">
        <f t="shared" si="4"/>
        <v>0</v>
      </c>
      <c r="D83" s="10">
        <f t="shared" si="5"/>
        <v>0</v>
      </c>
      <c r="E83" s="10">
        <f t="shared" si="6"/>
        <v>0</v>
      </c>
      <c r="F83" s="10">
        <f>E83/Calculation!K$14*1000</f>
        <v>0</v>
      </c>
      <c r="G83" s="10">
        <f t="shared" si="7"/>
        <v>86.495252426958814</v>
      </c>
    </row>
    <row r="84" spans="1:7">
      <c r="A84" s="31">
        <v>39.5</v>
      </c>
      <c r="B84" s="10">
        <v>0</v>
      </c>
      <c r="C84" s="32">
        <f t="shared" si="4"/>
        <v>0</v>
      </c>
      <c r="D84" s="10">
        <f t="shared" si="5"/>
        <v>0</v>
      </c>
      <c r="E84" s="10">
        <f t="shared" si="6"/>
        <v>0</v>
      </c>
      <c r="F84" s="10">
        <f>E84/Calculation!K$14*1000</f>
        <v>0</v>
      </c>
      <c r="G84" s="10">
        <f t="shared" si="7"/>
        <v>86.495252426958814</v>
      </c>
    </row>
    <row r="85" spans="1:7">
      <c r="A85" s="31">
        <v>40</v>
      </c>
      <c r="B85" s="10">
        <v>0</v>
      </c>
      <c r="C85" s="32">
        <f t="shared" si="4"/>
        <v>0</v>
      </c>
      <c r="D85" s="10">
        <f t="shared" si="5"/>
        <v>0</v>
      </c>
      <c r="E85" s="10">
        <f t="shared" si="6"/>
        <v>0</v>
      </c>
      <c r="F85" s="10">
        <f>E85/Calculation!K$14*1000</f>
        <v>0</v>
      </c>
      <c r="G85" s="10">
        <f t="shared" si="7"/>
        <v>86.495252426958814</v>
      </c>
    </row>
    <row r="86" spans="1:7">
      <c r="A86" s="31">
        <v>40.5</v>
      </c>
      <c r="B86" s="10">
        <v>0</v>
      </c>
      <c r="C86" s="32">
        <f t="shared" si="4"/>
        <v>0</v>
      </c>
      <c r="D86" s="10">
        <f t="shared" si="5"/>
        <v>0</v>
      </c>
      <c r="E86" s="10">
        <f t="shared" si="6"/>
        <v>0</v>
      </c>
      <c r="F86" s="10">
        <f>E86/Calculation!K$14*1000</f>
        <v>0</v>
      </c>
      <c r="G86" s="10">
        <f t="shared" si="7"/>
        <v>86.495252426958814</v>
      </c>
    </row>
    <row r="87" spans="1:7">
      <c r="A87" s="31">
        <v>41</v>
      </c>
      <c r="B87" s="10">
        <v>0</v>
      </c>
      <c r="C87" s="32">
        <f t="shared" si="4"/>
        <v>0</v>
      </c>
      <c r="D87" s="10">
        <f t="shared" si="5"/>
        <v>0</v>
      </c>
      <c r="E87" s="10">
        <f t="shared" si="6"/>
        <v>0</v>
      </c>
      <c r="F87" s="10">
        <f>E87/Calculation!K$14*1000</f>
        <v>0</v>
      </c>
      <c r="G87" s="10">
        <f t="shared" si="7"/>
        <v>86.495252426958814</v>
      </c>
    </row>
    <row r="88" spans="1:7">
      <c r="A88" s="31">
        <v>41.5</v>
      </c>
      <c r="B88" s="10">
        <v>0</v>
      </c>
      <c r="C88" s="32">
        <f t="shared" si="4"/>
        <v>0</v>
      </c>
      <c r="D88" s="10">
        <f t="shared" si="5"/>
        <v>0</v>
      </c>
      <c r="E88" s="10">
        <f t="shared" si="6"/>
        <v>0</v>
      </c>
      <c r="F88" s="10">
        <f>E88/Calculation!K$14*1000</f>
        <v>0</v>
      </c>
      <c r="G88" s="10">
        <f t="shared" si="7"/>
        <v>86.495252426958814</v>
      </c>
    </row>
    <row r="89" spans="1:7">
      <c r="A89" s="31">
        <v>42</v>
      </c>
      <c r="B89" s="10">
        <v>0</v>
      </c>
      <c r="C89" s="32">
        <f t="shared" si="4"/>
        <v>0</v>
      </c>
      <c r="D89" s="10">
        <f t="shared" si="5"/>
        <v>0</v>
      </c>
      <c r="E89" s="10">
        <f t="shared" si="6"/>
        <v>0</v>
      </c>
      <c r="F89" s="10">
        <f>E89/Calculation!K$14*1000</f>
        <v>0</v>
      </c>
      <c r="G89" s="10">
        <f t="shared" si="7"/>
        <v>86.495252426958814</v>
      </c>
    </row>
    <row r="90" spans="1:7">
      <c r="A90" s="31">
        <v>42.5</v>
      </c>
      <c r="B90" s="10">
        <v>0</v>
      </c>
      <c r="C90" s="32">
        <f t="shared" si="4"/>
        <v>0</v>
      </c>
      <c r="D90" s="10">
        <f t="shared" si="5"/>
        <v>0</v>
      </c>
      <c r="E90" s="10">
        <f t="shared" si="6"/>
        <v>0</v>
      </c>
      <c r="F90" s="10">
        <f>E90/Calculation!K$14*1000</f>
        <v>0</v>
      </c>
      <c r="G90" s="10">
        <f t="shared" si="7"/>
        <v>86.495252426958814</v>
      </c>
    </row>
    <row r="91" spans="1:7">
      <c r="A91" s="31">
        <v>43</v>
      </c>
      <c r="B91" s="10">
        <v>0</v>
      </c>
      <c r="C91" s="32">
        <f t="shared" si="4"/>
        <v>0</v>
      </c>
      <c r="D91" s="10">
        <f t="shared" si="5"/>
        <v>0</v>
      </c>
      <c r="E91" s="10">
        <f t="shared" si="6"/>
        <v>0</v>
      </c>
      <c r="F91" s="10">
        <f>E91/Calculation!K$14*1000</f>
        <v>0</v>
      </c>
      <c r="G91" s="10">
        <f t="shared" si="7"/>
        <v>86.495252426958814</v>
      </c>
    </row>
    <row r="92" spans="1:7">
      <c r="A92" s="31">
        <v>43.5</v>
      </c>
      <c r="B92" s="10">
        <v>0</v>
      </c>
      <c r="C92" s="32">
        <f t="shared" si="4"/>
        <v>0</v>
      </c>
      <c r="D92" s="10">
        <f t="shared" si="5"/>
        <v>0</v>
      </c>
      <c r="E92" s="10">
        <f t="shared" si="6"/>
        <v>0</v>
      </c>
      <c r="F92" s="10">
        <f>E92/Calculation!K$14*1000</f>
        <v>0</v>
      </c>
      <c r="G92" s="10">
        <f t="shared" si="7"/>
        <v>86.495252426958814</v>
      </c>
    </row>
    <row r="93" spans="1:7">
      <c r="A93" s="31">
        <v>44</v>
      </c>
      <c r="B93" s="10">
        <v>0</v>
      </c>
      <c r="C93" s="32">
        <f t="shared" si="4"/>
        <v>0</v>
      </c>
      <c r="D93" s="10">
        <f t="shared" si="5"/>
        <v>0</v>
      </c>
      <c r="E93" s="10">
        <f t="shared" si="6"/>
        <v>0</v>
      </c>
      <c r="F93" s="10">
        <f>E93/Calculation!K$14*1000</f>
        <v>0</v>
      </c>
      <c r="G93" s="10">
        <f t="shared" si="7"/>
        <v>86.495252426958814</v>
      </c>
    </row>
    <row r="94" spans="1:7">
      <c r="A94" s="31">
        <v>44.5</v>
      </c>
      <c r="B94" s="10">
        <v>0</v>
      </c>
      <c r="C94" s="32">
        <f t="shared" si="4"/>
        <v>0</v>
      </c>
      <c r="D94" s="10">
        <f t="shared" si="5"/>
        <v>0</v>
      </c>
      <c r="E94" s="10">
        <f t="shared" si="6"/>
        <v>0</v>
      </c>
      <c r="F94" s="10">
        <f>E94/Calculation!K$14*1000</f>
        <v>0</v>
      </c>
      <c r="G94" s="10">
        <f t="shared" si="7"/>
        <v>86.495252426958814</v>
      </c>
    </row>
    <row r="95" spans="1:7">
      <c r="A95" s="31">
        <v>45</v>
      </c>
      <c r="B95" s="10">
        <v>0</v>
      </c>
      <c r="C95" s="32">
        <f t="shared" si="4"/>
        <v>0</v>
      </c>
      <c r="D95" s="10">
        <f t="shared" si="5"/>
        <v>0</v>
      </c>
      <c r="E95" s="10">
        <f t="shared" si="6"/>
        <v>0</v>
      </c>
      <c r="F95" s="10">
        <f>E95/Calculation!K$14*1000</f>
        <v>0</v>
      </c>
      <c r="G95" s="10">
        <f t="shared" si="7"/>
        <v>86.495252426958814</v>
      </c>
    </row>
    <row r="96" spans="1:7">
      <c r="A96" s="31">
        <v>45.5</v>
      </c>
      <c r="B96" s="10">
        <v>0</v>
      </c>
      <c r="C96" s="32">
        <f t="shared" si="4"/>
        <v>0</v>
      </c>
      <c r="D96" s="10">
        <f t="shared" si="5"/>
        <v>0</v>
      </c>
      <c r="E96" s="10">
        <f t="shared" si="6"/>
        <v>0</v>
      </c>
      <c r="F96" s="10">
        <f>E96/Calculation!K$14*1000</f>
        <v>0</v>
      </c>
      <c r="G96" s="10">
        <f t="shared" si="7"/>
        <v>86.495252426958814</v>
      </c>
    </row>
    <row r="97" spans="1:7">
      <c r="A97" s="31">
        <v>46</v>
      </c>
      <c r="B97" s="10">
        <v>0</v>
      </c>
      <c r="C97" s="32">
        <f t="shared" si="4"/>
        <v>0</v>
      </c>
      <c r="D97" s="10">
        <f t="shared" si="5"/>
        <v>0</v>
      </c>
      <c r="E97" s="10">
        <f t="shared" si="6"/>
        <v>0</v>
      </c>
      <c r="F97" s="10">
        <f>E97/Calculation!K$14*1000</f>
        <v>0</v>
      </c>
      <c r="G97" s="10">
        <f t="shared" si="7"/>
        <v>86.495252426958814</v>
      </c>
    </row>
    <row r="98" spans="1:7">
      <c r="A98" s="31">
        <v>46.5</v>
      </c>
      <c r="B98" s="10">
        <v>0</v>
      </c>
      <c r="C98" s="32">
        <f t="shared" si="4"/>
        <v>0</v>
      </c>
      <c r="D98" s="10">
        <f t="shared" si="5"/>
        <v>0</v>
      </c>
      <c r="E98" s="10">
        <f t="shared" si="6"/>
        <v>0</v>
      </c>
      <c r="F98" s="10">
        <f>E98/Calculation!K$14*1000</f>
        <v>0</v>
      </c>
      <c r="G98" s="10">
        <f t="shared" si="7"/>
        <v>86.495252426958814</v>
      </c>
    </row>
    <row r="99" spans="1:7">
      <c r="A99" s="31">
        <v>47</v>
      </c>
      <c r="B99" s="10">
        <v>0</v>
      </c>
      <c r="C99" s="32">
        <f t="shared" si="4"/>
        <v>0</v>
      </c>
      <c r="D99" s="10">
        <f t="shared" si="5"/>
        <v>0</v>
      </c>
      <c r="E99" s="10">
        <f t="shared" si="6"/>
        <v>0</v>
      </c>
      <c r="F99" s="10">
        <f>E99/Calculation!K$14*1000</f>
        <v>0</v>
      </c>
      <c r="G99" s="10">
        <f t="shared" si="7"/>
        <v>86.495252426958814</v>
      </c>
    </row>
    <row r="100" spans="1:7">
      <c r="A100" s="31">
        <v>47.5</v>
      </c>
      <c r="B100" s="10">
        <v>0</v>
      </c>
      <c r="C100" s="32">
        <f t="shared" si="4"/>
        <v>0</v>
      </c>
      <c r="D100" s="10">
        <f t="shared" si="5"/>
        <v>0</v>
      </c>
      <c r="E100" s="10">
        <f t="shared" si="6"/>
        <v>0</v>
      </c>
      <c r="F100" s="10">
        <f>E100/Calculation!K$14*1000</f>
        <v>0</v>
      </c>
      <c r="G100" s="10">
        <f t="shared" si="7"/>
        <v>86.495252426958814</v>
      </c>
    </row>
    <row r="101" spans="1:7">
      <c r="A101" s="31">
        <v>48</v>
      </c>
      <c r="B101" s="10">
        <v>0</v>
      </c>
      <c r="C101" s="32">
        <f t="shared" si="4"/>
        <v>0</v>
      </c>
      <c r="D101" s="10">
        <f t="shared" si="5"/>
        <v>0</v>
      </c>
      <c r="E101" s="10">
        <f t="shared" si="6"/>
        <v>0</v>
      </c>
      <c r="F101" s="10">
        <f>E101/Calculation!K$15*1000</f>
        <v>0</v>
      </c>
      <c r="G101" s="10">
        <f t="shared" si="7"/>
        <v>86.495252426958814</v>
      </c>
    </row>
    <row r="102" spans="1:7">
      <c r="A102" s="31">
        <v>48.5</v>
      </c>
      <c r="B102" s="10">
        <v>0</v>
      </c>
      <c r="C102" s="32">
        <f t="shared" ref="C102:C149" si="8">B102/1000</f>
        <v>0</v>
      </c>
      <c r="D102" s="10">
        <f t="shared" ref="D102:D149" si="9">C102/1000*$B$1</f>
        <v>0</v>
      </c>
      <c r="E102" s="10">
        <f t="shared" ref="E102:E149" si="10">D102/22.4</f>
        <v>0</v>
      </c>
      <c r="F102" s="10">
        <f>E102/Calculation!K$15*1000</f>
        <v>0</v>
      </c>
      <c r="G102" s="10">
        <f t="shared" ref="G102:G149" si="11">G101+(F102+F101)/2*30</f>
        <v>86.495252426958814</v>
      </c>
    </row>
    <row r="103" spans="1:7">
      <c r="A103" s="31">
        <v>49</v>
      </c>
      <c r="B103" s="10">
        <v>0</v>
      </c>
      <c r="C103" s="32">
        <f t="shared" si="8"/>
        <v>0</v>
      </c>
      <c r="D103" s="10">
        <f t="shared" si="9"/>
        <v>0</v>
      </c>
      <c r="E103" s="10">
        <f t="shared" si="10"/>
        <v>0</v>
      </c>
      <c r="F103" s="10">
        <f>E103/Calculation!K$15*1000</f>
        <v>0</v>
      </c>
      <c r="G103" s="10">
        <f t="shared" si="11"/>
        <v>86.495252426958814</v>
      </c>
    </row>
    <row r="104" spans="1:7">
      <c r="A104" s="31">
        <v>49.5</v>
      </c>
      <c r="B104" s="10">
        <v>0</v>
      </c>
      <c r="C104" s="32">
        <f t="shared" si="8"/>
        <v>0</v>
      </c>
      <c r="D104" s="10">
        <f t="shared" si="9"/>
        <v>0</v>
      </c>
      <c r="E104" s="10">
        <f t="shared" si="10"/>
        <v>0</v>
      </c>
      <c r="F104" s="10">
        <f>E104/Calculation!K$15*1000</f>
        <v>0</v>
      </c>
      <c r="G104" s="10">
        <f t="shared" si="11"/>
        <v>86.495252426958814</v>
      </c>
    </row>
    <row r="105" spans="1:7">
      <c r="A105" s="31">
        <v>50</v>
      </c>
      <c r="B105" s="10">
        <v>0</v>
      </c>
      <c r="C105" s="32">
        <f t="shared" si="8"/>
        <v>0</v>
      </c>
      <c r="D105" s="10">
        <f t="shared" si="9"/>
        <v>0</v>
      </c>
      <c r="E105" s="10">
        <f t="shared" si="10"/>
        <v>0</v>
      </c>
      <c r="F105" s="10">
        <f>E105/Calculation!K$15*1000</f>
        <v>0</v>
      </c>
      <c r="G105" s="10">
        <f t="shared" si="11"/>
        <v>86.495252426958814</v>
      </c>
    </row>
    <row r="106" spans="1:7">
      <c r="A106" s="31">
        <v>50.5</v>
      </c>
      <c r="B106" s="10">
        <v>0</v>
      </c>
      <c r="C106" s="32">
        <f t="shared" si="8"/>
        <v>0</v>
      </c>
      <c r="D106" s="10">
        <f t="shared" si="9"/>
        <v>0</v>
      </c>
      <c r="E106" s="10">
        <f t="shared" si="10"/>
        <v>0</v>
      </c>
      <c r="F106" s="10">
        <f>E106/Calculation!K$15*1000</f>
        <v>0</v>
      </c>
      <c r="G106" s="10">
        <f t="shared" si="11"/>
        <v>86.495252426958814</v>
      </c>
    </row>
    <row r="107" spans="1:7">
      <c r="A107" s="31">
        <v>51</v>
      </c>
      <c r="B107" s="10">
        <v>0</v>
      </c>
      <c r="C107" s="32">
        <f t="shared" si="8"/>
        <v>0</v>
      </c>
      <c r="D107" s="10">
        <f t="shared" si="9"/>
        <v>0</v>
      </c>
      <c r="E107" s="10">
        <f t="shared" si="10"/>
        <v>0</v>
      </c>
      <c r="F107" s="10">
        <f>E107/Calculation!K$15*1000</f>
        <v>0</v>
      </c>
      <c r="G107" s="10">
        <f t="shared" si="11"/>
        <v>86.495252426958814</v>
      </c>
    </row>
    <row r="108" spans="1:7">
      <c r="A108" s="31">
        <v>51.5</v>
      </c>
      <c r="B108" s="10">
        <v>0</v>
      </c>
      <c r="C108" s="32">
        <f t="shared" si="8"/>
        <v>0</v>
      </c>
      <c r="D108" s="10">
        <f t="shared" si="9"/>
        <v>0</v>
      </c>
      <c r="E108" s="10">
        <f t="shared" si="10"/>
        <v>0</v>
      </c>
      <c r="F108" s="10">
        <f>E108/Calculation!K$15*1000</f>
        <v>0</v>
      </c>
      <c r="G108" s="10">
        <f t="shared" si="11"/>
        <v>86.495252426958814</v>
      </c>
    </row>
    <row r="109" spans="1:7">
      <c r="A109" s="31">
        <v>52</v>
      </c>
      <c r="B109" s="10">
        <v>0</v>
      </c>
      <c r="C109" s="32">
        <f t="shared" si="8"/>
        <v>0</v>
      </c>
      <c r="D109" s="10">
        <f t="shared" si="9"/>
        <v>0</v>
      </c>
      <c r="E109" s="10">
        <f t="shared" si="10"/>
        <v>0</v>
      </c>
      <c r="F109" s="10">
        <f>E109/Calculation!K$15*1000</f>
        <v>0</v>
      </c>
      <c r="G109" s="10">
        <f t="shared" si="11"/>
        <v>86.495252426958814</v>
      </c>
    </row>
    <row r="110" spans="1:7">
      <c r="A110" s="31">
        <v>52.5</v>
      </c>
      <c r="B110" s="10">
        <v>0</v>
      </c>
      <c r="C110" s="32">
        <f t="shared" si="8"/>
        <v>0</v>
      </c>
      <c r="D110" s="10">
        <f t="shared" si="9"/>
        <v>0</v>
      </c>
      <c r="E110" s="10">
        <f t="shared" si="10"/>
        <v>0</v>
      </c>
      <c r="F110" s="10">
        <f>E110/Calculation!K$15*1000</f>
        <v>0</v>
      </c>
      <c r="G110" s="10">
        <f t="shared" si="11"/>
        <v>86.495252426958814</v>
      </c>
    </row>
    <row r="111" spans="1:7">
      <c r="A111" s="31">
        <v>53</v>
      </c>
      <c r="B111" s="10">
        <v>0</v>
      </c>
      <c r="C111" s="32">
        <f t="shared" si="8"/>
        <v>0</v>
      </c>
      <c r="D111" s="10">
        <f t="shared" si="9"/>
        <v>0</v>
      </c>
      <c r="E111" s="10">
        <f t="shared" si="10"/>
        <v>0</v>
      </c>
      <c r="F111" s="10">
        <f>E111/Calculation!K$15*1000</f>
        <v>0</v>
      </c>
      <c r="G111" s="10">
        <f t="shared" si="11"/>
        <v>86.495252426958814</v>
      </c>
    </row>
    <row r="112" spans="1:7">
      <c r="A112" s="31">
        <v>53.5</v>
      </c>
      <c r="B112" s="10">
        <v>0</v>
      </c>
      <c r="C112" s="32">
        <f t="shared" si="8"/>
        <v>0</v>
      </c>
      <c r="D112" s="10">
        <f t="shared" si="9"/>
        <v>0</v>
      </c>
      <c r="E112" s="10">
        <f t="shared" si="10"/>
        <v>0</v>
      </c>
      <c r="F112" s="10">
        <f>E112/Calculation!K$15*1000</f>
        <v>0</v>
      </c>
      <c r="G112" s="10">
        <f t="shared" si="11"/>
        <v>86.495252426958814</v>
      </c>
    </row>
    <row r="113" spans="1:7">
      <c r="A113" s="31">
        <v>54</v>
      </c>
      <c r="B113" s="10">
        <v>0</v>
      </c>
      <c r="C113" s="32">
        <f t="shared" si="8"/>
        <v>0</v>
      </c>
      <c r="D113" s="10">
        <f t="shared" si="9"/>
        <v>0</v>
      </c>
      <c r="E113" s="10">
        <f t="shared" si="10"/>
        <v>0</v>
      </c>
      <c r="F113" s="10">
        <f>E113/Calculation!K$15*1000</f>
        <v>0</v>
      </c>
      <c r="G113" s="10">
        <f t="shared" si="11"/>
        <v>86.495252426958814</v>
      </c>
    </row>
    <row r="114" spans="1:7">
      <c r="A114" s="31">
        <v>54.5</v>
      </c>
      <c r="B114" s="10">
        <v>0</v>
      </c>
      <c r="C114" s="32">
        <f t="shared" si="8"/>
        <v>0</v>
      </c>
      <c r="D114" s="10">
        <f t="shared" si="9"/>
        <v>0</v>
      </c>
      <c r="E114" s="10">
        <f t="shared" si="10"/>
        <v>0</v>
      </c>
      <c r="F114" s="10">
        <f>E114/Calculation!K$15*1000</f>
        <v>0</v>
      </c>
      <c r="G114" s="10">
        <f t="shared" si="11"/>
        <v>86.495252426958814</v>
      </c>
    </row>
    <row r="115" spans="1:7">
      <c r="A115" s="31">
        <v>55</v>
      </c>
      <c r="B115" s="10">
        <v>0</v>
      </c>
      <c r="C115" s="32">
        <f t="shared" si="8"/>
        <v>0</v>
      </c>
      <c r="D115" s="10">
        <f t="shared" si="9"/>
        <v>0</v>
      </c>
      <c r="E115" s="10">
        <f t="shared" si="10"/>
        <v>0</v>
      </c>
      <c r="F115" s="10">
        <f>E115/Calculation!K$15*1000</f>
        <v>0</v>
      </c>
      <c r="G115" s="10">
        <f t="shared" si="11"/>
        <v>86.495252426958814</v>
      </c>
    </row>
    <row r="116" spans="1:7">
      <c r="A116" s="31">
        <v>55.5</v>
      </c>
      <c r="B116" s="10">
        <v>164.28</v>
      </c>
      <c r="C116" s="32">
        <f t="shared" si="8"/>
        <v>0.16428000000000001</v>
      </c>
      <c r="D116" s="10">
        <f t="shared" si="9"/>
        <v>1.1548884000000001E-2</v>
      </c>
      <c r="E116" s="10">
        <f t="shared" si="10"/>
        <v>5.1557517857142858E-4</v>
      </c>
      <c r="F116" s="10">
        <f>E116/Calculation!K$15*1000</f>
        <v>5.5090480952595068E-4</v>
      </c>
      <c r="G116" s="10">
        <f t="shared" si="11"/>
        <v>86.503515999101708</v>
      </c>
    </row>
    <row r="117" spans="1:7">
      <c r="A117" s="31">
        <v>56</v>
      </c>
      <c r="B117" s="10">
        <v>0</v>
      </c>
      <c r="C117" s="32">
        <f t="shared" si="8"/>
        <v>0</v>
      </c>
      <c r="D117" s="10">
        <f t="shared" si="9"/>
        <v>0</v>
      </c>
      <c r="E117" s="10">
        <f t="shared" si="10"/>
        <v>0</v>
      </c>
      <c r="F117" s="10">
        <f>E117/Calculation!K$15*1000</f>
        <v>0</v>
      </c>
      <c r="G117" s="10">
        <f t="shared" si="11"/>
        <v>86.511779571244602</v>
      </c>
    </row>
    <row r="118" spans="1:7">
      <c r="A118" s="31">
        <v>56.5</v>
      </c>
      <c r="B118" s="10">
        <v>0</v>
      </c>
      <c r="C118" s="32">
        <f t="shared" si="8"/>
        <v>0</v>
      </c>
      <c r="D118" s="10">
        <f t="shared" si="9"/>
        <v>0</v>
      </c>
      <c r="E118" s="10">
        <f t="shared" si="10"/>
        <v>0</v>
      </c>
      <c r="F118" s="10">
        <f>E118/Calculation!K$15*1000</f>
        <v>0</v>
      </c>
      <c r="G118" s="10">
        <f t="shared" si="11"/>
        <v>86.511779571244602</v>
      </c>
    </row>
    <row r="119" spans="1:7">
      <c r="A119" s="31">
        <v>57</v>
      </c>
      <c r="B119" s="10">
        <v>0</v>
      </c>
      <c r="C119" s="32">
        <f t="shared" si="8"/>
        <v>0</v>
      </c>
      <c r="D119" s="10">
        <f t="shared" si="9"/>
        <v>0</v>
      </c>
      <c r="E119" s="10">
        <f t="shared" si="10"/>
        <v>0</v>
      </c>
      <c r="F119" s="10">
        <f>E119/Calculation!K$15*1000</f>
        <v>0</v>
      </c>
      <c r="G119" s="10">
        <f t="shared" si="11"/>
        <v>86.511779571244602</v>
      </c>
    </row>
    <row r="120" spans="1:7">
      <c r="A120" s="31">
        <v>57.5</v>
      </c>
      <c r="B120" s="10">
        <v>0</v>
      </c>
      <c r="C120" s="32">
        <f t="shared" si="8"/>
        <v>0</v>
      </c>
      <c r="D120" s="10">
        <f t="shared" si="9"/>
        <v>0</v>
      </c>
      <c r="E120" s="10">
        <f t="shared" si="10"/>
        <v>0</v>
      </c>
      <c r="F120" s="10">
        <f>E120/Calculation!K$15*1000</f>
        <v>0</v>
      </c>
      <c r="G120" s="10">
        <f t="shared" si="11"/>
        <v>86.511779571244602</v>
      </c>
    </row>
    <row r="121" spans="1:7">
      <c r="A121" s="31">
        <v>58</v>
      </c>
      <c r="B121" s="10">
        <v>0</v>
      </c>
      <c r="C121" s="32">
        <f t="shared" si="8"/>
        <v>0</v>
      </c>
      <c r="D121" s="10">
        <f t="shared" si="9"/>
        <v>0</v>
      </c>
      <c r="E121" s="10">
        <f t="shared" si="10"/>
        <v>0</v>
      </c>
      <c r="F121" s="10">
        <f>E121/Calculation!K$15*1000</f>
        <v>0</v>
      </c>
      <c r="G121" s="10">
        <f t="shared" si="11"/>
        <v>86.511779571244602</v>
      </c>
    </row>
    <row r="122" spans="1:7">
      <c r="A122" s="31">
        <v>58.5</v>
      </c>
      <c r="B122" s="10">
        <v>0</v>
      </c>
      <c r="C122" s="32">
        <f t="shared" si="8"/>
        <v>0</v>
      </c>
      <c r="D122" s="10">
        <f t="shared" si="9"/>
        <v>0</v>
      </c>
      <c r="E122" s="10">
        <f t="shared" si="10"/>
        <v>0</v>
      </c>
      <c r="F122" s="10">
        <f>E122/Calculation!K$15*1000</f>
        <v>0</v>
      </c>
      <c r="G122" s="10">
        <f t="shared" si="11"/>
        <v>86.511779571244602</v>
      </c>
    </row>
    <row r="123" spans="1:7">
      <c r="A123" s="31">
        <v>59</v>
      </c>
      <c r="B123" s="10">
        <v>0</v>
      </c>
      <c r="C123" s="32">
        <f t="shared" si="8"/>
        <v>0</v>
      </c>
      <c r="D123" s="10">
        <f t="shared" si="9"/>
        <v>0</v>
      </c>
      <c r="E123" s="10">
        <f t="shared" si="10"/>
        <v>0</v>
      </c>
      <c r="F123" s="10">
        <f>E123/Calculation!K$15*1000</f>
        <v>0</v>
      </c>
      <c r="G123" s="10">
        <f t="shared" si="11"/>
        <v>86.511779571244602</v>
      </c>
    </row>
    <row r="124" spans="1:7">
      <c r="A124" s="31">
        <v>59.5</v>
      </c>
      <c r="B124" s="10">
        <v>0</v>
      </c>
      <c r="C124" s="32">
        <f t="shared" si="8"/>
        <v>0</v>
      </c>
      <c r="D124" s="10">
        <f t="shared" si="9"/>
        <v>0</v>
      </c>
      <c r="E124" s="10">
        <f t="shared" si="10"/>
        <v>0</v>
      </c>
      <c r="F124" s="10">
        <f>E124/Calculation!K$15*1000</f>
        <v>0</v>
      </c>
      <c r="G124" s="10">
        <f t="shared" si="11"/>
        <v>86.511779571244602</v>
      </c>
    </row>
    <row r="125" spans="1:7">
      <c r="A125" s="31">
        <v>60</v>
      </c>
      <c r="B125" s="10">
        <v>0</v>
      </c>
      <c r="C125" s="32">
        <f t="shared" si="8"/>
        <v>0</v>
      </c>
      <c r="D125" s="10">
        <f t="shared" si="9"/>
        <v>0</v>
      </c>
      <c r="E125" s="10">
        <f t="shared" si="10"/>
        <v>0</v>
      </c>
      <c r="F125" s="10">
        <f>E125/Calculation!K$15*1000</f>
        <v>0</v>
      </c>
      <c r="G125" s="10">
        <f t="shared" si="11"/>
        <v>86.511779571244602</v>
      </c>
    </row>
    <row r="126" spans="1:7">
      <c r="A126" s="31">
        <v>60.5</v>
      </c>
      <c r="B126" s="10">
        <v>0</v>
      </c>
      <c r="C126" s="32">
        <f t="shared" si="8"/>
        <v>0</v>
      </c>
      <c r="D126" s="10">
        <f t="shared" si="9"/>
        <v>0</v>
      </c>
      <c r="E126" s="10">
        <f t="shared" si="10"/>
        <v>0</v>
      </c>
      <c r="F126" s="10">
        <f>E126/Calculation!K$15*1000</f>
        <v>0</v>
      </c>
      <c r="G126" s="10">
        <f t="shared" si="11"/>
        <v>86.511779571244602</v>
      </c>
    </row>
    <row r="127" spans="1:7">
      <c r="A127" s="31">
        <v>61</v>
      </c>
      <c r="B127" s="10">
        <v>0</v>
      </c>
      <c r="C127" s="32">
        <f t="shared" si="8"/>
        <v>0</v>
      </c>
      <c r="D127" s="10">
        <f t="shared" si="9"/>
        <v>0</v>
      </c>
      <c r="E127" s="10">
        <f t="shared" si="10"/>
        <v>0</v>
      </c>
      <c r="F127" s="10">
        <f>E127/Calculation!K$15*1000</f>
        <v>0</v>
      </c>
      <c r="G127" s="10">
        <f t="shared" si="11"/>
        <v>86.511779571244602</v>
      </c>
    </row>
    <row r="128" spans="1:7">
      <c r="A128" s="31">
        <v>61.5</v>
      </c>
      <c r="B128" s="10">
        <v>0</v>
      </c>
      <c r="C128" s="32">
        <f t="shared" si="8"/>
        <v>0</v>
      </c>
      <c r="D128" s="10">
        <f t="shared" si="9"/>
        <v>0</v>
      </c>
      <c r="E128" s="10">
        <f t="shared" si="10"/>
        <v>0</v>
      </c>
      <c r="F128" s="10">
        <f>E128/Calculation!K$15*1000</f>
        <v>0</v>
      </c>
      <c r="G128" s="10">
        <f t="shared" si="11"/>
        <v>86.511779571244602</v>
      </c>
    </row>
    <row r="129" spans="1:7">
      <c r="A129" s="31">
        <v>62</v>
      </c>
      <c r="B129" s="10">
        <v>0</v>
      </c>
      <c r="C129" s="32">
        <f t="shared" si="8"/>
        <v>0</v>
      </c>
      <c r="D129" s="10">
        <f t="shared" si="9"/>
        <v>0</v>
      </c>
      <c r="E129" s="10">
        <f t="shared" si="10"/>
        <v>0</v>
      </c>
      <c r="F129" s="10">
        <f>E129/Calculation!K$15*1000</f>
        <v>0</v>
      </c>
      <c r="G129" s="10">
        <f t="shared" si="11"/>
        <v>86.511779571244602</v>
      </c>
    </row>
    <row r="130" spans="1:7">
      <c r="A130" s="31">
        <v>62.5</v>
      </c>
      <c r="B130" s="10">
        <v>0</v>
      </c>
      <c r="C130" s="32">
        <f t="shared" si="8"/>
        <v>0</v>
      </c>
      <c r="D130" s="10">
        <f t="shared" si="9"/>
        <v>0</v>
      </c>
      <c r="E130" s="10">
        <f t="shared" si="10"/>
        <v>0</v>
      </c>
      <c r="F130" s="10">
        <f>E130/Calculation!K$15*1000</f>
        <v>0</v>
      </c>
      <c r="G130" s="10">
        <f t="shared" si="11"/>
        <v>86.511779571244602</v>
      </c>
    </row>
    <row r="131" spans="1:7">
      <c r="A131" s="31">
        <v>63</v>
      </c>
      <c r="B131" s="10">
        <v>0</v>
      </c>
      <c r="C131" s="32">
        <f t="shared" si="8"/>
        <v>0</v>
      </c>
      <c r="D131" s="10">
        <f t="shared" si="9"/>
        <v>0</v>
      </c>
      <c r="E131" s="10">
        <f t="shared" si="10"/>
        <v>0</v>
      </c>
      <c r="F131" s="10">
        <f>E131/Calculation!K$15*1000</f>
        <v>0</v>
      </c>
      <c r="G131" s="10">
        <f t="shared" si="11"/>
        <v>86.511779571244602</v>
      </c>
    </row>
    <row r="132" spans="1:7">
      <c r="A132" s="31">
        <v>63.5</v>
      </c>
      <c r="B132" s="10">
        <v>0</v>
      </c>
      <c r="C132" s="32">
        <f t="shared" si="8"/>
        <v>0</v>
      </c>
      <c r="D132" s="10">
        <f t="shared" si="9"/>
        <v>0</v>
      </c>
      <c r="E132" s="10">
        <f t="shared" si="10"/>
        <v>0</v>
      </c>
      <c r="F132" s="10">
        <f>E132/Calculation!K$15*1000</f>
        <v>0</v>
      </c>
      <c r="G132" s="10">
        <f t="shared" si="11"/>
        <v>86.511779571244602</v>
      </c>
    </row>
    <row r="133" spans="1:7">
      <c r="A133" s="31">
        <v>64</v>
      </c>
      <c r="B133" s="10">
        <v>0</v>
      </c>
      <c r="C133" s="32">
        <f t="shared" si="8"/>
        <v>0</v>
      </c>
      <c r="D133" s="10">
        <f t="shared" si="9"/>
        <v>0</v>
      </c>
      <c r="E133" s="10">
        <f t="shared" si="10"/>
        <v>0</v>
      </c>
      <c r="F133" s="10">
        <f>E133/Calculation!K$15*1000</f>
        <v>0</v>
      </c>
      <c r="G133" s="10">
        <f t="shared" si="11"/>
        <v>86.511779571244602</v>
      </c>
    </row>
    <row r="134" spans="1:7">
      <c r="A134" s="31">
        <v>64.5</v>
      </c>
      <c r="B134" s="10">
        <v>0</v>
      </c>
      <c r="C134" s="32">
        <f t="shared" si="8"/>
        <v>0</v>
      </c>
      <c r="D134" s="10">
        <f t="shared" si="9"/>
        <v>0</v>
      </c>
      <c r="E134" s="10">
        <f t="shared" si="10"/>
        <v>0</v>
      </c>
      <c r="F134" s="10">
        <f>E134/Calculation!K$15*1000</f>
        <v>0</v>
      </c>
      <c r="G134" s="10">
        <f t="shared" si="11"/>
        <v>86.511779571244602</v>
      </c>
    </row>
    <row r="135" spans="1:7">
      <c r="A135" s="31">
        <v>65</v>
      </c>
      <c r="B135" s="10">
        <v>0</v>
      </c>
      <c r="C135" s="32">
        <f t="shared" si="8"/>
        <v>0</v>
      </c>
      <c r="D135" s="10">
        <f t="shared" si="9"/>
        <v>0</v>
      </c>
      <c r="E135" s="10">
        <f t="shared" si="10"/>
        <v>0</v>
      </c>
      <c r="F135" s="10">
        <f>E135/Calculation!K$15*1000</f>
        <v>0</v>
      </c>
      <c r="G135" s="10">
        <f t="shared" si="11"/>
        <v>86.511779571244602</v>
      </c>
    </row>
    <row r="136" spans="1:7">
      <c r="A136" s="31">
        <v>65.5</v>
      </c>
      <c r="B136" s="10">
        <v>0</v>
      </c>
      <c r="C136" s="32">
        <f t="shared" si="8"/>
        <v>0</v>
      </c>
      <c r="D136" s="10">
        <f t="shared" si="9"/>
        <v>0</v>
      </c>
      <c r="E136" s="10">
        <f t="shared" si="10"/>
        <v>0</v>
      </c>
      <c r="F136" s="10">
        <f>E136/Calculation!K$15*1000</f>
        <v>0</v>
      </c>
      <c r="G136" s="10">
        <f t="shared" si="11"/>
        <v>86.511779571244602</v>
      </c>
    </row>
    <row r="137" spans="1:7">
      <c r="A137" s="31">
        <v>66</v>
      </c>
      <c r="B137" s="10">
        <v>0</v>
      </c>
      <c r="C137" s="32">
        <f t="shared" si="8"/>
        <v>0</v>
      </c>
      <c r="D137" s="10">
        <f t="shared" si="9"/>
        <v>0</v>
      </c>
      <c r="E137" s="10">
        <f t="shared" si="10"/>
        <v>0</v>
      </c>
      <c r="F137" s="10">
        <f>E137/Calculation!K$15*1000</f>
        <v>0</v>
      </c>
      <c r="G137" s="10">
        <f t="shared" si="11"/>
        <v>86.511779571244602</v>
      </c>
    </row>
    <row r="138" spans="1:7">
      <c r="A138" s="31">
        <v>66.5</v>
      </c>
      <c r="B138" s="10">
        <v>0</v>
      </c>
      <c r="C138" s="32">
        <f t="shared" si="8"/>
        <v>0</v>
      </c>
      <c r="D138" s="10">
        <f t="shared" si="9"/>
        <v>0</v>
      </c>
      <c r="E138" s="10">
        <f t="shared" si="10"/>
        <v>0</v>
      </c>
      <c r="F138" s="10">
        <f>E138/Calculation!K$15*1000</f>
        <v>0</v>
      </c>
      <c r="G138" s="10">
        <f t="shared" si="11"/>
        <v>86.511779571244602</v>
      </c>
    </row>
    <row r="139" spans="1:7">
      <c r="A139" s="31">
        <v>67</v>
      </c>
      <c r="B139" s="10">
        <v>0</v>
      </c>
      <c r="C139" s="32">
        <f t="shared" si="8"/>
        <v>0</v>
      </c>
      <c r="D139" s="10">
        <f t="shared" si="9"/>
        <v>0</v>
      </c>
      <c r="E139" s="10">
        <f t="shared" si="10"/>
        <v>0</v>
      </c>
      <c r="F139" s="10">
        <f>E139/Calculation!K$15*1000</f>
        <v>0</v>
      </c>
      <c r="G139" s="10">
        <f t="shared" si="11"/>
        <v>86.511779571244602</v>
      </c>
    </row>
    <row r="140" spans="1:7">
      <c r="A140" s="31">
        <v>67.5</v>
      </c>
      <c r="B140" s="10">
        <v>0</v>
      </c>
      <c r="C140" s="32">
        <f t="shared" si="8"/>
        <v>0</v>
      </c>
      <c r="D140" s="10">
        <f t="shared" si="9"/>
        <v>0</v>
      </c>
      <c r="E140" s="10">
        <f t="shared" si="10"/>
        <v>0</v>
      </c>
      <c r="F140" s="10">
        <f>E140/Calculation!K$15*1000</f>
        <v>0</v>
      </c>
      <c r="G140" s="10">
        <f t="shared" si="11"/>
        <v>86.511779571244602</v>
      </c>
    </row>
    <row r="141" spans="1:7">
      <c r="A141" s="31">
        <v>68</v>
      </c>
      <c r="B141" s="10">
        <v>0</v>
      </c>
      <c r="C141" s="32">
        <f t="shared" si="8"/>
        <v>0</v>
      </c>
      <c r="D141" s="10">
        <f t="shared" si="9"/>
        <v>0</v>
      </c>
      <c r="E141" s="10">
        <f t="shared" si="10"/>
        <v>0</v>
      </c>
      <c r="F141" s="10">
        <f>E141/Calculation!K$15*1000</f>
        <v>0</v>
      </c>
      <c r="G141" s="10">
        <f t="shared" si="11"/>
        <v>86.511779571244602</v>
      </c>
    </row>
    <row r="142" spans="1:7">
      <c r="A142" s="31">
        <v>68.5</v>
      </c>
      <c r="B142" s="10">
        <v>0</v>
      </c>
      <c r="C142" s="32">
        <f t="shared" si="8"/>
        <v>0</v>
      </c>
      <c r="D142" s="10">
        <f t="shared" si="9"/>
        <v>0</v>
      </c>
      <c r="E142" s="10">
        <f t="shared" si="10"/>
        <v>0</v>
      </c>
      <c r="F142" s="10">
        <f>E142/Calculation!K$15*1000</f>
        <v>0</v>
      </c>
      <c r="G142" s="10">
        <f t="shared" si="11"/>
        <v>86.511779571244602</v>
      </c>
    </row>
    <row r="143" spans="1:7">
      <c r="A143" s="31">
        <v>69</v>
      </c>
      <c r="B143" s="10">
        <v>0</v>
      </c>
      <c r="C143" s="32">
        <f t="shared" si="8"/>
        <v>0</v>
      </c>
      <c r="D143" s="10">
        <f t="shared" si="9"/>
        <v>0</v>
      </c>
      <c r="E143" s="10">
        <f t="shared" si="10"/>
        <v>0</v>
      </c>
      <c r="F143" s="10">
        <f>E143/Calculation!K$15*1000</f>
        <v>0</v>
      </c>
      <c r="G143" s="10">
        <f t="shared" si="11"/>
        <v>86.511779571244602</v>
      </c>
    </row>
    <row r="144" spans="1:7">
      <c r="A144" s="31">
        <v>69.5</v>
      </c>
      <c r="B144" s="10">
        <v>0</v>
      </c>
      <c r="C144" s="32">
        <f t="shared" si="8"/>
        <v>0</v>
      </c>
      <c r="D144" s="10">
        <f t="shared" si="9"/>
        <v>0</v>
      </c>
      <c r="E144" s="10">
        <f t="shared" si="10"/>
        <v>0</v>
      </c>
      <c r="F144" s="10">
        <f>E144/Calculation!K$15*1000</f>
        <v>0</v>
      </c>
      <c r="G144" s="10">
        <f t="shared" si="11"/>
        <v>86.511779571244602</v>
      </c>
    </row>
    <row r="145" spans="1:7">
      <c r="A145" s="31">
        <v>70</v>
      </c>
      <c r="B145" s="10">
        <v>0</v>
      </c>
      <c r="C145" s="32">
        <f t="shared" si="8"/>
        <v>0</v>
      </c>
      <c r="D145" s="10">
        <f t="shared" si="9"/>
        <v>0</v>
      </c>
      <c r="E145" s="10">
        <f t="shared" si="10"/>
        <v>0</v>
      </c>
      <c r="F145" s="10">
        <f>E145/Calculation!K$15*1000</f>
        <v>0</v>
      </c>
      <c r="G145" s="10">
        <f t="shared" si="11"/>
        <v>86.511779571244602</v>
      </c>
    </row>
    <row r="146" spans="1:7">
      <c r="A146" s="31">
        <v>70.5</v>
      </c>
      <c r="B146" s="10">
        <v>0</v>
      </c>
      <c r="C146" s="32">
        <f t="shared" si="8"/>
        <v>0</v>
      </c>
      <c r="D146" s="10">
        <f t="shared" si="9"/>
        <v>0</v>
      </c>
      <c r="E146" s="10">
        <f t="shared" si="10"/>
        <v>0</v>
      </c>
      <c r="F146" s="10">
        <f>E146/Calculation!K$15*1000</f>
        <v>0</v>
      </c>
      <c r="G146" s="10">
        <f t="shared" si="11"/>
        <v>86.511779571244602</v>
      </c>
    </row>
    <row r="147" spans="1:7">
      <c r="A147" s="31">
        <v>71</v>
      </c>
      <c r="B147" s="10">
        <v>0</v>
      </c>
      <c r="C147" s="32">
        <f t="shared" si="8"/>
        <v>0</v>
      </c>
      <c r="D147" s="10">
        <f t="shared" si="9"/>
        <v>0</v>
      </c>
      <c r="E147" s="10">
        <f t="shared" si="10"/>
        <v>0</v>
      </c>
      <c r="F147" s="10">
        <f>E147/Calculation!K$15*1000</f>
        <v>0</v>
      </c>
      <c r="G147" s="10">
        <f t="shared" si="11"/>
        <v>86.511779571244602</v>
      </c>
    </row>
    <row r="148" spans="1:7">
      <c r="A148" s="31">
        <v>71.5</v>
      </c>
      <c r="B148" s="10">
        <v>0</v>
      </c>
      <c r="C148" s="32">
        <f t="shared" si="8"/>
        <v>0</v>
      </c>
      <c r="D148" s="10">
        <f t="shared" si="9"/>
        <v>0</v>
      </c>
      <c r="E148" s="10">
        <f t="shared" si="10"/>
        <v>0</v>
      </c>
      <c r="F148" s="10">
        <f>E148/Calculation!K$15*1000</f>
        <v>0</v>
      </c>
      <c r="G148" s="10">
        <f t="shared" si="11"/>
        <v>86.511779571244602</v>
      </c>
    </row>
    <row r="149" spans="1:7">
      <c r="A149" s="31">
        <v>72</v>
      </c>
      <c r="B149" s="10">
        <v>0</v>
      </c>
      <c r="C149" s="32">
        <f t="shared" si="8"/>
        <v>0</v>
      </c>
      <c r="D149" s="10">
        <f t="shared" si="9"/>
        <v>0</v>
      </c>
      <c r="E149" s="10">
        <f t="shared" si="10"/>
        <v>0</v>
      </c>
      <c r="F149" s="10">
        <f>E149/Calculation!K$15*1000</f>
        <v>0</v>
      </c>
      <c r="G149" s="10">
        <f t="shared" si="11"/>
        <v>86.511779571244602</v>
      </c>
    </row>
    <row r="150" spans="1:7">
      <c r="B150" s="8"/>
    </row>
    <row r="151" spans="1:7">
      <c r="B151" s="8"/>
    </row>
    <row r="152" spans="1:7">
      <c r="B152" s="8"/>
    </row>
  </sheetData>
  <mergeCells count="3">
    <mergeCell ref="A3:A4"/>
    <mergeCell ref="B3:C3"/>
    <mergeCell ref="D3:F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N3" sqref="N3:O15"/>
    </sheetView>
  </sheetViews>
  <sheetFormatPr baseColWidth="10" defaultColWidth="8.83203125" defaultRowHeight="14" x14ac:dyDescent="0"/>
  <cols>
    <col min="1" max="1" width="16.83203125" style="2" bestFit="1" customWidth="1"/>
    <col min="2" max="16384" width="8.83203125" style="2"/>
  </cols>
  <sheetData>
    <row r="1" spans="1:21">
      <c r="A1" s="92" t="s">
        <v>40</v>
      </c>
      <c r="B1" s="92"/>
      <c r="D1" s="103" t="s">
        <v>4</v>
      </c>
      <c r="E1" s="103" t="s">
        <v>5</v>
      </c>
      <c r="F1" s="92" t="s">
        <v>129</v>
      </c>
      <c r="G1" s="92"/>
      <c r="H1" s="92"/>
      <c r="I1" s="92"/>
      <c r="J1" s="92" t="s">
        <v>41</v>
      </c>
      <c r="K1" s="92"/>
      <c r="L1" s="92"/>
      <c r="M1" s="92"/>
      <c r="N1" s="83" t="s">
        <v>42</v>
      </c>
      <c r="O1" s="84"/>
      <c r="P1" s="84"/>
      <c r="Q1" s="85"/>
      <c r="R1" s="92" t="s">
        <v>64</v>
      </c>
      <c r="S1" s="92"/>
      <c r="T1" s="92"/>
      <c r="U1" s="92"/>
    </row>
    <row r="2" spans="1:21">
      <c r="A2" s="92" t="s">
        <v>34</v>
      </c>
      <c r="B2" s="92"/>
      <c r="D2" s="103"/>
      <c r="E2" s="103"/>
      <c r="F2" s="12" t="s">
        <v>47</v>
      </c>
      <c r="G2" s="12" t="s">
        <v>23</v>
      </c>
      <c r="H2" s="12" t="s">
        <v>47</v>
      </c>
      <c r="I2" s="12" t="s">
        <v>23</v>
      </c>
      <c r="J2" s="12" t="s">
        <v>47</v>
      </c>
      <c r="K2" s="12" t="s">
        <v>23</v>
      </c>
      <c r="L2" s="12" t="s">
        <v>47</v>
      </c>
      <c r="M2" s="12" t="s">
        <v>23</v>
      </c>
      <c r="N2" s="12" t="s">
        <v>47</v>
      </c>
      <c r="O2" s="12" t="s">
        <v>23</v>
      </c>
      <c r="P2" s="12" t="s">
        <v>47</v>
      </c>
      <c r="Q2" s="12" t="s">
        <v>23</v>
      </c>
      <c r="R2" s="12" t="s">
        <v>47</v>
      </c>
      <c r="S2" s="12" t="s">
        <v>23</v>
      </c>
      <c r="T2" s="12" t="s">
        <v>47</v>
      </c>
      <c r="U2" s="12" t="s">
        <v>23</v>
      </c>
    </row>
    <row r="3" spans="1:21">
      <c r="A3" s="92" t="s">
        <v>35</v>
      </c>
      <c r="B3" s="12" t="s">
        <v>37</v>
      </c>
      <c r="D3" s="48" t="s">
        <v>6</v>
      </c>
      <c r="E3" s="60">
        <v>0</v>
      </c>
      <c r="F3" s="11">
        <v>0</v>
      </c>
      <c r="G3" s="11">
        <v>0</v>
      </c>
      <c r="H3" s="11">
        <f>F3*Calculation!I3/Calculation!F18</f>
        <v>0</v>
      </c>
      <c r="I3" s="11">
        <f>G3*Calculation!I3/Calculation!F18</f>
        <v>0</v>
      </c>
      <c r="J3" s="11">
        <v>0</v>
      </c>
      <c r="K3" s="11">
        <v>0</v>
      </c>
      <c r="L3" s="11">
        <f>J3*Calculation!I3/Calculation!F18</f>
        <v>0</v>
      </c>
      <c r="M3" s="11">
        <f>K3*Calculation!I3/Calculation!F18</f>
        <v>0</v>
      </c>
      <c r="N3" s="11">
        <v>0</v>
      </c>
      <c r="O3" s="11">
        <v>0</v>
      </c>
      <c r="P3" s="11">
        <f>N3*Calculation!I3/Calculation!F18</f>
        <v>0</v>
      </c>
      <c r="Q3" s="11">
        <f>O3*Calculation!I3/Calculation!F18</f>
        <v>0</v>
      </c>
      <c r="R3" s="11">
        <v>140.082554855529</v>
      </c>
      <c r="S3" s="11">
        <v>0.98219896202105872</v>
      </c>
      <c r="T3" s="11">
        <f>R3*Calculation!I3/Calculation!F18</f>
        <v>140.082554855529</v>
      </c>
      <c r="U3" s="11">
        <f>S3*Calculation!I3/Calculation!F18</f>
        <v>0.98219896202105872</v>
      </c>
    </row>
    <row r="4" spans="1:21">
      <c r="A4" s="92"/>
      <c r="B4" s="12" t="s">
        <v>38</v>
      </c>
      <c r="D4" s="50">
        <v>0</v>
      </c>
      <c r="E4" s="70">
        <v>0</v>
      </c>
      <c r="F4" s="11">
        <v>0</v>
      </c>
      <c r="G4" s="11">
        <v>0</v>
      </c>
      <c r="H4" s="11">
        <f>F4*Calculation!I4/Calculation!K3</f>
        <v>0</v>
      </c>
      <c r="I4" s="11">
        <f>G4*Calculation!I4/Calculation!K3</f>
        <v>0</v>
      </c>
      <c r="J4" s="11">
        <v>0</v>
      </c>
      <c r="K4" s="11">
        <v>0</v>
      </c>
      <c r="L4" s="11">
        <f>J4*Calculation!I4/Calculation!K3</f>
        <v>0</v>
      </c>
      <c r="M4" s="11">
        <f>K4*Calculation!I4/Calculation!K3</f>
        <v>0</v>
      </c>
      <c r="N4" s="11">
        <v>2.131557035803497</v>
      </c>
      <c r="O4" s="11">
        <v>5.7686954456915213E-2</v>
      </c>
      <c r="P4" s="11">
        <f>N4*Calculation!I4/Calculation!K3</f>
        <v>2.131557035803497</v>
      </c>
      <c r="Q4" s="11">
        <f>O4*Calculation!I4/Calculation!K3</f>
        <v>5.7686954456915213E-2</v>
      </c>
      <c r="R4" s="11">
        <v>138.88044029256281</v>
      </c>
      <c r="S4" s="11">
        <v>0.58670806287288546</v>
      </c>
      <c r="T4" s="11">
        <f>R4*Calculation!I4/Calculation!K3</f>
        <v>138.88044029256281</v>
      </c>
      <c r="U4" s="11">
        <f>S4*Calculation!I4/Calculation!K3</f>
        <v>0.58670806287288546</v>
      </c>
    </row>
    <row r="5" spans="1:21">
      <c r="A5" s="13" t="s">
        <v>39</v>
      </c>
      <c r="B5" s="13">
        <v>180.16</v>
      </c>
      <c r="D5" s="50">
        <v>1</v>
      </c>
      <c r="E5" s="70">
        <v>3</v>
      </c>
      <c r="F5" s="11">
        <v>0</v>
      </c>
      <c r="G5" s="11">
        <v>0</v>
      </c>
      <c r="H5" s="11">
        <f>F5*Calculation!I5/Calculation!K4</f>
        <v>0</v>
      </c>
      <c r="I5" s="11">
        <f>G5*Calculation!I5/Calculation!K4</f>
        <v>0</v>
      </c>
      <c r="J5" s="11">
        <v>0</v>
      </c>
      <c r="K5" s="11">
        <v>0</v>
      </c>
      <c r="L5" s="11">
        <f>J5*Calculation!I5/Calculation!K4</f>
        <v>0</v>
      </c>
      <c r="M5" s="11">
        <f>K5*Calculation!I5/Calculation!K4</f>
        <v>0</v>
      </c>
      <c r="N5" s="11">
        <v>2.8864834859839026</v>
      </c>
      <c r="O5" s="11">
        <v>0.16763440322555087</v>
      </c>
      <c r="P5" s="11">
        <f>N5*Calculation!I5/Calculation!K4</f>
        <v>2.886483485983903</v>
      </c>
      <c r="Q5" s="11">
        <f>O5*Calculation!I5/Calculation!K4</f>
        <v>0.16763440322555087</v>
      </c>
      <c r="R5" s="11">
        <v>135.83894561517849</v>
      </c>
      <c r="S5" s="11">
        <v>1.0192997789796721</v>
      </c>
      <c r="T5" s="11">
        <f>R5*Calculation!I5/Calculation!K4</f>
        <v>135.83894561517849</v>
      </c>
      <c r="U5" s="11">
        <f>S5*Calculation!I5/Calculation!K4</f>
        <v>1.0192997789796721</v>
      </c>
    </row>
    <row r="6" spans="1:21">
      <c r="A6" s="13" t="s">
        <v>39</v>
      </c>
      <c r="B6" s="13">
        <v>180.16</v>
      </c>
      <c r="D6" s="50">
        <v>2</v>
      </c>
      <c r="E6" s="70">
        <v>6</v>
      </c>
      <c r="F6" s="11">
        <v>0</v>
      </c>
      <c r="G6" s="11">
        <v>0</v>
      </c>
      <c r="H6" s="11">
        <f>F6*Calculation!I6/Calculation!K5</f>
        <v>0</v>
      </c>
      <c r="I6" s="11">
        <f>G6*Calculation!I6/Calculation!K5</f>
        <v>0</v>
      </c>
      <c r="J6" s="11">
        <v>0</v>
      </c>
      <c r="K6" s="11">
        <v>0</v>
      </c>
      <c r="L6" s="11">
        <f>J6*Calculation!I6/Calculation!K5</f>
        <v>0</v>
      </c>
      <c r="M6" s="11">
        <f>K6*Calculation!I6/Calculation!K5</f>
        <v>0</v>
      </c>
      <c r="N6" s="11">
        <v>7.4382459061892874</v>
      </c>
      <c r="O6" s="11">
        <v>0.11696534835251456</v>
      </c>
      <c r="P6" s="11">
        <f>N6*Calculation!I6/Calculation!K5</f>
        <v>7.4382459061892874</v>
      </c>
      <c r="Q6" s="11">
        <f>O6*Calculation!I6/Calculation!K5</f>
        <v>0.11696534835251456</v>
      </c>
      <c r="R6" s="11">
        <v>117.57549424288507</v>
      </c>
      <c r="S6" s="11">
        <v>0.42793212260683</v>
      </c>
      <c r="T6" s="11">
        <f>R6*Calculation!I6/Calculation!K5</f>
        <v>117.57549424288507</v>
      </c>
      <c r="U6" s="11">
        <f>S6*Calculation!I6/Calculation!K5</f>
        <v>0.42793212260683</v>
      </c>
    </row>
    <row r="7" spans="1:21">
      <c r="A7" s="29" t="s">
        <v>102</v>
      </c>
      <c r="B7" s="29">
        <v>46.03</v>
      </c>
      <c r="D7" s="50">
        <v>3</v>
      </c>
      <c r="E7" s="70">
        <v>9</v>
      </c>
      <c r="F7" s="11">
        <v>0</v>
      </c>
      <c r="G7" s="11">
        <v>0</v>
      </c>
      <c r="H7" s="11">
        <f>F7*Calculation!I7/Calculation!K6</f>
        <v>0</v>
      </c>
      <c r="I7" s="11">
        <f>G7*Calculation!I7/Calculation!K6</f>
        <v>0</v>
      </c>
      <c r="J7" s="11">
        <v>0</v>
      </c>
      <c r="K7" s="11">
        <v>0</v>
      </c>
      <c r="L7" s="11">
        <f>J7*Calculation!I7/Calculation!K6</f>
        <v>0</v>
      </c>
      <c r="M7" s="11">
        <f>K7*Calculation!I7/Calculation!K6</f>
        <v>0</v>
      </c>
      <c r="N7" s="11">
        <v>12.334165972800445</v>
      </c>
      <c r="O7" s="11">
        <v>0.10175022359047113</v>
      </c>
      <c r="P7" s="11">
        <f>N7*Calculation!I7/Calculation!K6</f>
        <v>12.387406976999586</v>
      </c>
      <c r="Q7" s="11">
        <f>O7*Calculation!I7/Calculation!K6</f>
        <v>0.10218943318870338</v>
      </c>
      <c r="R7" s="11">
        <v>111.10145557245275</v>
      </c>
      <c r="S7" s="11">
        <v>0.79050208119314247</v>
      </c>
      <c r="T7" s="11">
        <f>R7*Calculation!I7/Calculation!K6</f>
        <v>111.58103020082305</v>
      </c>
      <c r="U7" s="11">
        <f>S7*Calculation!I7/Calculation!K6</f>
        <v>0.7939143203925374</v>
      </c>
    </row>
    <row r="8" spans="1:21">
      <c r="A8" s="13" t="s">
        <v>42</v>
      </c>
      <c r="B8" s="13">
        <v>60.05</v>
      </c>
      <c r="D8" s="50">
        <v>4</v>
      </c>
      <c r="E8" s="70">
        <v>12</v>
      </c>
      <c r="F8" s="11">
        <v>0</v>
      </c>
      <c r="G8" s="11">
        <v>0</v>
      </c>
      <c r="H8" s="11">
        <f>F8*Calculation!I8/Calculation!K7</f>
        <v>0</v>
      </c>
      <c r="I8" s="11">
        <f>G8*Calculation!I8/Calculation!K7</f>
        <v>0</v>
      </c>
      <c r="J8" s="11">
        <v>0</v>
      </c>
      <c r="K8" s="11">
        <v>0</v>
      </c>
      <c r="L8" s="11">
        <f>J8*Calculation!I8/Calculation!K7</f>
        <v>0</v>
      </c>
      <c r="M8" s="11">
        <f>K8*Calculation!I8/Calculation!K7</f>
        <v>0</v>
      </c>
      <c r="N8" s="11">
        <v>20.982514571190677</v>
      </c>
      <c r="O8" s="11">
        <v>0.41731770478406932</v>
      </c>
      <c r="P8" s="11">
        <f>N8*Calculation!I8/Calculation!K7</f>
        <v>21.244539204005747</v>
      </c>
      <c r="Q8" s="11">
        <f>O8*Calculation!I8/Calculation!K7</f>
        <v>0.42252906865527134</v>
      </c>
      <c r="R8" s="11">
        <v>79.209211383880088</v>
      </c>
      <c r="S8" s="11">
        <v>1.2373696168497206</v>
      </c>
      <c r="T8" s="11">
        <f>R8*Calculation!I8/Calculation!K7</f>
        <v>80.198357106048633</v>
      </c>
      <c r="U8" s="11">
        <f>S8*Calculation!I8/Calculation!K7</f>
        <v>1.2528215932280298</v>
      </c>
    </row>
    <row r="9" spans="1:21">
      <c r="A9" s="29" t="s">
        <v>66</v>
      </c>
      <c r="B9" s="29">
        <v>74.08</v>
      </c>
      <c r="D9" s="50">
        <v>5</v>
      </c>
      <c r="E9" s="70">
        <v>15</v>
      </c>
      <c r="F9" s="11">
        <v>0</v>
      </c>
      <c r="G9" s="11">
        <v>0</v>
      </c>
      <c r="H9" s="11">
        <f>F9*Calculation!I9/Calculation!K8</f>
        <v>0</v>
      </c>
      <c r="I9" s="11">
        <f>G9*Calculation!I9/Calculation!K8</f>
        <v>0</v>
      </c>
      <c r="J9" s="11">
        <v>0</v>
      </c>
      <c r="K9" s="11">
        <v>0</v>
      </c>
      <c r="L9" s="11">
        <f>J9*Calculation!I9/Calculation!K8</f>
        <v>0</v>
      </c>
      <c r="M9" s="11">
        <f>K9*Calculation!I9/Calculation!K8</f>
        <v>0</v>
      </c>
      <c r="N9" s="11">
        <v>34.426866500138779</v>
      </c>
      <c r="O9" s="11">
        <v>0.18343282422268556</v>
      </c>
      <c r="P9" s="11">
        <f>N9*Calculation!I9/Calculation!K8</f>
        <v>35.360415088234454</v>
      </c>
      <c r="Q9" s="11">
        <f>O9*Calculation!I9/Calculation!K8</f>
        <v>0.18840694680403638</v>
      </c>
      <c r="R9" s="11">
        <v>27.547251792309364</v>
      </c>
      <c r="S9" s="11">
        <v>0.15666092876228516</v>
      </c>
      <c r="T9" s="11">
        <f>R9*Calculation!I9/Calculation!K8</f>
        <v>28.294246817735882</v>
      </c>
      <c r="U9" s="11">
        <f>S9*Calculation!I9/Calculation!K8</f>
        <v>0.16090908154886535</v>
      </c>
    </row>
    <row r="10" spans="1:21">
      <c r="A10" s="29" t="s">
        <v>65</v>
      </c>
      <c r="B10" s="29">
        <v>88.11</v>
      </c>
      <c r="D10" s="50">
        <v>6</v>
      </c>
      <c r="E10" s="70">
        <v>18</v>
      </c>
      <c r="F10" s="11">
        <v>0</v>
      </c>
      <c r="G10" s="11">
        <v>0</v>
      </c>
      <c r="H10" s="11">
        <f>F10*Calculation!I10/Calculation!K9</f>
        <v>0</v>
      </c>
      <c r="I10" s="11">
        <f>G10*Calculation!I10/Calculation!K9</f>
        <v>0</v>
      </c>
      <c r="J10" s="11">
        <v>0</v>
      </c>
      <c r="K10" s="11">
        <v>0</v>
      </c>
      <c r="L10" s="11">
        <f>J10*Calculation!I10/Calculation!K9</f>
        <v>0</v>
      </c>
      <c r="M10" s="11">
        <f>K10*Calculation!I10/Calculation!K9</f>
        <v>0</v>
      </c>
      <c r="N10" s="11">
        <v>43.197335553705244</v>
      </c>
      <c r="O10" s="11">
        <v>1.6629459094514505</v>
      </c>
      <c r="P10" s="11">
        <f>N10*Calculation!I10/Calculation!K9</f>
        <v>44.989735699879489</v>
      </c>
      <c r="Q10" s="11">
        <f>O10*Calculation!I10/Calculation!K9</f>
        <v>1.7319470284550731</v>
      </c>
      <c r="R10" s="11">
        <v>0</v>
      </c>
      <c r="S10" s="11">
        <v>0</v>
      </c>
      <c r="T10" s="11">
        <f>R10*Calculation!I10/Calculation!K9</f>
        <v>0</v>
      </c>
      <c r="U10" s="11">
        <f>S10*Calculation!I10/Calculation!K9</f>
        <v>0</v>
      </c>
    </row>
    <row r="11" spans="1:21">
      <c r="A11" s="13" t="s">
        <v>41</v>
      </c>
      <c r="B11" s="13">
        <v>90.08</v>
      </c>
      <c r="D11" s="50">
        <v>7</v>
      </c>
      <c r="E11" s="70">
        <v>21</v>
      </c>
      <c r="F11" s="11">
        <v>0</v>
      </c>
      <c r="G11" s="11">
        <v>0</v>
      </c>
      <c r="H11" s="11">
        <f>F11*Calculation!I11/Calculation!K10</f>
        <v>0</v>
      </c>
      <c r="I11" s="11">
        <f>G11*Calculation!I11/Calculation!K10</f>
        <v>0</v>
      </c>
      <c r="J11" s="11">
        <v>0</v>
      </c>
      <c r="K11" s="11">
        <v>0</v>
      </c>
      <c r="L11" s="11">
        <f>J11*Calculation!I11/Calculation!K10</f>
        <v>0</v>
      </c>
      <c r="M11" s="11">
        <f>K11*Calculation!I11/Calculation!K10</f>
        <v>0</v>
      </c>
      <c r="N11" s="11">
        <v>42.509020260893699</v>
      </c>
      <c r="O11" s="11">
        <v>0.64952994621415794</v>
      </c>
      <c r="P11" s="11">
        <f>N11*Calculation!I11/Calculation!K10</f>
        <v>44.449245827995462</v>
      </c>
      <c r="Q11" s="11">
        <f>O11*Calculation!I11/Calculation!K10</f>
        <v>0.67917623306124153</v>
      </c>
      <c r="R11" s="11">
        <v>0</v>
      </c>
      <c r="S11" s="11">
        <v>0</v>
      </c>
      <c r="T11" s="11">
        <f>R11*Calculation!I11/Calculation!K10</f>
        <v>0</v>
      </c>
      <c r="U11" s="11">
        <f>S11*Calculation!I11/Calculation!K10</f>
        <v>0</v>
      </c>
    </row>
    <row r="12" spans="1:21">
      <c r="A12" s="13" t="s">
        <v>43</v>
      </c>
      <c r="B12" s="13">
        <v>46.07</v>
      </c>
      <c r="D12" s="50">
        <v>8</v>
      </c>
      <c r="E12" s="70">
        <v>24</v>
      </c>
      <c r="F12" s="11">
        <v>0</v>
      </c>
      <c r="G12" s="11">
        <v>0</v>
      </c>
      <c r="H12" s="11">
        <f>F12*Calculation!I12/Calculation!K11</f>
        <v>0</v>
      </c>
      <c r="I12" s="11">
        <f>G12*Calculation!I12/Calculation!K11</f>
        <v>0</v>
      </c>
      <c r="J12" s="11">
        <v>0</v>
      </c>
      <c r="K12" s="11">
        <v>0</v>
      </c>
      <c r="L12" s="11">
        <f>J12*Calculation!I12/Calculation!K11</f>
        <v>0</v>
      </c>
      <c r="M12" s="11">
        <f>K12*Calculation!I12/Calculation!K11</f>
        <v>0</v>
      </c>
      <c r="N12" s="11">
        <v>32.062170413544266</v>
      </c>
      <c r="O12" s="11">
        <v>1.1710751710445477</v>
      </c>
      <c r="P12" s="11">
        <f>N12*Calculation!I12/Calculation!K11</f>
        <v>33.581125669829774</v>
      </c>
      <c r="Q12" s="11">
        <f>O12*Calculation!I12/Calculation!K11</f>
        <v>1.2265552200749197</v>
      </c>
      <c r="R12" s="11">
        <v>0</v>
      </c>
      <c r="S12" s="11">
        <v>0</v>
      </c>
      <c r="T12" s="11">
        <f>R12*Calculation!I12/Calculation!K11</f>
        <v>0</v>
      </c>
      <c r="U12" s="11">
        <f>S12*Calculation!I12/Calculation!K11</f>
        <v>0</v>
      </c>
    </row>
    <row r="13" spans="1:21">
      <c r="D13" s="50">
        <v>9</v>
      </c>
      <c r="E13" s="70">
        <v>27</v>
      </c>
      <c r="F13" s="11">
        <v>0</v>
      </c>
      <c r="G13" s="11">
        <v>0</v>
      </c>
      <c r="H13" s="11">
        <f>F13*Calculation!I13/Calculation!K12</f>
        <v>0</v>
      </c>
      <c r="I13" s="11">
        <f>G13*Calculation!I13/Calculation!K12</f>
        <v>0</v>
      </c>
      <c r="J13" s="11">
        <v>0</v>
      </c>
      <c r="K13" s="11">
        <v>0</v>
      </c>
      <c r="L13" s="11">
        <f>J13*Calculation!I13/Calculation!K12</f>
        <v>0</v>
      </c>
      <c r="M13" s="11">
        <f>K13*Calculation!I13/Calculation!K12</f>
        <v>0</v>
      </c>
      <c r="N13" s="11">
        <v>42.697751873438804</v>
      </c>
      <c r="O13" s="11">
        <v>0.29035130348314259</v>
      </c>
      <c r="P13" s="11">
        <f>N13*Calculation!I13/Calculation!K12</f>
        <v>44.759256711452863</v>
      </c>
      <c r="Q13" s="11">
        <f>O13*Calculation!I13/Calculation!K12</f>
        <v>0.30436985459160354</v>
      </c>
      <c r="R13" s="11">
        <v>0</v>
      </c>
      <c r="S13" s="11">
        <v>0</v>
      </c>
      <c r="T13" s="11">
        <f>R13*Calculation!I13/Calculation!K12</f>
        <v>0</v>
      </c>
      <c r="U13" s="11">
        <f>S13*Calculation!I13/Calculation!K12</f>
        <v>0</v>
      </c>
    </row>
    <row r="14" spans="1:21">
      <c r="D14" s="50">
        <v>10</v>
      </c>
      <c r="E14" s="70">
        <v>30</v>
      </c>
      <c r="F14" s="11">
        <v>0</v>
      </c>
      <c r="G14" s="11">
        <v>0</v>
      </c>
      <c r="H14" s="11">
        <f>F14*Calculation!I14/Calculation!K13</f>
        <v>0</v>
      </c>
      <c r="I14" s="11">
        <f>G14*Calculation!I14/Calculation!K13</f>
        <v>0</v>
      </c>
      <c r="J14" s="11">
        <v>0</v>
      </c>
      <c r="K14" s="11">
        <v>0</v>
      </c>
      <c r="L14" s="11">
        <f>J14*Calculation!I14/Calculation!K13</f>
        <v>0</v>
      </c>
      <c r="M14" s="11">
        <f>K14*Calculation!I14/Calculation!K13</f>
        <v>0</v>
      </c>
      <c r="N14" s="11">
        <v>42.919789064668329</v>
      </c>
      <c r="O14" s="11">
        <v>0.30220721818076546</v>
      </c>
      <c r="P14" s="11">
        <f>N14*Calculation!I14/Calculation!K13</f>
        <v>44.992014156650221</v>
      </c>
      <c r="Q14" s="11">
        <f>O14*Calculation!I14/Calculation!K13</f>
        <v>0.31679818878289623</v>
      </c>
      <c r="R14" s="11">
        <v>0</v>
      </c>
      <c r="S14" s="11">
        <v>0</v>
      </c>
      <c r="T14" s="11">
        <f>R14*Calculation!I14/Calculation!K13</f>
        <v>0</v>
      </c>
      <c r="U14" s="11">
        <f>S14*Calculation!I14/Calculation!K13</f>
        <v>0</v>
      </c>
    </row>
    <row r="15" spans="1:21">
      <c r="D15" s="50">
        <v>11</v>
      </c>
      <c r="E15" s="70">
        <v>48</v>
      </c>
      <c r="F15" s="11">
        <v>0</v>
      </c>
      <c r="G15" s="11">
        <v>0</v>
      </c>
      <c r="H15" s="11">
        <f>F15*Calculation!I15/Calculation!K14</f>
        <v>0</v>
      </c>
      <c r="I15" s="11">
        <f>G15*Calculation!I15/Calculation!K14</f>
        <v>0</v>
      </c>
      <c r="J15" s="11">
        <v>0</v>
      </c>
      <c r="K15" s="11">
        <v>0</v>
      </c>
      <c r="L15" s="11">
        <f>J15*Calculation!I15/Calculation!K14</f>
        <v>0</v>
      </c>
      <c r="M15" s="11">
        <f>K15*Calculation!I15/Calculation!K14</f>
        <v>0</v>
      </c>
      <c r="N15" s="11">
        <v>41.998334721065781</v>
      </c>
      <c r="O15" s="11">
        <v>0.79306450623085079</v>
      </c>
      <c r="P15" s="11">
        <f>N15*Calculation!I15/Calculation!K14</f>
        <v>44.068485085438674</v>
      </c>
      <c r="Q15" s="11">
        <f>O15*Calculation!I15/Calculation!K14</f>
        <v>0.83215564609267756</v>
      </c>
      <c r="R15" s="11">
        <v>0</v>
      </c>
      <c r="S15" s="11">
        <v>0</v>
      </c>
      <c r="T15" s="11">
        <f>R15*Calculation!I15/Calculation!K14</f>
        <v>0</v>
      </c>
      <c r="U15" s="11">
        <f>S15*Calculation!I15/Calculation!K14</f>
        <v>0</v>
      </c>
    </row>
    <row r="16" spans="1:21">
      <c r="D16" s="68"/>
      <c r="E16" s="61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</row>
    <row r="18" spans="4:17">
      <c r="D18" s="103" t="s">
        <v>4</v>
      </c>
      <c r="E18" s="103" t="s">
        <v>59</v>
      </c>
      <c r="F18" s="92" t="s">
        <v>43</v>
      </c>
      <c r="G18" s="92"/>
      <c r="H18" s="92"/>
      <c r="I18" s="92"/>
      <c r="J18" s="92" t="s">
        <v>65</v>
      </c>
      <c r="K18" s="92"/>
      <c r="L18" s="92"/>
      <c r="M18" s="92"/>
      <c r="N18" s="83" t="s">
        <v>66</v>
      </c>
      <c r="O18" s="84"/>
      <c r="P18" s="84"/>
      <c r="Q18" s="85"/>
    </row>
    <row r="19" spans="4:17">
      <c r="D19" s="103"/>
      <c r="E19" s="103"/>
      <c r="F19" s="18" t="s">
        <v>47</v>
      </c>
      <c r="G19" s="18" t="s">
        <v>23</v>
      </c>
      <c r="H19" s="18" t="s">
        <v>47</v>
      </c>
      <c r="I19" s="18" t="s">
        <v>23</v>
      </c>
      <c r="J19" s="18" t="s">
        <v>47</v>
      </c>
      <c r="K19" s="18" t="s">
        <v>23</v>
      </c>
      <c r="L19" s="18" t="s">
        <v>47</v>
      </c>
      <c r="M19" s="18" t="s">
        <v>23</v>
      </c>
      <c r="N19" s="18" t="s">
        <v>47</v>
      </c>
      <c r="O19" s="18" t="s">
        <v>23</v>
      </c>
      <c r="P19" s="18" t="s">
        <v>47</v>
      </c>
      <c r="Q19" s="18" t="s">
        <v>23</v>
      </c>
    </row>
    <row r="20" spans="4:17">
      <c r="D20" s="48" t="s">
        <v>6</v>
      </c>
      <c r="E20" s="60">
        <v>0</v>
      </c>
      <c r="F20" s="49">
        <v>0</v>
      </c>
      <c r="G20" s="60">
        <v>0</v>
      </c>
      <c r="H20" s="11">
        <f>F20*Calculation!I3/Calculation!F18</f>
        <v>0</v>
      </c>
      <c r="I20" s="11">
        <f>G20*Calculation!I3/Calculation!F18</f>
        <v>0</v>
      </c>
      <c r="J20" s="11">
        <v>0</v>
      </c>
      <c r="K20" s="11">
        <v>0</v>
      </c>
      <c r="L20" s="11">
        <f>J20*Calculation!I3/Calculation!F18</f>
        <v>0</v>
      </c>
      <c r="M20" s="11">
        <f>K20*Calculation!I3/Calculation!F18</f>
        <v>0</v>
      </c>
      <c r="N20" s="11">
        <v>0</v>
      </c>
      <c r="O20" s="11">
        <v>0</v>
      </c>
      <c r="P20" s="11">
        <f>N20*Calculation!I3/Calculation!F18</f>
        <v>0</v>
      </c>
      <c r="Q20" s="11">
        <f>O20*Calculation!I3/Calculation!F18</f>
        <v>0</v>
      </c>
    </row>
    <row r="21" spans="4:17">
      <c r="D21" s="50">
        <v>0</v>
      </c>
      <c r="E21" s="70">
        <v>0</v>
      </c>
      <c r="F21" s="51">
        <v>0</v>
      </c>
      <c r="G21" s="70">
        <v>0</v>
      </c>
      <c r="H21" s="11">
        <f>F21*Calculation!I4/Calculation!K3</f>
        <v>0</v>
      </c>
      <c r="I21" s="11">
        <f>G21*Calculation!I4/Calculation!K3</f>
        <v>0</v>
      </c>
      <c r="J21" s="11">
        <v>0</v>
      </c>
      <c r="K21" s="11">
        <v>0</v>
      </c>
      <c r="L21" s="11">
        <f>J21*Calculation!I4/Calculation!K3</f>
        <v>0</v>
      </c>
      <c r="M21" s="11">
        <f>K21*Calculation!I4/Calculation!K3</f>
        <v>0</v>
      </c>
      <c r="N21" s="11">
        <v>0</v>
      </c>
      <c r="O21" s="11">
        <v>0</v>
      </c>
      <c r="P21" s="11">
        <f>N21*Calculation!I4/Calculation!K3</f>
        <v>0</v>
      </c>
      <c r="Q21" s="11">
        <f>O21*Calculation!I4/Calculation!K3</f>
        <v>0</v>
      </c>
    </row>
    <row r="22" spans="4:17">
      <c r="D22" s="50">
        <v>1</v>
      </c>
      <c r="E22" s="70">
        <v>3</v>
      </c>
      <c r="F22" s="51">
        <v>0</v>
      </c>
      <c r="G22" s="70">
        <v>0</v>
      </c>
      <c r="H22" s="11">
        <f>F22*Calculation!I5/Calculation!K4</f>
        <v>0</v>
      </c>
      <c r="I22" s="11">
        <f>G22*Calculation!I5/Calculation!K4</f>
        <v>0</v>
      </c>
      <c r="J22" s="11">
        <v>0</v>
      </c>
      <c r="K22" s="11">
        <v>0</v>
      </c>
      <c r="L22" s="11">
        <f>J22*Calculation!I5/Calculation!K4</f>
        <v>0</v>
      </c>
      <c r="M22" s="11">
        <f>K22*Calculation!I5/Calculation!K4</f>
        <v>0</v>
      </c>
      <c r="N22" s="11">
        <v>0</v>
      </c>
      <c r="O22" s="11">
        <v>0</v>
      </c>
      <c r="P22" s="11">
        <f>N22*Calculation!I5/Calculation!K4</f>
        <v>0</v>
      </c>
      <c r="Q22" s="11">
        <f>O22*Calculation!I5/Calculation!K4</f>
        <v>0</v>
      </c>
    </row>
    <row r="23" spans="4:17">
      <c r="D23" s="50">
        <v>2</v>
      </c>
      <c r="E23" s="70">
        <v>6</v>
      </c>
      <c r="F23" s="51">
        <v>0</v>
      </c>
      <c r="G23" s="70">
        <v>0</v>
      </c>
      <c r="H23" s="11">
        <f>F23*Calculation!I6/Calculation!K5</f>
        <v>0</v>
      </c>
      <c r="I23" s="11">
        <f>G23*Calculation!I6/Calculation!K5</f>
        <v>0</v>
      </c>
      <c r="J23" s="11">
        <v>0</v>
      </c>
      <c r="K23" s="11">
        <v>0</v>
      </c>
      <c r="L23" s="11">
        <f>J23*Calculation!I6/Calculation!K5</f>
        <v>0</v>
      </c>
      <c r="M23" s="11">
        <f>K23*Calculation!I6/Calculation!K5</f>
        <v>0</v>
      </c>
      <c r="N23" s="11">
        <v>0</v>
      </c>
      <c r="O23" s="11">
        <v>0</v>
      </c>
      <c r="P23" s="11">
        <f>N23*Calculation!I6/Calculation!K5</f>
        <v>0</v>
      </c>
      <c r="Q23" s="11">
        <f>O23*Calculation!I6/Calculation!K5</f>
        <v>0</v>
      </c>
    </row>
    <row r="24" spans="4:17">
      <c r="D24" s="50">
        <v>3</v>
      </c>
      <c r="E24" s="70">
        <v>9</v>
      </c>
      <c r="F24" s="51">
        <v>0</v>
      </c>
      <c r="G24" s="70">
        <v>0</v>
      </c>
      <c r="H24" s="11">
        <f>F24*Calculation!I7/Calculation!K6</f>
        <v>0</v>
      </c>
      <c r="I24" s="11">
        <f>G24*Calculation!I7/Calculation!K6</f>
        <v>0</v>
      </c>
      <c r="J24" s="11">
        <v>0</v>
      </c>
      <c r="K24" s="11">
        <v>0</v>
      </c>
      <c r="L24" s="11">
        <f>J24*Calculation!I7/Calculation!K6</f>
        <v>0</v>
      </c>
      <c r="M24" s="11">
        <f>K24*Calculation!I7/Calculation!K6</f>
        <v>0</v>
      </c>
      <c r="N24" s="11">
        <v>0</v>
      </c>
      <c r="O24" s="11">
        <v>0</v>
      </c>
      <c r="P24" s="11">
        <f>N24*Calculation!I7/Calculation!K6</f>
        <v>0</v>
      </c>
      <c r="Q24" s="11">
        <f>O24*Calculation!I7/Calculation!K6</f>
        <v>0</v>
      </c>
    </row>
    <row r="25" spans="4:17">
      <c r="D25" s="50">
        <v>4</v>
      </c>
      <c r="E25" s="70">
        <v>12</v>
      </c>
      <c r="F25" s="51">
        <v>0</v>
      </c>
      <c r="G25" s="70">
        <v>0</v>
      </c>
      <c r="H25" s="11">
        <f>F25*Calculation!I8/Calculation!K7</f>
        <v>0</v>
      </c>
      <c r="I25" s="11">
        <f>G25*Calculation!I8/Calculation!K7</f>
        <v>0</v>
      </c>
      <c r="J25" s="11">
        <v>0</v>
      </c>
      <c r="K25" s="11">
        <v>0</v>
      </c>
      <c r="L25" s="11">
        <f>J25*Calculation!I8/Calculation!K7</f>
        <v>0</v>
      </c>
      <c r="M25" s="11">
        <f>K25*Calculation!I8/Calculation!K7</f>
        <v>0</v>
      </c>
      <c r="N25" s="11">
        <v>0</v>
      </c>
      <c r="O25" s="11">
        <v>0</v>
      </c>
      <c r="P25" s="11">
        <f>N25*Calculation!I8/Calculation!K7</f>
        <v>0</v>
      </c>
      <c r="Q25" s="11">
        <f>O25*Calculation!I8/Calculation!K7</f>
        <v>0</v>
      </c>
    </row>
    <row r="26" spans="4:17">
      <c r="D26" s="50">
        <v>5</v>
      </c>
      <c r="E26" s="70">
        <v>15</v>
      </c>
      <c r="F26" s="51">
        <v>0</v>
      </c>
      <c r="G26" s="70">
        <v>0</v>
      </c>
      <c r="H26" s="11">
        <f>F26*Calculation!I9/Calculation!K8</f>
        <v>0</v>
      </c>
      <c r="I26" s="11">
        <f>G26*Calculation!I9/Calculation!K8</f>
        <v>0</v>
      </c>
      <c r="J26" s="11">
        <v>0</v>
      </c>
      <c r="K26" s="11">
        <v>0</v>
      </c>
      <c r="L26" s="11">
        <f>J26*Calculation!I9/Calculation!K8</f>
        <v>0</v>
      </c>
      <c r="M26" s="11">
        <f>K26*Calculation!I9/Calculation!K8</f>
        <v>0</v>
      </c>
      <c r="N26" s="11">
        <v>0</v>
      </c>
      <c r="O26" s="11">
        <v>0</v>
      </c>
      <c r="P26" s="11">
        <f>N26*Calculation!I9/Calculation!K8</f>
        <v>0</v>
      </c>
      <c r="Q26" s="11">
        <f>O26*Calculation!I9/Calculation!K8</f>
        <v>0</v>
      </c>
    </row>
    <row r="27" spans="4:17">
      <c r="D27" s="50">
        <v>6</v>
      </c>
      <c r="E27" s="70">
        <v>18</v>
      </c>
      <c r="F27" s="51">
        <v>0</v>
      </c>
      <c r="G27" s="70">
        <v>0</v>
      </c>
      <c r="H27" s="11">
        <f>F27*Calculation!I10/Calculation!K9</f>
        <v>0</v>
      </c>
      <c r="I27" s="11">
        <f>G27*Calculation!I10/Calculation!K9</f>
        <v>0</v>
      </c>
      <c r="J27" s="11">
        <v>0</v>
      </c>
      <c r="K27" s="11">
        <v>0</v>
      </c>
      <c r="L27" s="11">
        <f>J27*Calculation!I10/Calculation!K9</f>
        <v>0</v>
      </c>
      <c r="M27" s="11">
        <f>K27*Calculation!I10/Calculation!K9</f>
        <v>0</v>
      </c>
      <c r="N27" s="11">
        <v>0</v>
      </c>
      <c r="O27" s="11">
        <v>0</v>
      </c>
      <c r="P27" s="11">
        <f>N27*Calculation!I10/Calculation!K9</f>
        <v>0</v>
      </c>
      <c r="Q27" s="11">
        <f>O27*Calculation!I10/Calculation!K9</f>
        <v>0</v>
      </c>
    </row>
    <row r="28" spans="4:17">
      <c r="D28" s="50">
        <v>7</v>
      </c>
      <c r="E28" s="70">
        <v>21</v>
      </c>
      <c r="F28" s="51">
        <v>0</v>
      </c>
      <c r="G28" s="70">
        <v>0</v>
      </c>
      <c r="H28" s="11">
        <f>F28*Calculation!I11/Calculation!K10</f>
        <v>0</v>
      </c>
      <c r="I28" s="11">
        <f>G28*Calculation!I11/Calculation!K10</f>
        <v>0</v>
      </c>
      <c r="J28" s="11">
        <v>0</v>
      </c>
      <c r="K28" s="11">
        <v>0</v>
      </c>
      <c r="L28" s="11">
        <f>J28*Calculation!I11/Calculation!K10</f>
        <v>0</v>
      </c>
      <c r="M28" s="11">
        <f>K28*Calculation!I11/Calculation!K10</f>
        <v>0</v>
      </c>
      <c r="N28" s="11">
        <v>0</v>
      </c>
      <c r="O28" s="11">
        <v>0</v>
      </c>
      <c r="P28" s="11">
        <f>N28*Calculation!I11/Calculation!K10</f>
        <v>0</v>
      </c>
      <c r="Q28" s="11">
        <f>O28*Calculation!I11/Calculation!K10</f>
        <v>0</v>
      </c>
    </row>
    <row r="29" spans="4:17">
      <c r="D29" s="50">
        <v>8</v>
      </c>
      <c r="E29" s="70">
        <v>24</v>
      </c>
      <c r="F29" s="51">
        <v>0</v>
      </c>
      <c r="G29" s="70">
        <v>0</v>
      </c>
      <c r="H29" s="11">
        <f>F29*Calculation!I12/Calculation!K11</f>
        <v>0</v>
      </c>
      <c r="I29" s="11">
        <f>G29*Calculation!I12/Calculation!K11</f>
        <v>0</v>
      </c>
      <c r="J29" s="11">
        <v>0</v>
      </c>
      <c r="K29" s="11">
        <v>0</v>
      </c>
      <c r="L29" s="11">
        <f>J29*Calculation!I12/Calculation!K11</f>
        <v>0</v>
      </c>
      <c r="M29" s="11">
        <f>K29*Calculation!I12/Calculation!K11</f>
        <v>0</v>
      </c>
      <c r="N29" s="11">
        <v>0</v>
      </c>
      <c r="O29" s="11">
        <v>0</v>
      </c>
      <c r="P29" s="11">
        <f>N29*Calculation!I12/Calculation!K11</f>
        <v>0</v>
      </c>
      <c r="Q29" s="11">
        <f>O29*Calculation!I12/Calculation!K11</f>
        <v>0</v>
      </c>
    </row>
    <row r="30" spans="4:17">
      <c r="D30" s="50">
        <v>9</v>
      </c>
      <c r="E30" s="70">
        <v>27</v>
      </c>
      <c r="F30" s="51">
        <v>0</v>
      </c>
      <c r="G30" s="70">
        <v>0</v>
      </c>
      <c r="H30" s="11">
        <f>F30*Calculation!I13/Calculation!K12</f>
        <v>0</v>
      </c>
      <c r="I30" s="11">
        <f>G30*Calculation!I13/Calculation!K12</f>
        <v>0</v>
      </c>
      <c r="J30" s="11">
        <v>0</v>
      </c>
      <c r="K30" s="11">
        <v>0</v>
      </c>
      <c r="L30" s="11">
        <f>J30*Calculation!I13/Calculation!K12</f>
        <v>0</v>
      </c>
      <c r="M30" s="11">
        <f>K30*Calculation!I13/Calculation!K12</f>
        <v>0</v>
      </c>
      <c r="N30" s="11">
        <v>0</v>
      </c>
      <c r="O30" s="11">
        <v>0</v>
      </c>
      <c r="P30" s="11">
        <f>N30*Calculation!I13/Calculation!K12</f>
        <v>0</v>
      </c>
      <c r="Q30" s="11">
        <f>O30*Calculation!I13/Calculation!K12</f>
        <v>0</v>
      </c>
    </row>
    <row r="31" spans="4:17">
      <c r="D31" s="50">
        <v>10</v>
      </c>
      <c r="E31" s="70">
        <v>30</v>
      </c>
      <c r="F31" s="51">
        <v>0</v>
      </c>
      <c r="G31" s="70">
        <v>0</v>
      </c>
      <c r="H31" s="11">
        <f>F31*Calculation!I14/Calculation!K13</f>
        <v>0</v>
      </c>
      <c r="I31" s="11">
        <f>G31*Calculation!I14/Calculation!K13</f>
        <v>0</v>
      </c>
      <c r="J31" s="11">
        <v>0</v>
      </c>
      <c r="K31" s="11">
        <v>0</v>
      </c>
      <c r="L31" s="11">
        <f>J31*Calculation!I14/Calculation!K13</f>
        <v>0</v>
      </c>
      <c r="M31" s="11">
        <f>K31*Calculation!I14/Calculation!K13</f>
        <v>0</v>
      </c>
      <c r="N31" s="11">
        <v>0</v>
      </c>
      <c r="O31" s="11">
        <v>0</v>
      </c>
      <c r="P31" s="11">
        <f>N31*Calculation!I14/Calculation!K13</f>
        <v>0</v>
      </c>
      <c r="Q31" s="11">
        <f>O31*Calculation!I14/Calculation!K13</f>
        <v>0</v>
      </c>
    </row>
    <row r="32" spans="4:17">
      <c r="D32" s="50">
        <v>11</v>
      </c>
      <c r="E32" s="70">
        <v>48</v>
      </c>
      <c r="F32" s="51">
        <v>0</v>
      </c>
      <c r="G32" s="70">
        <v>0</v>
      </c>
      <c r="H32" s="11">
        <f>F32*Calculation!I15/Calculation!K14</f>
        <v>0</v>
      </c>
      <c r="I32" s="11">
        <f>G32*Calculation!I15/Calculation!K14</f>
        <v>0</v>
      </c>
      <c r="J32" s="11">
        <v>0</v>
      </c>
      <c r="K32" s="11">
        <v>0</v>
      </c>
      <c r="L32" s="11">
        <f>J32*Calculation!I15/Calculation!K14</f>
        <v>0</v>
      </c>
      <c r="M32" s="11">
        <f>K32*Calculation!I15/Calculation!K14</f>
        <v>0</v>
      </c>
      <c r="N32" s="11">
        <v>0</v>
      </c>
      <c r="O32" s="11">
        <v>0</v>
      </c>
      <c r="P32" s="11">
        <f>N32*Calculation!I15/Calculation!K14</f>
        <v>0</v>
      </c>
      <c r="Q32" s="11">
        <f>O32*Calculation!I15/Calculation!K14</f>
        <v>0</v>
      </c>
    </row>
  </sheetData>
  <mergeCells count="14">
    <mergeCell ref="F18:I18"/>
    <mergeCell ref="J18:M18"/>
    <mergeCell ref="N18:Q18"/>
    <mergeCell ref="N1:Q1"/>
    <mergeCell ref="A1:B1"/>
    <mergeCell ref="A2:B2"/>
    <mergeCell ref="A3:A4"/>
    <mergeCell ref="D18:D19"/>
    <mergeCell ref="E18:E19"/>
    <mergeCell ref="R1:U1"/>
    <mergeCell ref="D1:D2"/>
    <mergeCell ref="E1:E2"/>
    <mergeCell ref="F1:I1"/>
    <mergeCell ref="J1:M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Fermentation</vt:lpstr>
      <vt:lpstr>Calculation</vt:lpstr>
      <vt:lpstr>Plate Count</vt:lpstr>
      <vt:lpstr>Flow cytometer</vt:lpstr>
      <vt:lpstr>OD600nm</vt:lpstr>
      <vt:lpstr>CDM</vt:lpstr>
      <vt:lpstr>H2</vt:lpstr>
      <vt:lpstr>CO2</vt:lpstr>
      <vt:lpstr>Metabolites</vt:lpstr>
      <vt:lpstr>D-Fructose</vt:lpstr>
      <vt:lpstr>Formic acid</vt:lpstr>
      <vt:lpstr>Acetic acid</vt:lpstr>
      <vt:lpstr>Propionic acid</vt:lpstr>
      <vt:lpstr>Butyric acid</vt:lpstr>
      <vt:lpstr>Lactic acid</vt:lpstr>
      <vt:lpstr>Ethanol</vt:lpstr>
      <vt:lpstr>Carbon recovery</vt:lpstr>
      <vt:lpstr>Graph</vt:lpstr>
      <vt:lpstr>Graph (2)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Lefeber</dc:creator>
  <cp:keywords/>
  <dc:description/>
  <cp:lastModifiedBy>Kevin D'hoe</cp:lastModifiedBy>
  <cp:lastPrinted>2009-02-16T08:48:51Z</cp:lastPrinted>
  <dcterms:created xsi:type="dcterms:W3CDTF">2009-02-15T16:08:16Z</dcterms:created>
  <dcterms:modified xsi:type="dcterms:W3CDTF">2015-02-26T15:19:38Z</dcterms:modified>
  <cp:category/>
</cp:coreProperties>
</file>