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520" windowHeight="16020" tabRatio="930" firstSheet="4" activeTab="18"/>
  </bookViews>
  <sheets>
    <sheet name="Fermentation" sheetId="25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7" l="1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60" i="17"/>
  <c r="F61" i="17"/>
  <c r="F62" i="17"/>
  <c r="F63" i="17"/>
  <c r="F64" i="17"/>
  <c r="F59" i="17"/>
  <c r="F54" i="17"/>
  <c r="F55" i="17"/>
  <c r="F56" i="17"/>
  <c r="F57" i="17"/>
  <c r="F58" i="17"/>
  <c r="F53" i="17"/>
  <c r="F48" i="17"/>
  <c r="F49" i="17"/>
  <c r="F50" i="17"/>
  <c r="F51" i="17"/>
  <c r="F52" i="17"/>
  <c r="F47" i="17"/>
  <c r="F42" i="17"/>
  <c r="F43" i="17"/>
  <c r="F44" i="17"/>
  <c r="F45" i="17"/>
  <c r="F46" i="17"/>
  <c r="F41" i="17"/>
  <c r="F36" i="17"/>
  <c r="F37" i="17"/>
  <c r="F38" i="17"/>
  <c r="F39" i="17"/>
  <c r="F40" i="17"/>
  <c r="F35" i="17"/>
  <c r="F30" i="17"/>
  <c r="F31" i="17"/>
  <c r="F32" i="17"/>
  <c r="F33" i="17"/>
  <c r="F34" i="17"/>
  <c r="F29" i="17"/>
  <c r="F24" i="17"/>
  <c r="F25" i="17"/>
  <c r="F26" i="17"/>
  <c r="F27" i="17"/>
  <c r="F28" i="17"/>
  <c r="F23" i="17"/>
  <c r="F18" i="17"/>
  <c r="F19" i="17"/>
  <c r="F20" i="17"/>
  <c r="F21" i="17"/>
  <c r="F22" i="17"/>
  <c r="F17" i="17"/>
  <c r="F12" i="17"/>
  <c r="F13" i="17"/>
  <c r="F14" i="17"/>
  <c r="F15" i="17"/>
  <c r="F16" i="17"/>
  <c r="F11" i="17"/>
  <c r="F6" i="17"/>
  <c r="F7" i="17"/>
  <c r="F8" i="17"/>
  <c r="F9" i="17"/>
  <c r="F10" i="1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5" i="7"/>
  <c r="X5" i="22"/>
  <c r="X6" i="22"/>
  <c r="X7" i="22"/>
  <c r="X8" i="22"/>
  <c r="X9" i="22"/>
  <c r="X10" i="22"/>
  <c r="X11" i="22"/>
  <c r="X12" i="22"/>
  <c r="X13" i="22"/>
  <c r="X14" i="22"/>
  <c r="X15" i="22"/>
  <c r="X4" i="22"/>
  <c r="Q4" i="22"/>
  <c r="H15" i="22"/>
  <c r="U15" i="22"/>
  <c r="L15" i="22"/>
  <c r="V15" i="22"/>
  <c r="P15" i="22"/>
  <c r="W15" i="22"/>
  <c r="H14" i="22"/>
  <c r="U14" i="22"/>
  <c r="L14" i="22"/>
  <c r="V14" i="22"/>
  <c r="P14" i="22"/>
  <c r="W14" i="22"/>
  <c r="H13" i="22"/>
  <c r="U13" i="22"/>
  <c r="L13" i="22"/>
  <c r="V13" i="22"/>
  <c r="P13" i="22"/>
  <c r="W13" i="22"/>
  <c r="H12" i="22"/>
  <c r="U12" i="22"/>
  <c r="L12" i="22"/>
  <c r="V12" i="22"/>
  <c r="P12" i="22"/>
  <c r="W12" i="22"/>
  <c r="H11" i="22"/>
  <c r="U11" i="22"/>
  <c r="L11" i="22"/>
  <c r="V11" i="22"/>
  <c r="P11" i="22"/>
  <c r="W11" i="22"/>
  <c r="H10" i="22"/>
  <c r="U10" i="22"/>
  <c r="L10" i="22"/>
  <c r="V10" i="22"/>
  <c r="P10" i="22"/>
  <c r="W10" i="22"/>
  <c r="H9" i="22"/>
  <c r="U9" i="22"/>
  <c r="L9" i="22"/>
  <c r="V9" i="22"/>
  <c r="P9" i="22"/>
  <c r="W9" i="22"/>
  <c r="H8" i="22"/>
  <c r="U8" i="22"/>
  <c r="L8" i="22"/>
  <c r="V8" i="22"/>
  <c r="P8" i="22"/>
  <c r="W8" i="22"/>
  <c r="H7" i="22"/>
  <c r="U7" i="22"/>
  <c r="L7" i="22"/>
  <c r="V7" i="22"/>
  <c r="P7" i="22"/>
  <c r="W7" i="22"/>
  <c r="H6" i="22"/>
  <c r="U6" i="22"/>
  <c r="L6" i="22"/>
  <c r="V6" i="22"/>
  <c r="P6" i="22"/>
  <c r="W6" i="22"/>
  <c r="H5" i="22"/>
  <c r="U5" i="22"/>
  <c r="L5" i="22"/>
  <c r="V5" i="22"/>
  <c r="P5" i="22"/>
  <c r="W5" i="22"/>
  <c r="H4" i="22"/>
  <c r="U4" i="22"/>
  <c r="L4" i="22"/>
  <c r="V4" i="22"/>
  <c r="P4" i="22"/>
  <c r="W4" i="22"/>
  <c r="B4" i="23"/>
  <c r="D28" i="23"/>
  <c r="D34" i="23"/>
  <c r="D5" i="7"/>
  <c r="E5" i="7"/>
  <c r="G5" i="7"/>
  <c r="D6" i="7"/>
  <c r="E6" i="7"/>
  <c r="G6" i="7"/>
  <c r="D7" i="7"/>
  <c r="E7" i="7"/>
  <c r="G7" i="7"/>
  <c r="D8" i="7"/>
  <c r="E8" i="7"/>
  <c r="G8" i="7"/>
  <c r="D9" i="7"/>
  <c r="E9" i="7"/>
  <c r="G9" i="7"/>
  <c r="D10" i="7"/>
  <c r="E10" i="7"/>
  <c r="G10" i="7"/>
  <c r="D11" i="7"/>
  <c r="E11" i="7"/>
  <c r="G11" i="7"/>
  <c r="D12" i="7"/>
  <c r="E12" i="7"/>
  <c r="G12" i="7"/>
  <c r="D13" i="7"/>
  <c r="E13" i="7"/>
  <c r="G13" i="7"/>
  <c r="D14" i="7"/>
  <c r="E14" i="7"/>
  <c r="G14" i="7"/>
  <c r="D15" i="7"/>
  <c r="E15" i="7"/>
  <c r="G15" i="7"/>
  <c r="D16" i="7"/>
  <c r="E16" i="7"/>
  <c r="G16" i="7"/>
  <c r="D17" i="7"/>
  <c r="E17" i="7"/>
  <c r="G17" i="7"/>
  <c r="D18" i="7"/>
  <c r="E18" i="7"/>
  <c r="G18" i="7"/>
  <c r="D19" i="7"/>
  <c r="E19" i="7"/>
  <c r="G19" i="7"/>
  <c r="D20" i="7"/>
  <c r="E20" i="7"/>
  <c r="G20" i="7"/>
  <c r="D21" i="7"/>
  <c r="E21" i="7"/>
  <c r="G21" i="7"/>
  <c r="D22" i="7"/>
  <c r="E22" i="7"/>
  <c r="G22" i="7"/>
  <c r="D23" i="7"/>
  <c r="E23" i="7"/>
  <c r="G23" i="7"/>
  <c r="D24" i="7"/>
  <c r="E24" i="7"/>
  <c r="G24" i="7"/>
  <c r="D25" i="7"/>
  <c r="E25" i="7"/>
  <c r="G25" i="7"/>
  <c r="D26" i="7"/>
  <c r="E26" i="7"/>
  <c r="G26" i="7"/>
  <c r="D27" i="7"/>
  <c r="E27" i="7"/>
  <c r="G27" i="7"/>
  <c r="D28" i="7"/>
  <c r="E28" i="7"/>
  <c r="G28" i="7"/>
  <c r="D29" i="7"/>
  <c r="E29" i="7"/>
  <c r="G29" i="7"/>
  <c r="D30" i="7"/>
  <c r="E30" i="7"/>
  <c r="G30" i="7"/>
  <c r="D31" i="7"/>
  <c r="E31" i="7"/>
  <c r="G31" i="7"/>
  <c r="D32" i="7"/>
  <c r="E32" i="7"/>
  <c r="G32" i="7"/>
  <c r="D33" i="7"/>
  <c r="E33" i="7"/>
  <c r="G33" i="7"/>
  <c r="D34" i="7"/>
  <c r="E34" i="7"/>
  <c r="G34" i="7"/>
  <c r="D35" i="7"/>
  <c r="E35" i="7"/>
  <c r="G35" i="7"/>
  <c r="D36" i="7"/>
  <c r="E36" i="7"/>
  <c r="G36" i="7"/>
  <c r="D37" i="7"/>
  <c r="E37" i="7"/>
  <c r="G37" i="7"/>
  <c r="D38" i="7"/>
  <c r="E38" i="7"/>
  <c r="G38" i="7"/>
  <c r="D39" i="7"/>
  <c r="E39" i="7"/>
  <c r="G39" i="7"/>
  <c r="D40" i="7"/>
  <c r="E40" i="7"/>
  <c r="G40" i="7"/>
  <c r="D41" i="7"/>
  <c r="E41" i="7"/>
  <c r="G41" i="7"/>
  <c r="D42" i="7"/>
  <c r="E42" i="7"/>
  <c r="G42" i="7"/>
  <c r="D43" i="7"/>
  <c r="E43" i="7"/>
  <c r="G43" i="7"/>
  <c r="D44" i="7"/>
  <c r="E44" i="7"/>
  <c r="G44" i="7"/>
  <c r="D45" i="7"/>
  <c r="E45" i="7"/>
  <c r="G45" i="7"/>
  <c r="D46" i="7"/>
  <c r="E46" i="7"/>
  <c r="G46" i="7"/>
  <c r="D47" i="7"/>
  <c r="E47" i="7"/>
  <c r="G47" i="7"/>
  <c r="D48" i="7"/>
  <c r="E48" i="7"/>
  <c r="G48" i="7"/>
  <c r="D49" i="7"/>
  <c r="E49" i="7"/>
  <c r="G49" i="7"/>
  <c r="D50" i="7"/>
  <c r="E50" i="7"/>
  <c r="G50" i="7"/>
  <c r="D51" i="7"/>
  <c r="E51" i="7"/>
  <c r="G51" i="7"/>
  <c r="D52" i="7"/>
  <c r="E52" i="7"/>
  <c r="G52" i="7"/>
  <c r="D53" i="7"/>
  <c r="E53" i="7"/>
  <c r="G53" i="7"/>
  <c r="D54" i="7"/>
  <c r="E54" i="7"/>
  <c r="G54" i="7"/>
  <c r="D55" i="7"/>
  <c r="E55" i="7"/>
  <c r="G55" i="7"/>
  <c r="D56" i="7"/>
  <c r="E56" i="7"/>
  <c r="G56" i="7"/>
  <c r="D57" i="7"/>
  <c r="E57" i="7"/>
  <c r="G57" i="7"/>
  <c r="D58" i="7"/>
  <c r="E58" i="7"/>
  <c r="G58" i="7"/>
  <c r="D59" i="7"/>
  <c r="E59" i="7"/>
  <c r="G59" i="7"/>
  <c r="D60" i="7"/>
  <c r="E60" i="7"/>
  <c r="G60" i="7"/>
  <c r="D61" i="7"/>
  <c r="E61" i="7"/>
  <c r="G61" i="7"/>
  <c r="D62" i="7"/>
  <c r="E62" i="7"/>
  <c r="G62" i="7"/>
  <c r="D63" i="7"/>
  <c r="E63" i="7"/>
  <c r="G63" i="7"/>
  <c r="D64" i="7"/>
  <c r="E64" i="7"/>
  <c r="G64" i="7"/>
  <c r="D65" i="7"/>
  <c r="E65" i="7"/>
  <c r="G65" i="7"/>
  <c r="D66" i="7"/>
  <c r="E66" i="7"/>
  <c r="G66" i="7"/>
  <c r="D67" i="7"/>
  <c r="E67" i="7"/>
  <c r="G67" i="7"/>
  <c r="D68" i="7"/>
  <c r="E68" i="7"/>
  <c r="G68" i="7"/>
  <c r="D69" i="7"/>
  <c r="E69" i="7"/>
  <c r="G69" i="7"/>
  <c r="D70" i="7"/>
  <c r="E70" i="7"/>
  <c r="G70" i="7"/>
  <c r="D71" i="7"/>
  <c r="E71" i="7"/>
  <c r="G71" i="7"/>
  <c r="D72" i="7"/>
  <c r="E72" i="7"/>
  <c r="G72" i="7"/>
  <c r="D73" i="7"/>
  <c r="E73" i="7"/>
  <c r="G73" i="7"/>
  <c r="D74" i="7"/>
  <c r="E74" i="7"/>
  <c r="G74" i="7"/>
  <c r="D75" i="7"/>
  <c r="E75" i="7"/>
  <c r="G75" i="7"/>
  <c r="D76" i="7"/>
  <c r="E76" i="7"/>
  <c r="G76" i="7"/>
  <c r="D77" i="7"/>
  <c r="E77" i="7"/>
  <c r="G77" i="7"/>
  <c r="D78" i="7"/>
  <c r="E78" i="7"/>
  <c r="G78" i="7"/>
  <c r="D79" i="7"/>
  <c r="E79" i="7"/>
  <c r="G79" i="7"/>
  <c r="D80" i="7"/>
  <c r="E80" i="7"/>
  <c r="G80" i="7"/>
  <c r="D81" i="7"/>
  <c r="E81" i="7"/>
  <c r="G81" i="7"/>
  <c r="D82" i="7"/>
  <c r="E82" i="7"/>
  <c r="G82" i="7"/>
  <c r="D83" i="7"/>
  <c r="E83" i="7"/>
  <c r="G83" i="7"/>
  <c r="D84" i="7"/>
  <c r="E84" i="7"/>
  <c r="G84" i="7"/>
  <c r="D85" i="7"/>
  <c r="E85" i="7"/>
  <c r="G85" i="7"/>
  <c r="D86" i="7"/>
  <c r="E86" i="7"/>
  <c r="G86" i="7"/>
  <c r="D87" i="7"/>
  <c r="E87" i="7"/>
  <c r="G87" i="7"/>
  <c r="D88" i="7"/>
  <c r="E88" i="7"/>
  <c r="G88" i="7"/>
  <c r="D89" i="7"/>
  <c r="E89" i="7"/>
  <c r="G89" i="7"/>
  <c r="D90" i="7"/>
  <c r="E90" i="7"/>
  <c r="G90" i="7"/>
  <c r="D91" i="7"/>
  <c r="E91" i="7"/>
  <c r="G91" i="7"/>
  <c r="D92" i="7"/>
  <c r="E92" i="7"/>
  <c r="G92" i="7"/>
  <c r="D93" i="7"/>
  <c r="E93" i="7"/>
  <c r="G93" i="7"/>
  <c r="D94" i="7"/>
  <c r="E94" i="7"/>
  <c r="G94" i="7"/>
  <c r="D95" i="7"/>
  <c r="E95" i="7"/>
  <c r="G95" i="7"/>
  <c r="D96" i="7"/>
  <c r="E96" i="7"/>
  <c r="G96" i="7"/>
  <c r="D97" i="7"/>
  <c r="E97" i="7"/>
  <c r="G97" i="7"/>
  <c r="D98" i="7"/>
  <c r="E98" i="7"/>
  <c r="G98" i="7"/>
  <c r="D99" i="7"/>
  <c r="E99" i="7"/>
  <c r="G99" i="7"/>
  <c r="D100" i="7"/>
  <c r="E100" i="7"/>
  <c r="G100" i="7"/>
  <c r="D101" i="7"/>
  <c r="E101" i="7"/>
  <c r="G101" i="7"/>
  <c r="B8" i="23"/>
  <c r="F34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F33" i="23"/>
  <c r="D33" i="23"/>
  <c r="D30" i="23"/>
  <c r="F27" i="23"/>
  <c r="F26" i="23"/>
  <c r="D29" i="23"/>
  <c r="G7" i="15"/>
  <c r="G7" i="18"/>
  <c r="F3" i="2"/>
  <c r="F4" i="2"/>
  <c r="F5" i="2"/>
  <c r="F6" i="2"/>
  <c r="F7" i="2"/>
  <c r="F8" i="2"/>
  <c r="F9" i="2"/>
  <c r="F10" i="2"/>
  <c r="F11" i="2"/>
  <c r="F12" i="2"/>
  <c r="F13" i="2"/>
  <c r="F14" i="2"/>
  <c r="I15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L32" i="8"/>
  <c r="L21" i="8"/>
  <c r="B6" i="23"/>
  <c r="L15" i="8"/>
  <c r="L4" i="8"/>
  <c r="B5" i="23"/>
  <c r="P15" i="8"/>
  <c r="P4" i="8"/>
  <c r="B3" i="23"/>
  <c r="H4" i="8"/>
  <c r="H15" i="8"/>
  <c r="B2" i="23"/>
  <c r="T4" i="8"/>
  <c r="T15" i="8"/>
  <c r="B12" i="23"/>
  <c r="B10" i="23"/>
  <c r="B9" i="23"/>
  <c r="M32" i="8"/>
  <c r="M21" i="8"/>
  <c r="C6" i="23"/>
  <c r="M15" i="8"/>
  <c r="M4" i="8"/>
  <c r="C5" i="23"/>
  <c r="U4" i="8"/>
  <c r="U15" i="8"/>
  <c r="C4" i="23"/>
  <c r="Q4" i="8"/>
  <c r="Q15" i="8"/>
  <c r="C3" i="23"/>
  <c r="I4" i="8"/>
  <c r="I15" i="8"/>
  <c r="C2" i="23"/>
  <c r="P3" i="8"/>
  <c r="H5" i="3"/>
  <c r="L5" i="3"/>
  <c r="P5" i="3"/>
  <c r="Q5" i="3"/>
  <c r="H6" i="3"/>
  <c r="L6" i="3"/>
  <c r="P6" i="3"/>
  <c r="Q6" i="3"/>
  <c r="H7" i="3"/>
  <c r="L7" i="3"/>
  <c r="P7" i="3"/>
  <c r="Q7" i="3"/>
  <c r="H8" i="3"/>
  <c r="L8" i="3"/>
  <c r="P8" i="3"/>
  <c r="Q8" i="3"/>
  <c r="H9" i="3"/>
  <c r="L9" i="3"/>
  <c r="P9" i="3"/>
  <c r="Q9" i="3"/>
  <c r="H10" i="3"/>
  <c r="L10" i="3"/>
  <c r="P10" i="3"/>
  <c r="Q10" i="3"/>
  <c r="H11" i="3"/>
  <c r="L11" i="3"/>
  <c r="P11" i="3"/>
  <c r="Q11" i="3"/>
  <c r="H12" i="3"/>
  <c r="L12" i="3"/>
  <c r="P12" i="3"/>
  <c r="Q12" i="3"/>
  <c r="H13" i="3"/>
  <c r="L13" i="3"/>
  <c r="P13" i="3"/>
  <c r="Q13" i="3"/>
  <c r="H14" i="3"/>
  <c r="L14" i="3"/>
  <c r="P14" i="3"/>
  <c r="Q14" i="3"/>
  <c r="H15" i="3"/>
  <c r="L15" i="3"/>
  <c r="P15" i="3"/>
  <c r="Q15" i="3"/>
  <c r="H4" i="3"/>
  <c r="L4" i="3"/>
  <c r="P4" i="3"/>
  <c r="R4" i="3"/>
  <c r="Q4" i="3"/>
  <c r="S12" i="3"/>
  <c r="S4" i="3"/>
  <c r="R5" i="3"/>
  <c r="R6" i="3"/>
  <c r="R7" i="3"/>
  <c r="R8" i="3"/>
  <c r="R9" i="3"/>
  <c r="R10" i="3"/>
  <c r="R11" i="3"/>
  <c r="R12" i="3"/>
  <c r="R13" i="3"/>
  <c r="R14" i="3"/>
  <c r="R15" i="3"/>
  <c r="P3" i="3"/>
  <c r="L3" i="3"/>
  <c r="H3" i="3"/>
  <c r="C5" i="3"/>
  <c r="C6" i="3"/>
  <c r="C7" i="3"/>
  <c r="C8" i="3"/>
  <c r="C9" i="3"/>
  <c r="C10" i="3"/>
  <c r="C11" i="3"/>
  <c r="C12" i="3"/>
  <c r="C13" i="3"/>
  <c r="C14" i="3"/>
  <c r="C15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" i="2"/>
  <c r="C6" i="2"/>
  <c r="C7" i="2"/>
  <c r="C8" i="2"/>
  <c r="C9" i="2"/>
  <c r="C10" i="2"/>
  <c r="C11" i="2"/>
  <c r="C12" i="2"/>
  <c r="C13" i="2"/>
  <c r="C14" i="2"/>
  <c r="C15" i="2"/>
  <c r="J15" i="2"/>
  <c r="K15" i="2"/>
  <c r="F15" i="2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I3" i="8"/>
  <c r="H3" i="8"/>
  <c r="L3" i="8"/>
  <c r="G7" i="19"/>
  <c r="R68" i="22"/>
  <c r="R73" i="22"/>
  <c r="R63" i="22"/>
  <c r="D4" i="2"/>
  <c r="D5" i="2"/>
  <c r="D6" i="2"/>
  <c r="D7" i="2"/>
  <c r="D8" i="2"/>
  <c r="D9" i="2"/>
  <c r="D10" i="2"/>
  <c r="D11" i="2"/>
  <c r="D12" i="2"/>
  <c r="D13" i="2"/>
  <c r="D14" i="2"/>
  <c r="D15" i="2"/>
  <c r="D3" i="2"/>
  <c r="T68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T4" i="22"/>
  <c r="S5" i="22"/>
  <c r="S6" i="22"/>
  <c r="S7" i="22"/>
  <c r="S8" i="22"/>
  <c r="S9" i="22"/>
  <c r="S10" i="22"/>
  <c r="S11" i="22"/>
  <c r="S12" i="22"/>
  <c r="S13" i="22"/>
  <c r="S14" i="22"/>
  <c r="S15" i="22"/>
  <c r="S4" i="22"/>
  <c r="R5" i="22"/>
  <c r="R6" i="22"/>
  <c r="R7" i="22"/>
  <c r="R8" i="22"/>
  <c r="R9" i="22"/>
  <c r="R10" i="22"/>
  <c r="R11" i="22"/>
  <c r="R12" i="22"/>
  <c r="R13" i="22"/>
  <c r="R14" i="22"/>
  <c r="R15" i="22"/>
  <c r="R4" i="22"/>
  <c r="T13" i="8"/>
  <c r="J4" i="4"/>
  <c r="J5" i="4"/>
  <c r="J6" i="4"/>
  <c r="J7" i="4"/>
  <c r="J8" i="4"/>
  <c r="J9" i="4"/>
  <c r="J10" i="4"/>
  <c r="J11" i="4"/>
  <c r="J12" i="4"/>
  <c r="J13" i="4"/>
  <c r="J14" i="4"/>
  <c r="J15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S15" i="3"/>
  <c r="S14" i="3"/>
  <c r="S13" i="3"/>
  <c r="S11" i="3"/>
  <c r="S10" i="3"/>
  <c r="S9" i="3"/>
  <c r="S8" i="3"/>
  <c r="S7" i="3"/>
  <c r="S6" i="3"/>
  <c r="S5" i="3"/>
  <c r="G18" i="16"/>
  <c r="H18" i="16"/>
  <c r="G19" i="16"/>
  <c r="H19" i="16"/>
  <c r="G18" i="14"/>
  <c r="H18" i="14"/>
  <c r="G19" i="14"/>
  <c r="H19" i="14"/>
  <c r="G18" i="21"/>
  <c r="H18" i="21"/>
  <c r="G19" i="21"/>
  <c r="H19" i="21"/>
  <c r="G18" i="20"/>
  <c r="H18" i="20"/>
  <c r="G19" i="20"/>
  <c r="H19" i="20"/>
  <c r="G18" i="18"/>
  <c r="H18" i="18"/>
  <c r="G19" i="18"/>
  <c r="H19" i="18"/>
  <c r="G18" i="15"/>
  <c r="H18" i="15"/>
  <c r="G19" i="15"/>
  <c r="H19" i="15"/>
  <c r="H31" i="8"/>
  <c r="I31" i="8"/>
  <c r="L31" i="8"/>
  <c r="M31" i="8"/>
  <c r="P31" i="8"/>
  <c r="Q31" i="8"/>
  <c r="H32" i="8"/>
  <c r="I32" i="8"/>
  <c r="P32" i="8"/>
  <c r="Q32" i="8"/>
  <c r="L14" i="8"/>
  <c r="M14" i="8"/>
  <c r="P14" i="8"/>
  <c r="Q14" i="8"/>
  <c r="T14" i="8"/>
  <c r="U14" i="8"/>
  <c r="G18" i="19"/>
  <c r="H18" i="19"/>
  <c r="G19" i="19"/>
  <c r="H19" i="19"/>
  <c r="G13" i="5"/>
  <c r="G14" i="5"/>
  <c r="G15" i="5"/>
  <c r="H7" i="19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0" i="8"/>
  <c r="L20" i="8"/>
  <c r="H20" i="8"/>
  <c r="U3" i="8"/>
  <c r="Q3" i="8"/>
  <c r="M3" i="8"/>
  <c r="Q20" i="8"/>
  <c r="M20" i="8"/>
  <c r="I20" i="8"/>
  <c r="T3" i="8"/>
  <c r="G3" i="5"/>
  <c r="P21" i="8"/>
  <c r="I21" i="8"/>
  <c r="Q21" i="8"/>
  <c r="H21" i="8"/>
  <c r="G4" i="5"/>
  <c r="L22" i="8"/>
  <c r="P5" i="8"/>
  <c r="T5" i="8"/>
  <c r="Q22" i="8"/>
  <c r="Q5" i="8"/>
  <c r="P22" i="8"/>
  <c r="H22" i="8"/>
  <c r="L5" i="8"/>
  <c r="M22" i="8"/>
  <c r="U5" i="8"/>
  <c r="I22" i="8"/>
  <c r="M5" i="8"/>
  <c r="L7" i="8"/>
  <c r="G5" i="5"/>
  <c r="M23" i="8"/>
  <c r="I23" i="8"/>
  <c r="L23" i="8"/>
  <c r="Q23" i="8"/>
  <c r="P6" i="8"/>
  <c r="P23" i="8"/>
  <c r="H23" i="8"/>
  <c r="L6" i="8"/>
  <c r="U6" i="8"/>
  <c r="Q6" i="8"/>
  <c r="T6" i="8"/>
  <c r="M6" i="8"/>
  <c r="P24" i="8"/>
  <c r="Q24" i="8"/>
  <c r="I24" i="8"/>
  <c r="M7" i="8"/>
  <c r="H24" i="8"/>
  <c r="T7" i="8"/>
  <c r="U7" i="8"/>
  <c r="M24" i="8"/>
  <c r="Q7" i="8"/>
  <c r="L24" i="8"/>
  <c r="P7" i="8"/>
  <c r="G6" i="5"/>
  <c r="U8" i="8"/>
  <c r="M8" i="8"/>
  <c r="I25" i="8"/>
  <c r="P25" i="8"/>
  <c r="L25" i="8"/>
  <c r="H25" i="8"/>
  <c r="G7" i="5"/>
  <c r="T8" i="8"/>
  <c r="Q8" i="8"/>
  <c r="M25" i="8"/>
  <c r="T9" i="8"/>
  <c r="L8" i="8"/>
  <c r="P8" i="8"/>
  <c r="Q25" i="8"/>
  <c r="L9" i="8"/>
  <c r="M26" i="8"/>
  <c r="U9" i="8"/>
  <c r="M9" i="8"/>
  <c r="H26" i="8"/>
  <c r="I26" i="8"/>
  <c r="P26" i="8"/>
  <c r="P9" i="8"/>
  <c r="Q9" i="8"/>
  <c r="L26" i="8"/>
  <c r="G8" i="5"/>
  <c r="Q26" i="8"/>
  <c r="Q27" i="8"/>
  <c r="U10" i="8"/>
  <c r="M27" i="8"/>
  <c r="H27" i="8"/>
  <c r="Q10" i="8"/>
  <c r="T10" i="8"/>
  <c r="L10" i="8"/>
  <c r="G9" i="5"/>
  <c r="P27" i="8"/>
  <c r="P10" i="8"/>
  <c r="M10" i="8"/>
  <c r="L27" i="8"/>
  <c r="I27" i="8"/>
  <c r="P28" i="8"/>
  <c r="L28" i="8"/>
  <c r="T11" i="8"/>
  <c r="L11" i="8"/>
  <c r="I28" i="8"/>
  <c r="Q11" i="8"/>
  <c r="G10" i="5"/>
  <c r="M28" i="8"/>
  <c r="H28" i="8"/>
  <c r="P11" i="8"/>
  <c r="Q28" i="8"/>
  <c r="U11" i="8"/>
  <c r="M11" i="8"/>
  <c r="Q29" i="8"/>
  <c r="U12" i="8"/>
  <c r="M12" i="8"/>
  <c r="M29" i="8"/>
  <c r="H29" i="8"/>
  <c r="P12" i="8"/>
  <c r="G11" i="5"/>
  <c r="I29" i="8"/>
  <c r="Q12" i="8"/>
  <c r="P29" i="8"/>
  <c r="L29" i="8"/>
  <c r="T12" i="8"/>
  <c r="L12" i="8"/>
  <c r="G12" i="5"/>
  <c r="H30" i="8"/>
  <c r="U13" i="8"/>
  <c r="L30" i="8"/>
  <c r="L13" i="8"/>
  <c r="Q30" i="8"/>
  <c r="I30" i="8"/>
  <c r="Q13" i="8"/>
  <c r="P30" i="8"/>
  <c r="P13" i="8"/>
  <c r="M30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<sst xmlns="http://schemas.openxmlformats.org/spreadsheetml/2006/main" count="449" uniqueCount="188">
  <si>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</si>
  <si>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</si>
  <si>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</si>
  <si>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</si>
  <si>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</si>
  <si>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</si>
  <si>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</si>
  <si>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</si>
  <si>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</si>
  <si>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</si>
  <si>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</si>
  <si>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</si>
  <si>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</si>
  <si>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</si>
  <si>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</si>
  <si>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</si>
  <si>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</si>
  <si>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</si>
  <si>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</si>
  <si>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</si>
  <si>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</si>
  <si>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</si>
  <si>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</si>
  <si>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</si>
  <si>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</si>
  <si>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</si>
  <si>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</si>
  <si>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</si>
  <si>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</si>
  <si>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</si>
  <si>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</si>
  <si>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</si>
  <si>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</si>
  <si>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</si>
  <si>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</si>
  <si>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</si>
  <si>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</si>
  <si>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</si>
  <si>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</si>
  <si>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</si>
  <si>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</si>
  <si>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</si>
  <si>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</si>
  <si>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</si>
  <si>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</si>
  <si>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</si>
  <si>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</si>
  <si>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</si>
  <si>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</si>
  <si>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</si>
  <si>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</si>
  <si>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</si>
  <si>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</si>
  <si>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</si>
  <si>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</si>
  <si>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</si>
  <si>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</si>
  <si>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</si>
  <si>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</si>
  <si>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</si>
  <si>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</si>
  <si>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</si>
  <si>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</si>
  <si>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</si>
  <si>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</si>
  <si>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</si>
  <si>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</si>
  <si>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</si>
  <si>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</si>
  <si>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</si>
  <si>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</si>
  <si>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</si>
  <si>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</si>
  <si>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</si>
  <si>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</si>
  <si>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</si>
  <si>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</si>
  <si>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</si>
  <si>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</si>
  <si>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</si>
  <si>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</si>
  <si>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</si>
  <si>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</si>
  <si>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</si>
  <si>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</si>
  <si>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</si>
  <si>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</si>
  <si>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</si>
  <si>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</si>
  <si>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</si>
  <si>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</si>
  <si>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</si>
  <si>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</si>
  <si>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</si>
  <si>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</si>
  <si>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</si>
  <si>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</si>
  <si>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</si>
  <si>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</si>
  <si>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</si>
  <si>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</si>
  <si>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</si>
  <si>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</si>
  <si>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</si>
  <si>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</si>
  <si>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</si>
  <si>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</si>
  <si>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</si>
  <si>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</si>
  <si>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</si>
  <si>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</si>
  <si>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</si>
  <si>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</si>
  <si>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</si>
  <si>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</si>
  <si>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</si>
  <si>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</si>
  <si>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</si>
  <si>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</si>
  <si>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</si>
  <si>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</si>
  <si>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</si>
  <si>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</si>
  <si>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</si>
  <si>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</si>
  <si>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</si>
  <si>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</si>
  <si>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</si>
  <si>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</si>
  <si>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D-Fructose</t>
  </si>
  <si>
    <t>D Fructose</t>
  </si>
  <si>
    <t>D-Fructose consumed</t>
  </si>
  <si>
    <t>10 ml of a 0,1 g/l stock solution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</si>
  <si>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</si>
  <si>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</si>
  <si>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</si>
  <si>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</si>
  <si>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r>
      <t>0  g in 100 ml MilliQ,H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1.5l</t>
    </r>
  </si>
  <si>
    <t>Growth was detected on anaerobic plates</t>
  </si>
  <si>
    <t>Formate (150 mM)</t>
  </si>
  <si>
    <t>Na-acetate trihydrate (50 mM)</t>
  </si>
  <si>
    <t>10.2 g per 1.5 l</t>
  </si>
  <si>
    <r>
      <t>15,3  g in 100 ml MilliQ,H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1.5l</t>
    </r>
  </si>
  <si>
    <t>Acetic acid produced</t>
  </si>
  <si>
    <t>Formic acid consumed</t>
  </si>
  <si>
    <t>Total nett reaction in absence of formate</t>
  </si>
  <si>
    <t>4H2 + 2CO2</t>
  </si>
  <si>
    <t>&gt;</t>
  </si>
  <si>
    <t xml:space="preserve">CH3COOH </t>
  </si>
  <si>
    <t>en 2 H2O</t>
  </si>
  <si>
    <t xml:space="preserve"> en cell biomass</t>
  </si>
  <si>
    <t>Wood-Ljungdahl pathway</t>
  </si>
  <si>
    <t>HCOOH</t>
  </si>
  <si>
    <t>CO2 + H2</t>
  </si>
  <si>
    <t xml:space="preserve"> HCOOH </t>
  </si>
  <si>
    <t>CO2 + 3H2</t>
  </si>
  <si>
    <t>CH3COOH</t>
  </si>
  <si>
    <t>en  2H2O</t>
  </si>
  <si>
    <t>CO2 + 3 H2</t>
  </si>
  <si>
    <t>en  cell biomass</t>
  </si>
  <si>
    <t>Total nett reation:</t>
  </si>
  <si>
    <t>3HCOOH</t>
  </si>
  <si>
    <t>CO2 + 5 H2</t>
  </si>
  <si>
    <t>2CH3COOH</t>
  </si>
  <si>
    <t>en  4H2O</t>
  </si>
  <si>
    <t>mM formate consumed</t>
  </si>
  <si>
    <t>mM acetate produced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</si>
  <si>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</si>
  <si>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</si>
  <si>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</si>
  <si>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</si>
  <si>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</si>
  <si>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t>LOG</t>
  </si>
  <si>
    <t>STDEV LOG(Count/mL)</t>
  </si>
  <si>
    <t>D - Fructose (0 mM)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</si>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</sst>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5" fillId="0" borderId="0" xfId="0" applyNumberFormat="1" applyFont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12" borderId="0" xfId="0" applyFill="1"/>
  </cellXfs>
  <cellStyles count="36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EC109"/>
      <color rgb="FFDC02FA"/>
      <color rgb="FF4948F0"/>
      <color rgb="FF51BBFF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18.0</c:v>
                </c:pt>
                <c:pt idx="1">
                  <c:v>21.0</c:v>
                </c:pt>
                <c:pt idx="2">
                  <c:v>24.0</c:v>
                </c:pt>
                <c:pt idx="3">
                  <c:v>27.0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9.158880314066816</c:v>
                </c:pt>
                <c:pt idx="1">
                  <c:v>9.283231749308337</c:v>
                </c:pt>
                <c:pt idx="2">
                  <c:v>9.301766875854054</c:v>
                </c:pt>
                <c:pt idx="3">
                  <c:v>9.194145344328833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1432"/>
        <c:axId val="2134181080"/>
      </c:scatterChart>
      <c:valAx>
        <c:axId val="213389143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4181080"/>
        <c:crossesAt val="0.0"/>
        <c:crossBetween val="midCat"/>
        <c:majorUnit val="6.0"/>
      </c:valAx>
      <c:valAx>
        <c:axId val="2134181080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389143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18.0</c:v>
                </c:pt>
                <c:pt idx="1">
                  <c:v>21.0</c:v>
                </c:pt>
                <c:pt idx="2">
                  <c:v>24.0</c:v>
                </c:pt>
                <c:pt idx="3">
                  <c:v>27.0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21.08910127968688</c:v>
                </c:pt>
                <c:pt idx="1">
                  <c:v>21.37543104076641</c:v>
                </c:pt>
                <c:pt idx="2">
                  <c:v>21.41810974684734</c:v>
                </c:pt>
                <c:pt idx="3">
                  <c:v>21.17030201267218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52808"/>
        <c:axId val="2107970072"/>
      </c:scatterChart>
      <c:valAx>
        <c:axId val="211335280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7970072"/>
        <c:crossesAt val="0.0"/>
        <c:crossBetween val="midCat"/>
        <c:majorUnit val="6.0"/>
      </c:valAx>
      <c:valAx>
        <c:axId val="2107970072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33528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2"/>
          <c:order val="0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Metabolites!$Q$4:$Q$15</c:f>
                <c:numCache>
                  <c:formatCode>General</c:formatCode>
                  <c:ptCount val="12"/>
                  <c:pt idx="0">
                    <c:v>0.138662181479842</c:v>
                  </c:pt>
                  <c:pt idx="1">
                    <c:v>0.173060863370743</c:v>
                  </c:pt>
                  <c:pt idx="2">
                    <c:v>0.17091095551863</c:v>
                  </c:pt>
                  <c:pt idx="3">
                    <c:v>0.384374802253377</c:v>
                  </c:pt>
                  <c:pt idx="4">
                    <c:v>0.735014840315429</c:v>
                  </c:pt>
                  <c:pt idx="5">
                    <c:v>0.252793755416164</c:v>
                  </c:pt>
                  <c:pt idx="6">
                    <c:v>0.426661076382649</c:v>
                  </c:pt>
                  <c:pt idx="7">
                    <c:v>3.823086513464583</c:v>
                  </c:pt>
                  <c:pt idx="8">
                    <c:v>1.655744514035874</c:v>
                  </c:pt>
                  <c:pt idx="9">
                    <c:v>0.158617734564841</c:v>
                  </c:pt>
                  <c:pt idx="10">
                    <c:v>1.072205917349784</c:v>
                  </c:pt>
                  <c:pt idx="11">
                    <c:v>1.177717281636375</c:v>
                  </c:pt>
                </c:numCache>
              </c:numRef>
            </c:plus>
            <c:minus>
              <c:numRef>
                <c:f>Metabolites!$Q$4:$Q$15</c:f>
                <c:numCache>
                  <c:formatCode>General</c:formatCode>
                  <c:ptCount val="12"/>
                  <c:pt idx="0">
                    <c:v>0.138662181479842</c:v>
                  </c:pt>
                  <c:pt idx="1">
                    <c:v>0.173060863370743</c:v>
                  </c:pt>
                  <c:pt idx="2">
                    <c:v>0.17091095551863</c:v>
                  </c:pt>
                  <c:pt idx="3">
                    <c:v>0.384374802253377</c:v>
                  </c:pt>
                  <c:pt idx="4">
                    <c:v>0.735014840315429</c:v>
                  </c:pt>
                  <c:pt idx="5">
                    <c:v>0.252793755416164</c:v>
                  </c:pt>
                  <c:pt idx="6">
                    <c:v>0.426661076382649</c:v>
                  </c:pt>
                  <c:pt idx="7">
                    <c:v>3.823086513464583</c:v>
                  </c:pt>
                  <c:pt idx="8">
                    <c:v>1.655744514035874</c:v>
                  </c:pt>
                  <c:pt idx="9">
                    <c:v>0.158617734564841</c:v>
                  </c:pt>
                  <c:pt idx="10">
                    <c:v>1.072205917349784</c:v>
                  </c:pt>
                  <c:pt idx="11">
                    <c:v>1.177717281636375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Metabolites!$P$4:$P$15</c:f>
              <c:numCache>
                <c:formatCode>0</c:formatCode>
                <c:ptCount val="12"/>
                <c:pt idx="0">
                  <c:v>51.44601720788232</c:v>
                </c:pt>
                <c:pt idx="1">
                  <c:v>51.65695253955038</c:v>
                </c:pt>
                <c:pt idx="2">
                  <c:v>52.5451013044685</c:v>
                </c:pt>
                <c:pt idx="3">
                  <c:v>56.49354030998611</c:v>
                </c:pt>
                <c:pt idx="4">
                  <c:v>59.13768241299039</c:v>
                </c:pt>
                <c:pt idx="5">
                  <c:v>63.08263304147131</c:v>
                </c:pt>
                <c:pt idx="6">
                  <c:v>68.85101288169948</c:v>
                </c:pt>
                <c:pt idx="7">
                  <c:v>75.29645446795888</c:v>
                </c:pt>
                <c:pt idx="8">
                  <c:v>88.83929378801283</c:v>
                </c:pt>
                <c:pt idx="9">
                  <c:v>93.24803459068778</c:v>
                </c:pt>
                <c:pt idx="10">
                  <c:v>93.86169103716023</c:v>
                </c:pt>
                <c:pt idx="11">
                  <c:v>94.58630125470732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Metabolites!$U$4:$U$15</c:f>
                <c:numCache>
                  <c:formatCode>General</c:formatCode>
                  <c:ptCount val="12"/>
                  <c:pt idx="0">
                    <c:v>0.394254691543673</c:v>
                  </c:pt>
                  <c:pt idx="1">
                    <c:v>0.554731494017115</c:v>
                  </c:pt>
                  <c:pt idx="2">
                    <c:v>0.389436734296439</c:v>
                  </c:pt>
                  <c:pt idx="3">
                    <c:v>1.035363034891825</c:v>
                  </c:pt>
                  <c:pt idx="4">
                    <c:v>1.42385586716312</c:v>
                  </c:pt>
                  <c:pt idx="5">
                    <c:v>0.396359069292263</c:v>
                  </c:pt>
                  <c:pt idx="6">
                    <c:v>0.520743156491996</c:v>
                  </c:pt>
                  <c:pt idx="7">
                    <c:v>2.322727789091102</c:v>
                  </c:pt>
                  <c:pt idx="8">
                    <c:v>0.0934277482748827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Metabolites!$U$4:$U$15</c:f>
                <c:numCache>
                  <c:formatCode>General</c:formatCode>
                  <c:ptCount val="12"/>
                  <c:pt idx="0">
                    <c:v>0.394254691543673</c:v>
                  </c:pt>
                  <c:pt idx="1">
                    <c:v>0.554731494017115</c:v>
                  </c:pt>
                  <c:pt idx="2">
                    <c:v>0.389436734296439</c:v>
                  </c:pt>
                  <c:pt idx="3">
                    <c:v>1.035363034891825</c:v>
                  </c:pt>
                  <c:pt idx="4">
                    <c:v>1.42385586716312</c:v>
                  </c:pt>
                  <c:pt idx="5">
                    <c:v>0.396359069292263</c:v>
                  </c:pt>
                  <c:pt idx="6">
                    <c:v>0.520743156491996</c:v>
                  </c:pt>
                  <c:pt idx="7">
                    <c:v>2.322727789091102</c:v>
                  </c:pt>
                  <c:pt idx="8">
                    <c:v>0.0934277482748827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Metabolites!$T$4:$T$15</c:f>
              <c:numCache>
                <c:formatCode>0</c:formatCode>
                <c:ptCount val="12"/>
                <c:pt idx="0">
                  <c:v>140.3142877833297</c:v>
                </c:pt>
                <c:pt idx="1">
                  <c:v>139.4308059960895</c:v>
                </c:pt>
                <c:pt idx="2">
                  <c:v>137.3741762618582</c:v>
                </c:pt>
                <c:pt idx="3">
                  <c:v>134.1828610822217</c:v>
                </c:pt>
                <c:pt idx="4">
                  <c:v>124.9068801908173</c:v>
                </c:pt>
                <c:pt idx="5">
                  <c:v>108.4037729854285</c:v>
                </c:pt>
                <c:pt idx="6">
                  <c:v>83.72634483270947</c:v>
                </c:pt>
                <c:pt idx="7">
                  <c:v>44.47283055173556</c:v>
                </c:pt>
                <c:pt idx="8">
                  <c:v>5.58023399134292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0"/>
          <c:order val="4"/>
          <c:tx>
            <c:v>H2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0.187701521629779</c:v>
                </c:pt>
                <c:pt idx="2">
                  <c:v>0.803060865191147</c:v>
                </c:pt>
                <c:pt idx="3">
                  <c:v>1.642291561871227</c:v>
                </c:pt>
                <c:pt idx="4">
                  <c:v>2.48543731136821</c:v>
                </c:pt>
                <c:pt idx="5">
                  <c:v>3.369901911468813</c:v>
                </c:pt>
                <c:pt idx="6">
                  <c:v>4.29316100323314</c:v>
                </c:pt>
                <c:pt idx="7">
                  <c:v>5.216064043656456</c:v>
                </c:pt>
                <c:pt idx="8">
                  <c:v>6.129148707084631</c:v>
                </c:pt>
                <c:pt idx="9">
                  <c:v>7.060021148097817</c:v>
                </c:pt>
                <c:pt idx="10">
                  <c:v>7.998774834773736</c:v>
                </c:pt>
                <c:pt idx="11">
                  <c:v>8.956681236578038</c:v>
                </c:pt>
                <c:pt idx="12">
                  <c:v>9.979956828176726</c:v>
                </c:pt>
                <c:pt idx="13">
                  <c:v>11.0602813474075</c:v>
                </c:pt>
                <c:pt idx="14">
                  <c:v>12.16879422034064</c:v>
                </c:pt>
                <c:pt idx="15">
                  <c:v>13.3291681644456</c:v>
                </c:pt>
                <c:pt idx="16">
                  <c:v>14.57123367486976</c:v>
                </c:pt>
                <c:pt idx="17">
                  <c:v>15.85740616768068</c:v>
                </c:pt>
                <c:pt idx="18">
                  <c:v>17.31680052865164</c:v>
                </c:pt>
                <c:pt idx="19">
                  <c:v>19.0211285267488</c:v>
                </c:pt>
                <c:pt idx="20">
                  <c:v>20.87788468489771</c:v>
                </c:pt>
                <c:pt idx="21">
                  <c:v>22.67752174229538</c:v>
                </c:pt>
                <c:pt idx="22">
                  <c:v>24.56779442729373</c:v>
                </c:pt>
                <c:pt idx="23">
                  <c:v>27.13844831754412</c:v>
                </c:pt>
                <c:pt idx="24">
                  <c:v>30.93465999506395</c:v>
                </c:pt>
                <c:pt idx="25">
                  <c:v>35.29046717169393</c:v>
                </c:pt>
                <c:pt idx="26">
                  <c:v>39.46390523506837</c:v>
                </c:pt>
                <c:pt idx="27">
                  <c:v>43.62200740146775</c:v>
                </c:pt>
                <c:pt idx="28">
                  <c:v>47.67085415670748</c:v>
                </c:pt>
                <c:pt idx="29">
                  <c:v>51.49860145112766</c:v>
                </c:pt>
                <c:pt idx="30">
                  <c:v>55.08278116994664</c:v>
                </c:pt>
                <c:pt idx="31">
                  <c:v>58.43168111743739</c:v>
                </c:pt>
                <c:pt idx="32">
                  <c:v>61.44468621762663</c:v>
                </c:pt>
                <c:pt idx="33">
                  <c:v>64.18174360596513</c:v>
                </c:pt>
                <c:pt idx="34">
                  <c:v>66.68729536877223</c:v>
                </c:pt>
                <c:pt idx="35">
                  <c:v>68.90114214070394</c:v>
                </c:pt>
                <c:pt idx="36">
                  <c:v>70.86855903541161</c:v>
                </c:pt>
                <c:pt idx="37">
                  <c:v>72.58216443076237</c:v>
                </c:pt>
                <c:pt idx="38">
                  <c:v>73.98265690326693</c:v>
                </c:pt>
                <c:pt idx="39">
                  <c:v>75.09884528098207</c:v>
                </c:pt>
                <c:pt idx="40">
                  <c:v>75.95459677278558</c:v>
                </c:pt>
                <c:pt idx="41">
                  <c:v>76.59028599592808</c:v>
                </c:pt>
                <c:pt idx="42">
                  <c:v>77.08842005941271</c:v>
                </c:pt>
                <c:pt idx="43">
                  <c:v>77.4994385112044</c:v>
                </c:pt>
                <c:pt idx="44">
                  <c:v>77.84634847616557</c:v>
                </c:pt>
                <c:pt idx="45">
                  <c:v>78.14727811368624</c:v>
                </c:pt>
                <c:pt idx="46">
                  <c:v>78.40475471630486</c:v>
                </c:pt>
                <c:pt idx="47">
                  <c:v>78.62322813714354</c:v>
                </c:pt>
                <c:pt idx="48">
                  <c:v>78.8087675444483</c:v>
                </c:pt>
                <c:pt idx="49">
                  <c:v>78.95616785734897</c:v>
                </c:pt>
                <c:pt idx="50">
                  <c:v>79.0420987145687</c:v>
                </c:pt>
                <c:pt idx="51">
                  <c:v>79.0725181254415</c:v>
                </c:pt>
                <c:pt idx="52">
                  <c:v>79.08145492782044</c:v>
                </c:pt>
                <c:pt idx="53">
                  <c:v>79.08586597941378</c:v>
                </c:pt>
                <c:pt idx="54">
                  <c:v>79.08935108562913</c:v>
                </c:pt>
                <c:pt idx="55">
                  <c:v>79.09289749667165</c:v>
                </c:pt>
                <c:pt idx="56">
                  <c:v>79.09854750765263</c:v>
                </c:pt>
                <c:pt idx="57">
                  <c:v>79.10750323911952</c:v>
                </c:pt>
                <c:pt idx="58">
                  <c:v>79.12060666394194</c:v>
                </c:pt>
                <c:pt idx="59">
                  <c:v>79.13310925052988</c:v>
                </c:pt>
                <c:pt idx="60">
                  <c:v>79.14568519854866</c:v>
                </c:pt>
                <c:pt idx="61">
                  <c:v>79.1599982234939</c:v>
                </c:pt>
                <c:pt idx="62">
                  <c:v>79.17450121536061</c:v>
                </c:pt>
                <c:pt idx="63">
                  <c:v>79.18678730261173</c:v>
                </c:pt>
                <c:pt idx="64">
                  <c:v>79.19445008160906</c:v>
                </c:pt>
                <c:pt idx="65">
                  <c:v>79.20046632465404</c:v>
                </c:pt>
                <c:pt idx="66">
                  <c:v>79.20774916980842</c:v>
                </c:pt>
                <c:pt idx="67">
                  <c:v>79.21547558304544</c:v>
                </c:pt>
                <c:pt idx="68">
                  <c:v>79.21902225611131</c:v>
                </c:pt>
                <c:pt idx="69">
                  <c:v>79.22453223263159</c:v>
                </c:pt>
                <c:pt idx="70">
                  <c:v>79.23713508738477</c:v>
                </c:pt>
                <c:pt idx="71">
                  <c:v>79.24992790905942</c:v>
                </c:pt>
                <c:pt idx="72">
                  <c:v>79.2619608630482</c:v>
                </c:pt>
                <c:pt idx="73">
                  <c:v>79.27266358068786</c:v>
                </c:pt>
                <c:pt idx="74">
                  <c:v>79.28304999872429</c:v>
                </c:pt>
                <c:pt idx="75">
                  <c:v>79.29660315598364</c:v>
                </c:pt>
                <c:pt idx="76">
                  <c:v>79.31173921495565</c:v>
                </c:pt>
                <c:pt idx="77">
                  <c:v>79.31933882761209</c:v>
                </c:pt>
                <c:pt idx="78">
                  <c:v>79.32769877585322</c:v>
                </c:pt>
                <c:pt idx="79">
                  <c:v>79.34384830367227</c:v>
                </c:pt>
                <c:pt idx="80">
                  <c:v>79.36088403185897</c:v>
                </c:pt>
                <c:pt idx="81">
                  <c:v>79.37893322889272</c:v>
                </c:pt>
                <c:pt idx="82">
                  <c:v>79.39571582381707</c:v>
                </c:pt>
                <c:pt idx="83">
                  <c:v>79.40895174567555</c:v>
                </c:pt>
                <c:pt idx="84">
                  <c:v>79.4238346713852</c:v>
                </c:pt>
                <c:pt idx="85">
                  <c:v>79.43745099498542</c:v>
                </c:pt>
                <c:pt idx="86">
                  <c:v>79.45195398685213</c:v>
                </c:pt>
                <c:pt idx="87">
                  <c:v>79.47260002234439</c:v>
                </c:pt>
                <c:pt idx="88">
                  <c:v>79.49242255591107</c:v>
                </c:pt>
                <c:pt idx="89">
                  <c:v>79.51097848736834</c:v>
                </c:pt>
                <c:pt idx="90">
                  <c:v>79.52940761824504</c:v>
                </c:pt>
                <c:pt idx="91">
                  <c:v>79.54967371989437</c:v>
                </c:pt>
                <c:pt idx="92">
                  <c:v>79.57215672615928</c:v>
                </c:pt>
                <c:pt idx="93">
                  <c:v>79.59324632973418</c:v>
                </c:pt>
                <c:pt idx="94">
                  <c:v>79.61243579619558</c:v>
                </c:pt>
                <c:pt idx="95">
                  <c:v>79.6320683628408</c:v>
                </c:pt>
                <c:pt idx="96">
                  <c:v>79.6534758277318</c:v>
                </c:pt>
              </c:numCache>
            </c:numRef>
          </c:yVal>
          <c:smooth val="0"/>
        </c:ser>
        <c:ser>
          <c:idx val="1"/>
          <c:order val="5"/>
          <c:tx>
            <c:v>CO2</c:v>
          </c:tx>
          <c:spPr>
            <a:ln>
              <a:solidFill>
                <a:srgbClr val="51BBFF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0.0454640342052314</c:v>
                </c:pt>
                <c:pt idx="2">
                  <c:v>0.155120409959759</c:v>
                </c:pt>
                <c:pt idx="3">
                  <c:v>0.291318221830986</c:v>
                </c:pt>
                <c:pt idx="4">
                  <c:v>0.441443976358149</c:v>
                </c:pt>
                <c:pt idx="5">
                  <c:v>0.604640656438632</c:v>
                </c:pt>
                <c:pt idx="6">
                  <c:v>0.781607991765653</c:v>
                </c:pt>
                <c:pt idx="7">
                  <c:v>0.970204560988415</c:v>
                </c:pt>
                <c:pt idx="8">
                  <c:v>1.167119246970372</c:v>
                </c:pt>
                <c:pt idx="9">
                  <c:v>1.37212336737287</c:v>
                </c:pt>
                <c:pt idx="10">
                  <c:v>1.585940703424223</c:v>
                </c:pt>
                <c:pt idx="11">
                  <c:v>1.806139350197297</c:v>
                </c:pt>
                <c:pt idx="12">
                  <c:v>2.041009785139309</c:v>
                </c:pt>
                <c:pt idx="13">
                  <c:v>2.293188186469287</c:v>
                </c:pt>
                <c:pt idx="14">
                  <c:v>2.559410890459222</c:v>
                </c:pt>
                <c:pt idx="15">
                  <c:v>2.845629438266555</c:v>
                </c:pt>
                <c:pt idx="16">
                  <c:v>3.159192859366483</c:v>
                </c:pt>
                <c:pt idx="17">
                  <c:v>3.503967077554836</c:v>
                </c:pt>
                <c:pt idx="18">
                  <c:v>3.891845142682088</c:v>
                </c:pt>
                <c:pt idx="19">
                  <c:v>4.350600010004947</c:v>
                </c:pt>
                <c:pt idx="20">
                  <c:v>4.897399889207147</c:v>
                </c:pt>
                <c:pt idx="21">
                  <c:v>5.501348514063165</c:v>
                </c:pt>
                <c:pt idx="22">
                  <c:v>6.130785826151765</c:v>
                </c:pt>
                <c:pt idx="23">
                  <c:v>6.810576923460808</c:v>
                </c:pt>
                <c:pt idx="24">
                  <c:v>7.594371464529901</c:v>
                </c:pt>
                <c:pt idx="25">
                  <c:v>8.504361611352884</c:v>
                </c:pt>
                <c:pt idx="26">
                  <c:v>9.534989745512039</c:v>
                </c:pt>
                <c:pt idx="27">
                  <c:v>10.69227244887984</c:v>
                </c:pt>
                <c:pt idx="28">
                  <c:v>11.96651225007433</c:v>
                </c:pt>
                <c:pt idx="29">
                  <c:v>13.31499589216912</c:v>
                </c:pt>
                <c:pt idx="30">
                  <c:v>14.7323515149158</c:v>
                </c:pt>
                <c:pt idx="31">
                  <c:v>16.22892027423792</c:v>
                </c:pt>
                <c:pt idx="32">
                  <c:v>17.79717493331654</c:v>
                </c:pt>
                <c:pt idx="33">
                  <c:v>19.45923038234591</c:v>
                </c:pt>
                <c:pt idx="34">
                  <c:v>21.22874621328015</c:v>
                </c:pt>
                <c:pt idx="35">
                  <c:v>23.08810028761776</c:v>
                </c:pt>
                <c:pt idx="36">
                  <c:v>25.07879105585492</c:v>
                </c:pt>
                <c:pt idx="37">
                  <c:v>27.22324287810178</c:v>
                </c:pt>
                <c:pt idx="38">
                  <c:v>29.48549229047603</c:v>
                </c:pt>
                <c:pt idx="39">
                  <c:v>31.88751421476591</c:v>
                </c:pt>
                <c:pt idx="40">
                  <c:v>34.4259959833633</c:v>
                </c:pt>
                <c:pt idx="41">
                  <c:v>37.04656929848611</c:v>
                </c:pt>
                <c:pt idx="42">
                  <c:v>39.81497237237184</c:v>
                </c:pt>
                <c:pt idx="43">
                  <c:v>42.74246515437527</c:v>
                </c:pt>
                <c:pt idx="44">
                  <c:v>45.77088972892943</c:v>
                </c:pt>
                <c:pt idx="45">
                  <c:v>48.87834221760061</c:v>
                </c:pt>
                <c:pt idx="46">
                  <c:v>52.01237490791539</c:v>
                </c:pt>
                <c:pt idx="47">
                  <c:v>55.18874898157244</c:v>
                </c:pt>
                <c:pt idx="48">
                  <c:v>58.42538859884443</c:v>
                </c:pt>
                <c:pt idx="49">
                  <c:v>61.6713410339394</c:v>
                </c:pt>
                <c:pt idx="50">
                  <c:v>64.84580243595684</c:v>
                </c:pt>
                <c:pt idx="51">
                  <c:v>67.70133532710467</c:v>
                </c:pt>
                <c:pt idx="52">
                  <c:v>70.10133508561551</c:v>
                </c:pt>
                <c:pt idx="53">
                  <c:v>72.15507702866709</c:v>
                </c:pt>
                <c:pt idx="54">
                  <c:v>73.84939646017612</c:v>
                </c:pt>
                <c:pt idx="55">
                  <c:v>75.29103475288933</c:v>
                </c:pt>
                <c:pt idx="56">
                  <c:v>76.60582423740786</c:v>
                </c:pt>
                <c:pt idx="57">
                  <c:v>77.72683473177622</c:v>
                </c:pt>
                <c:pt idx="58">
                  <c:v>78.64660216426854</c:v>
                </c:pt>
                <c:pt idx="59">
                  <c:v>79.41058552050846</c:v>
                </c:pt>
                <c:pt idx="60">
                  <c:v>80.04429859500372</c:v>
                </c:pt>
                <c:pt idx="61">
                  <c:v>80.56510039659469</c:v>
                </c:pt>
                <c:pt idx="62">
                  <c:v>80.99060758473447</c:v>
                </c:pt>
                <c:pt idx="63">
                  <c:v>81.34254283010331</c:v>
                </c:pt>
                <c:pt idx="64">
                  <c:v>81.63333258959871</c:v>
                </c:pt>
                <c:pt idx="65">
                  <c:v>81.87454238628692</c:v>
                </c:pt>
                <c:pt idx="66">
                  <c:v>82.07465475790027</c:v>
                </c:pt>
                <c:pt idx="67">
                  <c:v>82.24003921109388</c:v>
                </c:pt>
                <c:pt idx="68">
                  <c:v>82.37680697237346</c:v>
                </c:pt>
                <c:pt idx="69">
                  <c:v>82.4892856379377</c:v>
                </c:pt>
                <c:pt idx="70">
                  <c:v>82.58356303935123</c:v>
                </c:pt>
                <c:pt idx="71">
                  <c:v>82.66277690611008</c:v>
                </c:pt>
                <c:pt idx="72">
                  <c:v>82.72789766036973</c:v>
                </c:pt>
                <c:pt idx="73">
                  <c:v>82.78146833222425</c:v>
                </c:pt>
                <c:pt idx="74">
                  <c:v>82.82622800137384</c:v>
                </c:pt>
                <c:pt idx="75">
                  <c:v>82.86407025434853</c:v>
                </c:pt>
                <c:pt idx="76">
                  <c:v>82.89596551330381</c:v>
                </c:pt>
                <c:pt idx="77">
                  <c:v>82.92305638716141</c:v>
                </c:pt>
                <c:pt idx="78">
                  <c:v>82.9465711103274</c:v>
                </c:pt>
                <c:pt idx="79">
                  <c:v>82.9670337294817</c:v>
                </c:pt>
                <c:pt idx="80">
                  <c:v>82.9846089450094</c:v>
                </c:pt>
                <c:pt idx="81">
                  <c:v>82.99998550397558</c:v>
                </c:pt>
                <c:pt idx="82">
                  <c:v>83.00730203784511</c:v>
                </c:pt>
                <c:pt idx="83">
                  <c:v>83.00730203784511</c:v>
                </c:pt>
                <c:pt idx="84">
                  <c:v>83.00730203784511</c:v>
                </c:pt>
                <c:pt idx="85">
                  <c:v>83.00730203784511</c:v>
                </c:pt>
                <c:pt idx="86">
                  <c:v>83.00730203784511</c:v>
                </c:pt>
                <c:pt idx="87">
                  <c:v>83.00730203784511</c:v>
                </c:pt>
                <c:pt idx="88">
                  <c:v>83.00730203784511</c:v>
                </c:pt>
                <c:pt idx="89">
                  <c:v>83.00730203784511</c:v>
                </c:pt>
                <c:pt idx="90">
                  <c:v>83.00730203784511</c:v>
                </c:pt>
                <c:pt idx="91">
                  <c:v>83.00730203784511</c:v>
                </c:pt>
                <c:pt idx="92">
                  <c:v>83.00730203784511</c:v>
                </c:pt>
                <c:pt idx="93">
                  <c:v>83.00730203784511</c:v>
                </c:pt>
                <c:pt idx="94">
                  <c:v>83.00730203784511</c:v>
                </c:pt>
                <c:pt idx="95">
                  <c:v>83.00730203784511</c:v>
                </c:pt>
                <c:pt idx="96">
                  <c:v>83.00730203784511</c:v>
                </c:pt>
              </c:numCache>
            </c:numRef>
          </c:yVal>
          <c:smooth val="0"/>
        </c:ser>
        <c:ser>
          <c:idx val="3"/>
          <c:order val="6"/>
          <c:tx>
            <c:v>lactic acid</c:v>
          </c:tx>
          <c:spPr>
            <a:ln>
              <a:solidFill>
                <a:srgbClr val="4948F0"/>
              </a:solidFill>
            </a:ln>
          </c:spPr>
          <c:marker>
            <c:symbol val="triangle"/>
            <c:size val="8"/>
            <c:spPr>
              <a:solidFill>
                <a:srgbClr val="4948F0"/>
              </a:solidFill>
              <a:ln>
                <a:solidFill>
                  <a:srgbClr val="4948F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Metabolites!$L$4:$L$15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89624"/>
        <c:axId val="2141477176"/>
      </c:scatterChart>
      <c:scatterChart>
        <c:scatterStyle val="lineMarker"/>
        <c:varyColors val="0"/>
        <c:ser>
          <c:idx val="8"/>
          <c:order val="2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32802.0</c:v>
                </c:pt>
                <c:pt idx="1">
                  <c:v>3874.0</c:v>
                </c:pt>
                <c:pt idx="2">
                  <c:v>10247.0</c:v>
                </c:pt>
                <c:pt idx="3">
                  <c:v>45906.0</c:v>
                </c:pt>
                <c:pt idx="4">
                  <c:v>6996.0</c:v>
                </c:pt>
                <c:pt idx="5">
                  <c:v>8029.0</c:v>
                </c:pt>
                <c:pt idx="6">
                  <c:v>9926.0</c:v>
                </c:pt>
                <c:pt idx="7">
                  <c:v>13016.0</c:v>
                </c:pt>
                <c:pt idx="8">
                  <c:v>13074.0</c:v>
                </c:pt>
                <c:pt idx="9">
                  <c:v>9954.0</c:v>
                </c:pt>
              </c:numCache>
            </c:numRef>
          </c:yVal>
          <c:smooth val="0"/>
        </c:ser>
        <c:ser>
          <c:idx val="9"/>
          <c:order val="3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cytometer'!$X$4:$X$15</c:f>
                <c:numCache>
                  <c:formatCode>General</c:formatCode>
                  <c:ptCount val="12"/>
                  <c:pt idx="0">
                    <c:v>0.0202198050492257</c:v>
                  </c:pt>
                  <c:pt idx="1">
                    <c:v>0.00211961696995326</c:v>
                  </c:pt>
                  <c:pt idx="2">
                    <c:v>0.00753644605733627</c:v>
                  </c:pt>
                  <c:pt idx="3">
                    <c:v>0.011687875954261</c:v>
                  </c:pt>
                  <c:pt idx="4">
                    <c:v>0.00934273728278014</c:v>
                  </c:pt>
                  <c:pt idx="5">
                    <c:v>0.0142551311312897</c:v>
                  </c:pt>
                  <c:pt idx="6">
                    <c:v>0.019071401329536</c:v>
                  </c:pt>
                  <c:pt idx="7">
                    <c:v>0.010796394498938</c:v>
                  </c:pt>
                  <c:pt idx="8">
                    <c:v>0.0188096393317255</c:v>
                  </c:pt>
                  <c:pt idx="9">
                    <c:v>0.0147359573401994</c:v>
                  </c:pt>
                  <c:pt idx="10">
                    <c:v>0.00189476198933417</c:v>
                  </c:pt>
                  <c:pt idx="11">
                    <c:v>0.0367448711680645</c:v>
                  </c:pt>
                </c:numCache>
              </c:numRef>
            </c:plus>
            <c:minus>
              <c:numRef>
                <c:f>'Flow cytometer'!$X$4:$X$15</c:f>
                <c:numCache>
                  <c:formatCode>General</c:formatCode>
                  <c:ptCount val="12"/>
                  <c:pt idx="0">
                    <c:v>0.0202198050492257</c:v>
                  </c:pt>
                  <c:pt idx="1">
                    <c:v>0.00211961696995326</c:v>
                  </c:pt>
                  <c:pt idx="2">
                    <c:v>0.00753644605733627</c:v>
                  </c:pt>
                  <c:pt idx="3">
                    <c:v>0.011687875954261</c:v>
                  </c:pt>
                  <c:pt idx="4">
                    <c:v>0.00934273728278014</c:v>
                  </c:pt>
                  <c:pt idx="5">
                    <c:v>0.0142551311312897</c:v>
                  </c:pt>
                  <c:pt idx="6">
                    <c:v>0.019071401329536</c:v>
                  </c:pt>
                  <c:pt idx="7">
                    <c:v>0.010796394498938</c:v>
                  </c:pt>
                  <c:pt idx="8">
                    <c:v>0.0188096393317255</c:v>
                  </c:pt>
                  <c:pt idx="9">
                    <c:v>0.0147359573401994</c:v>
                  </c:pt>
                  <c:pt idx="10">
                    <c:v>0.00189476198933417</c:v>
                  </c:pt>
                  <c:pt idx="11">
                    <c:v>0.0367448711680645</c:v>
                  </c:pt>
                </c:numCache>
              </c:numRef>
            </c:minus>
          </c:errBars>
          <c:xVal>
            <c:numRef>
              <c:f>'Flow cytometer'!$D$4:$D$15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'Flow cytometer'!$S$4:$S$15</c:f>
              <c:numCache>
                <c:formatCode>0.00</c:formatCode>
                <c:ptCount val="12"/>
                <c:pt idx="0">
                  <c:v>7.686628354358342</c:v>
                </c:pt>
                <c:pt idx="1">
                  <c:v>7.753786535465823</c:v>
                </c:pt>
                <c:pt idx="2">
                  <c:v>8.17888983313558</c:v>
                </c:pt>
                <c:pt idx="3">
                  <c:v>8.81336651313701</c:v>
                </c:pt>
                <c:pt idx="4">
                  <c:v>9.009015668184507</c:v>
                </c:pt>
                <c:pt idx="5">
                  <c:v>9.063770871669328</c:v>
                </c:pt>
                <c:pt idx="6">
                  <c:v>9.158880314066816</c:v>
                </c:pt>
                <c:pt idx="7">
                  <c:v>9.283231749308337</c:v>
                </c:pt>
                <c:pt idx="8">
                  <c:v>9.301766875854054</c:v>
                </c:pt>
                <c:pt idx="9">
                  <c:v>9.194145344328833</c:v>
                </c:pt>
                <c:pt idx="10">
                  <c:v>9.34577607194651</c:v>
                </c:pt>
                <c:pt idx="11">
                  <c:v>9.48612421762451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40904"/>
        <c:axId val="2138173816"/>
      </c:scatterChart>
      <c:valAx>
        <c:axId val="213588962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41477176"/>
        <c:crosses val="autoZero"/>
        <c:crossBetween val="midCat"/>
        <c:majorUnit val="6.0"/>
      </c:valAx>
      <c:valAx>
        <c:axId val="2141477176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5889624"/>
        <c:crosses val="autoZero"/>
        <c:crossBetween val="midCat"/>
      </c:valAx>
      <c:valAx>
        <c:axId val="2138173816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35540904"/>
        <c:crosses val="max"/>
        <c:crossBetween val="midCat"/>
        <c:majorUnit val="1.0"/>
        <c:minorUnit val="0.2"/>
      </c:valAx>
      <c:valAx>
        <c:axId val="21355409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1381738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2"/>
          <c:order val="0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Metabolites!$Q$4:$Q$15</c:f>
                <c:numCache>
                  <c:formatCode>General</c:formatCode>
                  <c:ptCount val="12"/>
                  <c:pt idx="0">
                    <c:v>0.138662181479842</c:v>
                  </c:pt>
                  <c:pt idx="1">
                    <c:v>0.173060863370743</c:v>
                  </c:pt>
                  <c:pt idx="2">
                    <c:v>0.17091095551863</c:v>
                  </c:pt>
                  <c:pt idx="3">
                    <c:v>0.384374802253377</c:v>
                  </c:pt>
                  <c:pt idx="4">
                    <c:v>0.735014840315429</c:v>
                  </c:pt>
                  <c:pt idx="5">
                    <c:v>0.252793755416164</c:v>
                  </c:pt>
                  <c:pt idx="6">
                    <c:v>0.426661076382649</c:v>
                  </c:pt>
                  <c:pt idx="7">
                    <c:v>3.823086513464583</c:v>
                  </c:pt>
                  <c:pt idx="8">
                    <c:v>1.655744514035874</c:v>
                  </c:pt>
                  <c:pt idx="9">
                    <c:v>0.158617734564841</c:v>
                  </c:pt>
                  <c:pt idx="10">
                    <c:v>1.072205917349784</c:v>
                  </c:pt>
                  <c:pt idx="11">
                    <c:v>1.177717281636375</c:v>
                  </c:pt>
                </c:numCache>
              </c:numRef>
            </c:plus>
            <c:minus>
              <c:numRef>
                <c:f>Metabolites!$Q$4:$Q$15</c:f>
                <c:numCache>
                  <c:formatCode>General</c:formatCode>
                  <c:ptCount val="12"/>
                  <c:pt idx="0">
                    <c:v>0.138662181479842</c:v>
                  </c:pt>
                  <c:pt idx="1">
                    <c:v>0.173060863370743</c:v>
                  </c:pt>
                  <c:pt idx="2">
                    <c:v>0.17091095551863</c:v>
                  </c:pt>
                  <c:pt idx="3">
                    <c:v>0.384374802253377</c:v>
                  </c:pt>
                  <c:pt idx="4">
                    <c:v>0.735014840315429</c:v>
                  </c:pt>
                  <c:pt idx="5">
                    <c:v>0.252793755416164</c:v>
                  </c:pt>
                  <c:pt idx="6">
                    <c:v>0.426661076382649</c:v>
                  </c:pt>
                  <c:pt idx="7">
                    <c:v>3.823086513464583</c:v>
                  </c:pt>
                  <c:pt idx="8">
                    <c:v>1.655744514035874</c:v>
                  </c:pt>
                  <c:pt idx="9">
                    <c:v>0.158617734564841</c:v>
                  </c:pt>
                  <c:pt idx="10">
                    <c:v>1.072205917349784</c:v>
                  </c:pt>
                  <c:pt idx="11">
                    <c:v>1.177717281636375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Metabolites!$P$4:$P$15</c:f>
              <c:numCache>
                <c:formatCode>0</c:formatCode>
                <c:ptCount val="12"/>
                <c:pt idx="0">
                  <c:v>51.44601720788232</c:v>
                </c:pt>
                <c:pt idx="1">
                  <c:v>51.65695253955038</c:v>
                </c:pt>
                <c:pt idx="2">
                  <c:v>52.5451013044685</c:v>
                </c:pt>
                <c:pt idx="3">
                  <c:v>56.49354030998611</c:v>
                </c:pt>
                <c:pt idx="4">
                  <c:v>59.13768241299039</c:v>
                </c:pt>
                <c:pt idx="5">
                  <c:v>63.08263304147131</c:v>
                </c:pt>
                <c:pt idx="6">
                  <c:v>68.85101288169948</c:v>
                </c:pt>
                <c:pt idx="7">
                  <c:v>75.29645446795888</c:v>
                </c:pt>
                <c:pt idx="8">
                  <c:v>88.83929378801283</c:v>
                </c:pt>
                <c:pt idx="9">
                  <c:v>93.24803459068778</c:v>
                </c:pt>
                <c:pt idx="10">
                  <c:v>93.86169103716023</c:v>
                </c:pt>
                <c:pt idx="11">
                  <c:v>94.58630125470732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C02FA"/>
              </a:solidFill>
            </a:ln>
          </c:spPr>
          <c:marker>
            <c:symbol val="triangle"/>
            <c:size val="8"/>
            <c:spPr>
              <a:solidFill>
                <a:srgbClr val="DC02FA"/>
              </a:solidFill>
              <a:ln>
                <a:solidFill>
                  <a:srgbClr val="DC02F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Metabolites!$U$4:$U$15</c:f>
                <c:numCache>
                  <c:formatCode>General</c:formatCode>
                  <c:ptCount val="12"/>
                  <c:pt idx="0">
                    <c:v>0.394254691543673</c:v>
                  </c:pt>
                  <c:pt idx="1">
                    <c:v>0.554731494017115</c:v>
                  </c:pt>
                  <c:pt idx="2">
                    <c:v>0.389436734296439</c:v>
                  </c:pt>
                  <c:pt idx="3">
                    <c:v>1.035363034891825</c:v>
                  </c:pt>
                  <c:pt idx="4">
                    <c:v>1.42385586716312</c:v>
                  </c:pt>
                  <c:pt idx="5">
                    <c:v>0.396359069292263</c:v>
                  </c:pt>
                  <c:pt idx="6">
                    <c:v>0.520743156491996</c:v>
                  </c:pt>
                  <c:pt idx="7">
                    <c:v>2.322727789091102</c:v>
                  </c:pt>
                  <c:pt idx="8">
                    <c:v>0.0934277482748827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Metabolites!$U$4:$U$15</c:f>
                <c:numCache>
                  <c:formatCode>General</c:formatCode>
                  <c:ptCount val="12"/>
                  <c:pt idx="0">
                    <c:v>0.394254691543673</c:v>
                  </c:pt>
                  <c:pt idx="1">
                    <c:v>0.554731494017115</c:v>
                  </c:pt>
                  <c:pt idx="2">
                    <c:v>0.389436734296439</c:v>
                  </c:pt>
                  <c:pt idx="3">
                    <c:v>1.035363034891825</c:v>
                  </c:pt>
                  <c:pt idx="4">
                    <c:v>1.42385586716312</c:v>
                  </c:pt>
                  <c:pt idx="5">
                    <c:v>0.396359069292263</c:v>
                  </c:pt>
                  <c:pt idx="6">
                    <c:v>0.520743156491996</c:v>
                  </c:pt>
                  <c:pt idx="7">
                    <c:v>2.322727789091102</c:v>
                  </c:pt>
                  <c:pt idx="8">
                    <c:v>0.0934277482748827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Metabolites!$T$4:$T$15</c:f>
              <c:numCache>
                <c:formatCode>0</c:formatCode>
                <c:ptCount val="12"/>
                <c:pt idx="0">
                  <c:v>140.3142877833297</c:v>
                </c:pt>
                <c:pt idx="1">
                  <c:v>139.4308059960895</c:v>
                </c:pt>
                <c:pt idx="2">
                  <c:v>137.3741762618582</c:v>
                </c:pt>
                <c:pt idx="3">
                  <c:v>134.1828610822217</c:v>
                </c:pt>
                <c:pt idx="4">
                  <c:v>124.9068801908173</c:v>
                </c:pt>
                <c:pt idx="5">
                  <c:v>108.4037729854285</c:v>
                </c:pt>
                <c:pt idx="6">
                  <c:v>83.72634483270947</c:v>
                </c:pt>
                <c:pt idx="7">
                  <c:v>44.47283055173556</c:v>
                </c:pt>
                <c:pt idx="8">
                  <c:v>5.58023399134292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0"/>
          <c:order val="4"/>
          <c:tx>
            <c:v>H2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0.187701521629779</c:v>
                </c:pt>
                <c:pt idx="2">
                  <c:v>0.803060865191147</c:v>
                </c:pt>
                <c:pt idx="3">
                  <c:v>1.642291561871227</c:v>
                </c:pt>
                <c:pt idx="4">
                  <c:v>2.48543731136821</c:v>
                </c:pt>
                <c:pt idx="5">
                  <c:v>3.369901911468813</c:v>
                </c:pt>
                <c:pt idx="6">
                  <c:v>4.29316100323314</c:v>
                </c:pt>
                <c:pt idx="7">
                  <c:v>5.216064043656456</c:v>
                </c:pt>
                <c:pt idx="8">
                  <c:v>6.129148707084631</c:v>
                </c:pt>
                <c:pt idx="9">
                  <c:v>7.060021148097817</c:v>
                </c:pt>
                <c:pt idx="10">
                  <c:v>7.998774834773736</c:v>
                </c:pt>
                <c:pt idx="11">
                  <c:v>8.956681236578038</c:v>
                </c:pt>
                <c:pt idx="12">
                  <c:v>9.979956828176726</c:v>
                </c:pt>
                <c:pt idx="13">
                  <c:v>11.0602813474075</c:v>
                </c:pt>
                <c:pt idx="14">
                  <c:v>12.16879422034064</c:v>
                </c:pt>
                <c:pt idx="15">
                  <c:v>13.3291681644456</c:v>
                </c:pt>
                <c:pt idx="16">
                  <c:v>14.57123367486976</c:v>
                </c:pt>
                <c:pt idx="17">
                  <c:v>15.85740616768068</c:v>
                </c:pt>
                <c:pt idx="18">
                  <c:v>17.31680052865164</c:v>
                </c:pt>
                <c:pt idx="19">
                  <c:v>19.0211285267488</c:v>
                </c:pt>
                <c:pt idx="20">
                  <c:v>20.87788468489771</c:v>
                </c:pt>
                <c:pt idx="21">
                  <c:v>22.67752174229538</c:v>
                </c:pt>
                <c:pt idx="22">
                  <c:v>24.56779442729373</c:v>
                </c:pt>
                <c:pt idx="23">
                  <c:v>27.13844831754412</c:v>
                </c:pt>
                <c:pt idx="24">
                  <c:v>30.93465999506395</c:v>
                </c:pt>
                <c:pt idx="25">
                  <c:v>35.29046717169393</c:v>
                </c:pt>
                <c:pt idx="26">
                  <c:v>39.46390523506837</c:v>
                </c:pt>
                <c:pt idx="27">
                  <c:v>43.62200740146775</c:v>
                </c:pt>
                <c:pt idx="28">
                  <c:v>47.67085415670748</c:v>
                </c:pt>
                <c:pt idx="29">
                  <c:v>51.49860145112766</c:v>
                </c:pt>
                <c:pt idx="30">
                  <c:v>55.08278116994664</c:v>
                </c:pt>
                <c:pt idx="31">
                  <c:v>58.43168111743739</c:v>
                </c:pt>
                <c:pt idx="32">
                  <c:v>61.44468621762663</c:v>
                </c:pt>
                <c:pt idx="33">
                  <c:v>64.18174360596513</c:v>
                </c:pt>
                <c:pt idx="34">
                  <c:v>66.68729536877223</c:v>
                </c:pt>
                <c:pt idx="35">
                  <c:v>68.90114214070394</c:v>
                </c:pt>
                <c:pt idx="36">
                  <c:v>70.86855903541161</c:v>
                </c:pt>
                <c:pt idx="37">
                  <c:v>72.58216443076237</c:v>
                </c:pt>
                <c:pt idx="38">
                  <c:v>73.98265690326693</c:v>
                </c:pt>
                <c:pt idx="39">
                  <c:v>75.09884528098207</c:v>
                </c:pt>
                <c:pt idx="40">
                  <c:v>75.95459677278558</c:v>
                </c:pt>
                <c:pt idx="41">
                  <c:v>76.59028599592808</c:v>
                </c:pt>
                <c:pt idx="42">
                  <c:v>77.08842005941271</c:v>
                </c:pt>
                <c:pt idx="43">
                  <c:v>77.4994385112044</c:v>
                </c:pt>
                <c:pt idx="44">
                  <c:v>77.84634847616557</c:v>
                </c:pt>
                <c:pt idx="45">
                  <c:v>78.14727811368624</c:v>
                </c:pt>
                <c:pt idx="46">
                  <c:v>78.40475471630486</c:v>
                </c:pt>
                <c:pt idx="47">
                  <c:v>78.62322813714354</c:v>
                </c:pt>
                <c:pt idx="48">
                  <c:v>78.8087675444483</c:v>
                </c:pt>
                <c:pt idx="49">
                  <c:v>78.95616785734897</c:v>
                </c:pt>
                <c:pt idx="50">
                  <c:v>79.0420987145687</c:v>
                </c:pt>
                <c:pt idx="51">
                  <c:v>79.0725181254415</c:v>
                </c:pt>
                <c:pt idx="52">
                  <c:v>79.08145492782044</c:v>
                </c:pt>
                <c:pt idx="53">
                  <c:v>79.08586597941378</c:v>
                </c:pt>
                <c:pt idx="54">
                  <c:v>79.08935108562913</c:v>
                </c:pt>
                <c:pt idx="55">
                  <c:v>79.09289749667165</c:v>
                </c:pt>
                <c:pt idx="56">
                  <c:v>79.09854750765263</c:v>
                </c:pt>
                <c:pt idx="57">
                  <c:v>79.10750323911952</c:v>
                </c:pt>
                <c:pt idx="58">
                  <c:v>79.12060666394194</c:v>
                </c:pt>
                <c:pt idx="59">
                  <c:v>79.13310925052988</c:v>
                </c:pt>
                <c:pt idx="60">
                  <c:v>79.14568519854866</c:v>
                </c:pt>
                <c:pt idx="61">
                  <c:v>79.1599982234939</c:v>
                </c:pt>
                <c:pt idx="62">
                  <c:v>79.17450121536061</c:v>
                </c:pt>
                <c:pt idx="63">
                  <c:v>79.18678730261173</c:v>
                </c:pt>
                <c:pt idx="64">
                  <c:v>79.19445008160906</c:v>
                </c:pt>
                <c:pt idx="65">
                  <c:v>79.20046632465404</c:v>
                </c:pt>
                <c:pt idx="66">
                  <c:v>79.20774916980842</c:v>
                </c:pt>
                <c:pt idx="67">
                  <c:v>79.21547558304544</c:v>
                </c:pt>
                <c:pt idx="68">
                  <c:v>79.21902225611131</c:v>
                </c:pt>
                <c:pt idx="69">
                  <c:v>79.22453223263159</c:v>
                </c:pt>
                <c:pt idx="70">
                  <c:v>79.23713508738477</c:v>
                </c:pt>
                <c:pt idx="71">
                  <c:v>79.24992790905942</c:v>
                </c:pt>
                <c:pt idx="72">
                  <c:v>79.2619608630482</c:v>
                </c:pt>
                <c:pt idx="73">
                  <c:v>79.27266358068786</c:v>
                </c:pt>
                <c:pt idx="74">
                  <c:v>79.28304999872429</c:v>
                </c:pt>
                <c:pt idx="75">
                  <c:v>79.29660315598364</c:v>
                </c:pt>
                <c:pt idx="76">
                  <c:v>79.31173921495565</c:v>
                </c:pt>
                <c:pt idx="77">
                  <c:v>79.31933882761209</c:v>
                </c:pt>
                <c:pt idx="78">
                  <c:v>79.32769877585322</c:v>
                </c:pt>
                <c:pt idx="79">
                  <c:v>79.34384830367227</c:v>
                </c:pt>
                <c:pt idx="80">
                  <c:v>79.36088403185897</c:v>
                </c:pt>
                <c:pt idx="81">
                  <c:v>79.37893322889272</c:v>
                </c:pt>
                <c:pt idx="82">
                  <c:v>79.39571582381707</c:v>
                </c:pt>
                <c:pt idx="83">
                  <c:v>79.40895174567555</c:v>
                </c:pt>
                <c:pt idx="84">
                  <c:v>79.4238346713852</c:v>
                </c:pt>
                <c:pt idx="85">
                  <c:v>79.43745099498542</c:v>
                </c:pt>
                <c:pt idx="86">
                  <c:v>79.45195398685213</c:v>
                </c:pt>
                <c:pt idx="87">
                  <c:v>79.47260002234439</c:v>
                </c:pt>
                <c:pt idx="88">
                  <c:v>79.49242255591107</c:v>
                </c:pt>
                <c:pt idx="89">
                  <c:v>79.51097848736834</c:v>
                </c:pt>
                <c:pt idx="90">
                  <c:v>79.52940761824504</c:v>
                </c:pt>
                <c:pt idx="91">
                  <c:v>79.54967371989437</c:v>
                </c:pt>
                <c:pt idx="92">
                  <c:v>79.57215672615928</c:v>
                </c:pt>
                <c:pt idx="93">
                  <c:v>79.59324632973418</c:v>
                </c:pt>
                <c:pt idx="94">
                  <c:v>79.61243579619558</c:v>
                </c:pt>
                <c:pt idx="95">
                  <c:v>79.6320683628408</c:v>
                </c:pt>
                <c:pt idx="96">
                  <c:v>79.6534758277318</c:v>
                </c:pt>
              </c:numCache>
            </c:numRef>
          </c:yVal>
          <c:smooth val="0"/>
        </c:ser>
        <c:ser>
          <c:idx val="1"/>
          <c:order val="5"/>
          <c:tx>
            <c:v>CO2</c:v>
          </c:tx>
          <c:spPr>
            <a:ln>
              <a:solidFill>
                <a:srgbClr val="51BBFF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0.0454640342052314</c:v>
                </c:pt>
                <c:pt idx="2">
                  <c:v>0.155120409959759</c:v>
                </c:pt>
                <c:pt idx="3">
                  <c:v>0.291318221830986</c:v>
                </c:pt>
                <c:pt idx="4">
                  <c:v>0.441443976358149</c:v>
                </c:pt>
                <c:pt idx="5">
                  <c:v>0.604640656438632</c:v>
                </c:pt>
                <c:pt idx="6">
                  <c:v>0.781607991765653</c:v>
                </c:pt>
                <c:pt idx="7">
                  <c:v>0.970204560988415</c:v>
                </c:pt>
                <c:pt idx="8">
                  <c:v>1.167119246970372</c:v>
                </c:pt>
                <c:pt idx="9">
                  <c:v>1.37212336737287</c:v>
                </c:pt>
                <c:pt idx="10">
                  <c:v>1.585940703424223</c:v>
                </c:pt>
                <c:pt idx="11">
                  <c:v>1.806139350197297</c:v>
                </c:pt>
                <c:pt idx="12">
                  <c:v>2.041009785139309</c:v>
                </c:pt>
                <c:pt idx="13">
                  <c:v>2.293188186469287</c:v>
                </c:pt>
                <c:pt idx="14">
                  <c:v>2.559410890459222</c:v>
                </c:pt>
                <c:pt idx="15">
                  <c:v>2.845629438266555</c:v>
                </c:pt>
                <c:pt idx="16">
                  <c:v>3.159192859366483</c:v>
                </c:pt>
                <c:pt idx="17">
                  <c:v>3.503967077554836</c:v>
                </c:pt>
                <c:pt idx="18">
                  <c:v>3.891845142682088</c:v>
                </c:pt>
                <c:pt idx="19">
                  <c:v>4.350600010004947</c:v>
                </c:pt>
                <c:pt idx="20">
                  <c:v>4.897399889207147</c:v>
                </c:pt>
                <c:pt idx="21">
                  <c:v>5.501348514063165</c:v>
                </c:pt>
                <c:pt idx="22">
                  <c:v>6.130785826151765</c:v>
                </c:pt>
                <c:pt idx="23">
                  <c:v>6.810576923460808</c:v>
                </c:pt>
                <c:pt idx="24">
                  <c:v>7.594371464529901</c:v>
                </c:pt>
                <c:pt idx="25">
                  <c:v>8.504361611352884</c:v>
                </c:pt>
                <c:pt idx="26">
                  <c:v>9.534989745512039</c:v>
                </c:pt>
                <c:pt idx="27">
                  <c:v>10.69227244887984</c:v>
                </c:pt>
                <c:pt idx="28">
                  <c:v>11.96651225007433</c:v>
                </c:pt>
                <c:pt idx="29">
                  <c:v>13.31499589216912</c:v>
                </c:pt>
                <c:pt idx="30">
                  <c:v>14.7323515149158</c:v>
                </c:pt>
                <c:pt idx="31">
                  <c:v>16.22892027423792</c:v>
                </c:pt>
                <c:pt idx="32">
                  <c:v>17.79717493331654</c:v>
                </c:pt>
                <c:pt idx="33">
                  <c:v>19.45923038234591</c:v>
                </c:pt>
                <c:pt idx="34">
                  <c:v>21.22874621328015</c:v>
                </c:pt>
                <c:pt idx="35">
                  <c:v>23.08810028761776</c:v>
                </c:pt>
                <c:pt idx="36">
                  <c:v>25.07879105585492</c:v>
                </c:pt>
                <c:pt idx="37">
                  <c:v>27.22324287810178</c:v>
                </c:pt>
                <c:pt idx="38">
                  <c:v>29.48549229047603</c:v>
                </c:pt>
                <c:pt idx="39">
                  <c:v>31.88751421476591</c:v>
                </c:pt>
                <c:pt idx="40">
                  <c:v>34.4259959833633</c:v>
                </c:pt>
                <c:pt idx="41">
                  <c:v>37.04656929848611</c:v>
                </c:pt>
                <c:pt idx="42">
                  <c:v>39.81497237237184</c:v>
                </c:pt>
                <c:pt idx="43">
                  <c:v>42.74246515437527</c:v>
                </c:pt>
                <c:pt idx="44">
                  <c:v>45.77088972892943</c:v>
                </c:pt>
                <c:pt idx="45">
                  <c:v>48.87834221760061</c:v>
                </c:pt>
                <c:pt idx="46">
                  <c:v>52.01237490791539</c:v>
                </c:pt>
                <c:pt idx="47">
                  <c:v>55.18874898157244</c:v>
                </c:pt>
                <c:pt idx="48">
                  <c:v>58.42538859884443</c:v>
                </c:pt>
                <c:pt idx="49">
                  <c:v>61.6713410339394</c:v>
                </c:pt>
                <c:pt idx="50">
                  <c:v>64.84580243595684</c:v>
                </c:pt>
                <c:pt idx="51">
                  <c:v>67.70133532710467</c:v>
                </c:pt>
                <c:pt idx="52">
                  <c:v>70.10133508561551</c:v>
                </c:pt>
                <c:pt idx="53">
                  <c:v>72.15507702866709</c:v>
                </c:pt>
                <c:pt idx="54">
                  <c:v>73.84939646017612</c:v>
                </c:pt>
                <c:pt idx="55">
                  <c:v>75.29103475288933</c:v>
                </c:pt>
                <c:pt idx="56">
                  <c:v>76.60582423740786</c:v>
                </c:pt>
                <c:pt idx="57">
                  <c:v>77.72683473177622</c:v>
                </c:pt>
                <c:pt idx="58">
                  <c:v>78.64660216426854</c:v>
                </c:pt>
                <c:pt idx="59">
                  <c:v>79.41058552050846</c:v>
                </c:pt>
                <c:pt idx="60">
                  <c:v>80.04429859500372</c:v>
                </c:pt>
                <c:pt idx="61">
                  <c:v>80.56510039659469</c:v>
                </c:pt>
                <c:pt idx="62">
                  <c:v>80.99060758473447</c:v>
                </c:pt>
                <c:pt idx="63">
                  <c:v>81.34254283010331</c:v>
                </c:pt>
                <c:pt idx="64">
                  <c:v>81.63333258959871</c:v>
                </c:pt>
                <c:pt idx="65">
                  <c:v>81.87454238628692</c:v>
                </c:pt>
                <c:pt idx="66">
                  <c:v>82.07465475790027</c:v>
                </c:pt>
                <c:pt idx="67">
                  <c:v>82.24003921109388</c:v>
                </c:pt>
                <c:pt idx="68">
                  <c:v>82.37680697237346</c:v>
                </c:pt>
                <c:pt idx="69">
                  <c:v>82.4892856379377</c:v>
                </c:pt>
                <c:pt idx="70">
                  <c:v>82.58356303935123</c:v>
                </c:pt>
                <c:pt idx="71">
                  <c:v>82.66277690611008</c:v>
                </c:pt>
                <c:pt idx="72">
                  <c:v>82.72789766036973</c:v>
                </c:pt>
                <c:pt idx="73">
                  <c:v>82.78146833222425</c:v>
                </c:pt>
                <c:pt idx="74">
                  <c:v>82.82622800137384</c:v>
                </c:pt>
                <c:pt idx="75">
                  <c:v>82.86407025434853</c:v>
                </c:pt>
                <c:pt idx="76">
                  <c:v>82.89596551330381</c:v>
                </c:pt>
                <c:pt idx="77">
                  <c:v>82.92305638716141</c:v>
                </c:pt>
                <c:pt idx="78">
                  <c:v>82.9465711103274</c:v>
                </c:pt>
                <c:pt idx="79">
                  <c:v>82.9670337294817</c:v>
                </c:pt>
                <c:pt idx="80">
                  <c:v>82.9846089450094</c:v>
                </c:pt>
                <c:pt idx="81">
                  <c:v>82.99998550397558</c:v>
                </c:pt>
                <c:pt idx="82">
                  <c:v>83.00730203784511</c:v>
                </c:pt>
                <c:pt idx="83">
                  <c:v>83.00730203784511</c:v>
                </c:pt>
                <c:pt idx="84">
                  <c:v>83.00730203784511</c:v>
                </c:pt>
                <c:pt idx="85">
                  <c:v>83.00730203784511</c:v>
                </c:pt>
                <c:pt idx="86">
                  <c:v>83.00730203784511</c:v>
                </c:pt>
                <c:pt idx="87">
                  <c:v>83.00730203784511</c:v>
                </c:pt>
                <c:pt idx="88">
                  <c:v>83.00730203784511</c:v>
                </c:pt>
                <c:pt idx="89">
                  <c:v>83.00730203784511</c:v>
                </c:pt>
                <c:pt idx="90">
                  <c:v>83.00730203784511</c:v>
                </c:pt>
                <c:pt idx="91">
                  <c:v>83.00730203784511</c:v>
                </c:pt>
                <c:pt idx="92">
                  <c:v>83.00730203784511</c:v>
                </c:pt>
                <c:pt idx="93">
                  <c:v>83.00730203784511</c:v>
                </c:pt>
                <c:pt idx="94">
                  <c:v>83.00730203784511</c:v>
                </c:pt>
                <c:pt idx="95">
                  <c:v>83.00730203784511</c:v>
                </c:pt>
                <c:pt idx="96">
                  <c:v>83.00730203784511</c:v>
                </c:pt>
              </c:numCache>
            </c:numRef>
          </c:yVal>
          <c:smooth val="0"/>
        </c:ser>
        <c:ser>
          <c:idx val="3"/>
          <c:order val="6"/>
          <c:tx>
            <c:v>lactic acid</c:v>
          </c:tx>
          <c:spPr>
            <a:ln>
              <a:solidFill>
                <a:srgbClr val="4948F0"/>
              </a:solidFill>
            </a:ln>
          </c:spPr>
          <c:marker>
            <c:symbol val="triangle"/>
            <c:size val="8"/>
            <c:spPr>
              <a:solidFill>
                <a:srgbClr val="4948F0"/>
              </a:solidFill>
              <a:ln>
                <a:solidFill>
                  <a:srgbClr val="4948F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Metabolites!$L$4:$L$15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74472"/>
        <c:axId val="2134292088"/>
      </c:scatterChart>
      <c:scatterChart>
        <c:scatterStyle val="lineMarker"/>
        <c:varyColors val="0"/>
        <c:ser>
          <c:idx val="8"/>
          <c:order val="2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32802.0</c:v>
                </c:pt>
                <c:pt idx="1">
                  <c:v>3874.0</c:v>
                </c:pt>
                <c:pt idx="2">
                  <c:v>10247.0</c:v>
                </c:pt>
                <c:pt idx="3">
                  <c:v>45906.0</c:v>
                </c:pt>
                <c:pt idx="4">
                  <c:v>6996.0</c:v>
                </c:pt>
                <c:pt idx="5">
                  <c:v>8029.0</c:v>
                </c:pt>
                <c:pt idx="6">
                  <c:v>9926.0</c:v>
                </c:pt>
                <c:pt idx="7">
                  <c:v>13016.0</c:v>
                </c:pt>
                <c:pt idx="8">
                  <c:v>13074.0</c:v>
                </c:pt>
                <c:pt idx="9">
                  <c:v>9954.0</c:v>
                </c:pt>
              </c:numCache>
            </c:numRef>
          </c:yVal>
          <c:smooth val="0"/>
        </c:ser>
        <c:ser>
          <c:idx val="5"/>
          <c:order val="3"/>
          <c:tx>
            <c:v>OD600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0.00924164575891835</c:v>
                  </c:pt>
                  <c:pt idx="4">
                    <c:v>0.0244510963830527</c:v>
                  </c:pt>
                  <c:pt idx="5">
                    <c:v>0.00924164575891835</c:v>
                  </c:pt>
                  <c:pt idx="6">
                    <c:v>0.016007</c:v>
                  </c:pt>
                  <c:pt idx="7">
                    <c:v>0.0964856143698807</c:v>
                  </c:pt>
                  <c:pt idx="8">
                    <c:v>0.0733532891491582</c:v>
                  </c:pt>
                  <c:pt idx="9">
                    <c:v>0.0789606559770961</c:v>
                  </c:pt>
                  <c:pt idx="10">
                    <c:v>0.0402833999351263</c:v>
                  </c:pt>
                  <c:pt idx="11">
                    <c:v>0.00924164575891835</c:v>
                  </c:pt>
                </c:numCache>
              </c:numRef>
            </c:plus>
            <c:minus>
              <c:numRef>
                <c:f>OD600nm!$J$4:$J$15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0.00924164575891835</c:v>
                  </c:pt>
                  <c:pt idx="4">
                    <c:v>0.0244510963830527</c:v>
                  </c:pt>
                  <c:pt idx="5">
                    <c:v>0.00924164575891835</c:v>
                  </c:pt>
                  <c:pt idx="6">
                    <c:v>0.016007</c:v>
                  </c:pt>
                  <c:pt idx="7">
                    <c:v>0.0964856143698807</c:v>
                  </c:pt>
                  <c:pt idx="8">
                    <c:v>0.0733532891491582</c:v>
                  </c:pt>
                  <c:pt idx="9">
                    <c:v>0.0789606559770961</c:v>
                  </c:pt>
                  <c:pt idx="10">
                    <c:v>0.0402833999351263</c:v>
                  </c:pt>
                  <c:pt idx="11">
                    <c:v>0.00924164575891835</c:v>
                  </c:pt>
                </c:numCache>
              </c:numRef>
            </c:minus>
          </c:errBars>
          <c:xVal>
            <c:numRef>
              <c:f>OD600nm!$D$4:$D$15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OD600nm!$I$4:$I$15</c:f>
              <c:numCache>
                <c:formatCode>0.000</c:formatCode>
                <c:ptCount val="12"/>
                <c:pt idx="0">
                  <c:v>0.1882875</c:v>
                </c:pt>
                <c:pt idx="1">
                  <c:v>0.2026938</c:v>
                </c:pt>
                <c:pt idx="2">
                  <c:v>0.2875309</c:v>
                </c:pt>
                <c:pt idx="3">
                  <c:v>0.575636666666667</c:v>
                </c:pt>
                <c:pt idx="4">
                  <c:v>0.831748666666666</c:v>
                </c:pt>
                <c:pt idx="5">
                  <c:v>0.863762666666667</c:v>
                </c:pt>
                <c:pt idx="6">
                  <c:v>1.066518</c:v>
                </c:pt>
                <c:pt idx="7">
                  <c:v>1.333301333333333</c:v>
                </c:pt>
                <c:pt idx="8">
                  <c:v>1.434679</c:v>
                </c:pt>
                <c:pt idx="9">
                  <c:v>1.472028666666667</c:v>
                </c:pt>
                <c:pt idx="10">
                  <c:v>1.167895666666666</c:v>
                </c:pt>
                <c:pt idx="11">
                  <c:v>0.612986333333333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47432"/>
        <c:axId val="2134029192"/>
      </c:scatterChart>
      <c:valAx>
        <c:axId val="2143774472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4292088"/>
        <c:crosses val="autoZero"/>
        <c:crossBetween val="midCat"/>
        <c:majorUnit val="6.0"/>
      </c:valAx>
      <c:valAx>
        <c:axId val="2134292088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43774472"/>
        <c:crosses val="autoZero"/>
        <c:crossBetween val="midCat"/>
      </c:valAx>
      <c:valAx>
        <c:axId val="2134029192"/>
        <c:scaling>
          <c:orientation val="minMax"/>
          <c:max val="3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 600 nm)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33647432"/>
        <c:crosses val="max"/>
        <c:crossBetween val="midCat"/>
        <c:majorUnit val="0.5"/>
        <c:minorUnit val="0.02"/>
      </c:valAx>
      <c:valAx>
        <c:axId val="213364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40291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41400" y="4622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11" sqref="A11:C11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79" t="s">
        <v>0</v>
      </c>
      <c r="B1" s="80"/>
      <c r="C1" s="66">
        <v>41857</v>
      </c>
    </row>
    <row r="2" spans="1:3" ht="16">
      <c r="A2" s="79" t="s">
        <v>1</v>
      </c>
      <c r="B2" s="81"/>
      <c r="C2" s="28" t="s">
        <v>136</v>
      </c>
    </row>
    <row r="3" spans="1:3">
      <c r="A3" s="9"/>
      <c r="B3" s="9"/>
      <c r="C3" s="8"/>
    </row>
    <row r="4" spans="1:3">
      <c r="A4" s="82" t="s">
        <v>48</v>
      </c>
      <c r="B4" s="82"/>
      <c r="C4" s="28" t="s">
        <v>94</v>
      </c>
    </row>
    <row r="6" spans="1:3">
      <c r="A6" s="61" t="s">
        <v>82</v>
      </c>
      <c r="B6" s="61" t="s">
        <v>83</v>
      </c>
      <c r="C6" s="61" t="s">
        <v>68</v>
      </c>
    </row>
    <row r="7" spans="1:3">
      <c r="A7" s="28" t="s">
        <v>84</v>
      </c>
      <c r="B7" s="41">
        <v>6.5</v>
      </c>
      <c r="C7" s="28" t="s">
        <v>90</v>
      </c>
    </row>
    <row r="8" spans="1:3">
      <c r="A8" s="28" t="s">
        <v>85</v>
      </c>
      <c r="B8" s="41">
        <v>5</v>
      </c>
      <c r="C8" s="28" t="s">
        <v>90</v>
      </c>
    </row>
    <row r="9" spans="1:3">
      <c r="A9" s="28" t="s">
        <v>86</v>
      </c>
      <c r="B9" s="41">
        <v>2.5</v>
      </c>
      <c r="C9" s="28" t="s">
        <v>90</v>
      </c>
    </row>
    <row r="10" spans="1:3">
      <c r="A10" s="28" t="s">
        <v>87</v>
      </c>
      <c r="B10" s="41">
        <v>3</v>
      </c>
      <c r="C10" s="28" t="s">
        <v>90</v>
      </c>
    </row>
    <row r="11" spans="1:3">
      <c r="A11" s="63" t="s">
        <v>140</v>
      </c>
      <c r="B11" s="109">
        <v>6.8</v>
      </c>
      <c r="C11" s="62" t="s">
        <v>141</v>
      </c>
    </row>
    <row r="12" spans="1:3">
      <c r="A12" s="28" t="s">
        <v>72</v>
      </c>
      <c r="B12" s="41">
        <v>1.5</v>
      </c>
      <c r="C12" s="28" t="s">
        <v>90</v>
      </c>
    </row>
    <row r="13" spans="1:3" ht="16">
      <c r="A13" s="28" t="s">
        <v>76</v>
      </c>
      <c r="B13" s="41">
        <v>1</v>
      </c>
      <c r="C13" s="28" t="s">
        <v>90</v>
      </c>
    </row>
    <row r="14" spans="1:3" ht="16">
      <c r="A14" s="8" t="s">
        <v>75</v>
      </c>
      <c r="B14" s="41">
        <v>1</v>
      </c>
      <c r="C14" s="28" t="s">
        <v>90</v>
      </c>
    </row>
    <row r="15" spans="1:3" ht="16">
      <c r="A15" s="65" t="s">
        <v>135</v>
      </c>
      <c r="B15" s="64">
        <v>2</v>
      </c>
      <c r="C15" s="64" t="s">
        <v>90</v>
      </c>
    </row>
    <row r="16" spans="1:3" ht="16">
      <c r="A16" s="28" t="s">
        <v>95</v>
      </c>
      <c r="B16" s="41">
        <v>1</v>
      </c>
      <c r="C16" s="28" t="s">
        <v>90</v>
      </c>
    </row>
    <row r="17" spans="1:3" ht="16">
      <c r="A17" s="28" t="s">
        <v>96</v>
      </c>
      <c r="B17" s="41">
        <v>1</v>
      </c>
      <c r="C17" s="28" t="s">
        <v>90</v>
      </c>
    </row>
    <row r="18" spans="1:3" ht="16">
      <c r="A18" s="28" t="s">
        <v>97</v>
      </c>
      <c r="B18" s="41">
        <v>0.4</v>
      </c>
      <c r="C18" s="28" t="s">
        <v>90</v>
      </c>
    </row>
    <row r="19" spans="1:3" ht="16">
      <c r="A19" s="28" t="s">
        <v>74</v>
      </c>
      <c r="B19" s="41">
        <v>0.2</v>
      </c>
      <c r="C19" s="28" t="s">
        <v>90</v>
      </c>
    </row>
    <row r="20" spans="1:3" ht="16">
      <c r="A20" s="28" t="s">
        <v>98</v>
      </c>
      <c r="B20" s="41">
        <v>0.1</v>
      </c>
      <c r="C20" s="28" t="s">
        <v>90</v>
      </c>
    </row>
    <row r="21" spans="1:3" ht="16">
      <c r="A21" s="28" t="s">
        <v>99</v>
      </c>
      <c r="B21" s="28">
        <v>0.05</v>
      </c>
      <c r="C21" s="28" t="s">
        <v>90</v>
      </c>
    </row>
    <row r="22" spans="1:3" ht="16">
      <c r="A22" s="28" t="s">
        <v>100</v>
      </c>
      <c r="B22" s="28">
        <v>5.0000000000000001E-3</v>
      </c>
      <c r="C22" s="28" t="s">
        <v>90</v>
      </c>
    </row>
    <row r="23" spans="1:3" ht="16">
      <c r="A23" s="28" t="s">
        <v>101</v>
      </c>
      <c r="B23" s="28">
        <v>5.0000000000000001E-3</v>
      </c>
      <c r="C23" s="28" t="s">
        <v>90</v>
      </c>
    </row>
    <row r="24" spans="1:3">
      <c r="A24" s="28" t="s">
        <v>88</v>
      </c>
      <c r="B24" s="28">
        <v>5.0000000000000001E-3</v>
      </c>
      <c r="C24" s="28" t="s">
        <v>90</v>
      </c>
    </row>
    <row r="25" spans="1:3">
      <c r="A25" s="28" t="s">
        <v>89</v>
      </c>
      <c r="B25" s="28">
        <v>5.0000000000000001E-3</v>
      </c>
      <c r="C25" s="28" t="s">
        <v>90</v>
      </c>
    </row>
    <row r="26" spans="1:3">
      <c r="A26" s="28" t="s">
        <v>73</v>
      </c>
      <c r="B26" s="28">
        <v>1E-3</v>
      </c>
      <c r="C26" s="28" t="s">
        <v>132</v>
      </c>
    </row>
    <row r="27" spans="1:3">
      <c r="A27" s="28" t="s">
        <v>91</v>
      </c>
      <c r="B27" s="28" t="s">
        <v>90</v>
      </c>
      <c r="C27" s="28" t="s">
        <v>92</v>
      </c>
    </row>
    <row r="28" spans="1:3">
      <c r="A28" s="28" t="s">
        <v>93</v>
      </c>
      <c r="B28" s="28" t="s">
        <v>90</v>
      </c>
      <c r="C28" s="28" t="s">
        <v>92</v>
      </c>
    </row>
    <row r="29" spans="1:3" ht="16">
      <c r="A29" s="63" t="s">
        <v>174</v>
      </c>
      <c r="B29" s="109">
        <v>0</v>
      </c>
      <c r="C29" s="62" t="s">
        <v>137</v>
      </c>
    </row>
    <row r="30" spans="1:3" ht="30">
      <c r="A30" s="63" t="s">
        <v>139</v>
      </c>
      <c r="B30" s="109">
        <v>10.199999999999999</v>
      </c>
      <c r="C30" s="62" t="s">
        <v>142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129</v>
      </c>
      <c r="B2" s="15">
        <v>180.16</v>
      </c>
    </row>
    <row r="4" spans="1:8">
      <c r="A4" s="100" t="s">
        <v>130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6" t="s">
        <v>4</v>
      </c>
      <c r="B6" s="26" t="s">
        <v>5</v>
      </c>
      <c r="C6" s="26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7">
        <f>(C7*1000*AVERAGE(D7:F7)/$B$2)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7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3</v>
      </c>
      <c r="C9" s="48">
        <v>2</v>
      </c>
      <c r="D9" s="16">
        <v>0</v>
      </c>
      <c r="E9" s="16">
        <v>0</v>
      </c>
      <c r="F9" s="16">
        <v>0</v>
      </c>
      <c r="G9" s="17">
        <f t="shared" si="0"/>
        <v>0</v>
      </c>
      <c r="H9" s="17">
        <f t="shared" si="1"/>
        <v>0</v>
      </c>
    </row>
    <row r="10" spans="1:8">
      <c r="A10" s="49">
        <v>2</v>
      </c>
      <c r="B10" s="69">
        <v>6</v>
      </c>
      <c r="C10" s="48">
        <v>2</v>
      </c>
      <c r="D10" s="16">
        <v>0</v>
      </c>
      <c r="E10" s="16">
        <v>0</v>
      </c>
      <c r="F10" s="16">
        <v>0</v>
      </c>
      <c r="G10" s="17">
        <f t="shared" si="0"/>
        <v>0</v>
      </c>
      <c r="H10" s="17">
        <f t="shared" si="1"/>
        <v>0</v>
      </c>
    </row>
    <row r="11" spans="1:8">
      <c r="A11" s="49">
        <v>3</v>
      </c>
      <c r="B11" s="69">
        <v>9</v>
      </c>
      <c r="C11" s="48">
        <v>2</v>
      </c>
      <c r="D11" s="16">
        <v>0</v>
      </c>
      <c r="E11" s="16">
        <v>0</v>
      </c>
      <c r="F11" s="16">
        <v>0</v>
      </c>
      <c r="G11" s="17">
        <f t="shared" si="0"/>
        <v>0</v>
      </c>
      <c r="H11" s="17">
        <f t="shared" si="1"/>
        <v>0</v>
      </c>
    </row>
    <row r="12" spans="1:8">
      <c r="A12" s="49">
        <v>4</v>
      </c>
      <c r="B12" s="69">
        <v>12</v>
      </c>
      <c r="C12" s="48">
        <v>2</v>
      </c>
      <c r="D12" s="16">
        <v>0</v>
      </c>
      <c r="E12" s="16">
        <v>0</v>
      </c>
      <c r="F12" s="16">
        <v>0</v>
      </c>
      <c r="G12" s="17">
        <f t="shared" si="0"/>
        <v>0</v>
      </c>
      <c r="H12" s="17">
        <f t="shared" si="1"/>
        <v>0</v>
      </c>
    </row>
    <row r="13" spans="1:8">
      <c r="A13" s="49">
        <v>5</v>
      </c>
      <c r="B13" s="69">
        <v>15</v>
      </c>
      <c r="C13" s="48">
        <v>2</v>
      </c>
      <c r="D13" s="16">
        <v>0</v>
      </c>
      <c r="E13" s="16">
        <v>0</v>
      </c>
      <c r="F13" s="16">
        <v>0</v>
      </c>
      <c r="G13" s="17">
        <f t="shared" si="0"/>
        <v>0</v>
      </c>
      <c r="H13" s="17">
        <f t="shared" si="1"/>
        <v>0</v>
      </c>
    </row>
    <row r="14" spans="1:8">
      <c r="A14" s="49">
        <v>6</v>
      </c>
      <c r="B14" s="69">
        <v>18</v>
      </c>
      <c r="C14" s="48">
        <v>2</v>
      </c>
      <c r="D14" s="16">
        <v>0</v>
      </c>
      <c r="E14" s="16">
        <v>0</v>
      </c>
      <c r="F14" s="16">
        <v>0</v>
      </c>
      <c r="G14" s="17">
        <f t="shared" si="0"/>
        <v>0</v>
      </c>
      <c r="H14" s="17">
        <f t="shared" si="1"/>
        <v>0</v>
      </c>
    </row>
    <row r="15" spans="1:8">
      <c r="A15" s="49">
        <v>7</v>
      </c>
      <c r="B15" s="69">
        <v>21</v>
      </c>
      <c r="C15" s="48">
        <v>2</v>
      </c>
      <c r="D15" s="16">
        <v>0</v>
      </c>
      <c r="E15" s="16">
        <v>0</v>
      </c>
      <c r="F15" s="16">
        <v>0</v>
      </c>
      <c r="G15" s="17">
        <f t="shared" si="0"/>
        <v>0</v>
      </c>
      <c r="H15" s="17">
        <f t="shared" si="1"/>
        <v>0</v>
      </c>
    </row>
    <row r="16" spans="1:8">
      <c r="A16" s="49">
        <v>8</v>
      </c>
      <c r="B16" s="69">
        <v>24</v>
      </c>
      <c r="C16" s="48">
        <v>2</v>
      </c>
      <c r="D16" s="16">
        <v>0</v>
      </c>
      <c r="E16" s="16">
        <v>0</v>
      </c>
      <c r="F16" s="16">
        <v>0</v>
      </c>
      <c r="G16" s="17">
        <f t="shared" si="0"/>
        <v>0</v>
      </c>
      <c r="H16" s="17">
        <f t="shared" si="1"/>
        <v>0</v>
      </c>
    </row>
    <row r="17" spans="1:8">
      <c r="A17" s="49">
        <v>9</v>
      </c>
      <c r="B17" s="69">
        <v>27</v>
      </c>
      <c r="C17" s="48">
        <v>2</v>
      </c>
      <c r="D17" s="16">
        <v>0</v>
      </c>
      <c r="E17" s="16">
        <v>0</v>
      </c>
      <c r="F17" s="16">
        <v>0</v>
      </c>
      <c r="G17" s="17">
        <f t="shared" si="0"/>
        <v>0</v>
      </c>
      <c r="H17" s="17">
        <f t="shared" si="1"/>
        <v>0</v>
      </c>
    </row>
    <row r="18" spans="1:8">
      <c r="A18" s="49">
        <v>10</v>
      </c>
      <c r="B18" s="69">
        <v>30</v>
      </c>
      <c r="C18" s="48">
        <v>2</v>
      </c>
      <c r="D18" s="16">
        <v>0</v>
      </c>
      <c r="E18" s="16">
        <v>0</v>
      </c>
      <c r="F18" s="16">
        <v>0</v>
      </c>
      <c r="G18" s="17">
        <f>(C18*1000*AVERAGE(D18:F18))/$B$2</f>
        <v>0</v>
      </c>
      <c r="H18" s="17">
        <f>(C18*1000*STDEV(D18:F18))/$B$2</f>
        <v>0</v>
      </c>
    </row>
    <row r="19" spans="1:8">
      <c r="A19" s="49">
        <v>11</v>
      </c>
      <c r="B19" s="69">
        <v>48</v>
      </c>
      <c r="C19" s="48">
        <v>2</v>
      </c>
      <c r="D19" s="16">
        <v>0</v>
      </c>
      <c r="E19" s="16">
        <v>0</v>
      </c>
      <c r="F19" s="16">
        <v>0</v>
      </c>
      <c r="G19" s="17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topLeftCell="A2" workbookViewId="0">
      <selection activeCell="G8" sqref="G8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64</v>
      </c>
      <c r="B2" s="15">
        <v>46.03</v>
      </c>
    </row>
    <row r="4" spans="1:8">
      <c r="A4" s="100" t="s">
        <v>64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6" t="s">
        <v>4</v>
      </c>
      <c r="B6" s="26" t="s">
        <v>59</v>
      </c>
      <c r="C6" s="26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70">
        <v>3.2290000000000001</v>
      </c>
      <c r="E7" s="16">
        <v>3.2360000000000002</v>
      </c>
      <c r="F7" s="16">
        <v>3.2290000000000001</v>
      </c>
      <c r="G7" s="14">
        <f>(C7*1000*AVERAGE(D7:F7))/$B$2</f>
        <v>140.40118763125497</v>
      </c>
      <c r="H7" s="17">
        <f>(C7*1000*STDEV(D7:F7))/$B$2</f>
        <v>0.17560077707266775</v>
      </c>
    </row>
    <row r="8" spans="1:8">
      <c r="A8" s="49">
        <v>0</v>
      </c>
      <c r="B8" s="69">
        <v>0</v>
      </c>
      <c r="C8" s="48">
        <v>2</v>
      </c>
      <c r="D8" s="71">
        <v>3.2360000000000002</v>
      </c>
      <c r="E8" s="16">
        <v>3.2330000000000001</v>
      </c>
      <c r="F8" s="16">
        <v>3.2189999999999999</v>
      </c>
      <c r="G8" s="14">
        <f t="shared" ref="G8:G17" si="0">(C8*1000*AVERAGE(D8:F8))/$B$2</f>
        <v>140.31428778332972</v>
      </c>
      <c r="H8" s="17">
        <f t="shared" ref="H8:H17" si="1">(C8*1000*STDEV(D8:F8))/$B$2</f>
        <v>0.39425469154367337</v>
      </c>
    </row>
    <row r="9" spans="1:8">
      <c r="A9" s="49">
        <v>1</v>
      </c>
      <c r="B9" s="69">
        <v>3</v>
      </c>
      <c r="C9" s="48">
        <v>2</v>
      </c>
      <c r="D9" s="71">
        <v>3.22</v>
      </c>
      <c r="E9" s="16">
        <v>3.2120000000000002</v>
      </c>
      <c r="F9" s="16">
        <v>3.1949999999999998</v>
      </c>
      <c r="G9" s="14">
        <f t="shared" si="0"/>
        <v>139.4308059960895</v>
      </c>
      <c r="H9" s="17">
        <f t="shared" si="1"/>
        <v>0.55473149401711486</v>
      </c>
    </row>
    <row r="10" spans="1:8">
      <c r="A10" s="49">
        <v>2</v>
      </c>
      <c r="B10" s="69">
        <v>6</v>
      </c>
      <c r="C10" s="48">
        <v>2</v>
      </c>
      <c r="D10" s="71">
        <v>3.1720000000000002</v>
      </c>
      <c r="E10" s="16">
        <v>3.157</v>
      </c>
      <c r="F10" s="16">
        <v>3.1560000000000001</v>
      </c>
      <c r="G10" s="14">
        <f t="shared" si="0"/>
        <v>137.37417626185822</v>
      </c>
      <c r="H10" s="17">
        <f t="shared" si="1"/>
        <v>0.38943673429643871</v>
      </c>
    </row>
    <row r="11" spans="1:8">
      <c r="A11" s="49">
        <v>3</v>
      </c>
      <c r="B11" s="69">
        <v>9</v>
      </c>
      <c r="C11" s="48">
        <v>2</v>
      </c>
      <c r="D11" s="71">
        <v>3.0590000000000002</v>
      </c>
      <c r="E11" s="16">
        <v>3.0950000000000002</v>
      </c>
      <c r="F11" s="16">
        <v>3.1040000000000001</v>
      </c>
      <c r="G11" s="14">
        <f t="shared" si="0"/>
        <v>134.08646534868564</v>
      </c>
      <c r="H11" s="17">
        <f t="shared" si="1"/>
        <v>1.034619239608138</v>
      </c>
    </row>
    <row r="12" spans="1:8">
      <c r="A12" s="49">
        <v>4</v>
      </c>
      <c r="B12" s="69">
        <v>12</v>
      </c>
      <c r="C12" s="48">
        <v>2</v>
      </c>
      <c r="D12" s="71">
        <v>2.899</v>
      </c>
      <c r="E12" s="16">
        <v>2.8359999999999999</v>
      </c>
      <c r="F12" s="16">
        <v>2.883</v>
      </c>
      <c r="G12" s="14">
        <f t="shared" si="0"/>
        <v>124.81714823665722</v>
      </c>
      <c r="H12" s="17">
        <f t="shared" si="1"/>
        <v>1.4228329822010772</v>
      </c>
    </row>
    <row r="13" spans="1:8">
      <c r="A13" s="49">
        <v>5</v>
      </c>
      <c r="B13" s="69">
        <v>15</v>
      </c>
      <c r="C13" s="48">
        <v>2</v>
      </c>
      <c r="D13" s="71">
        <v>2.4830000000000001</v>
      </c>
      <c r="E13" s="16">
        <v>2.4900000000000002</v>
      </c>
      <c r="F13" s="16">
        <v>2.472</v>
      </c>
      <c r="G13" s="14">
        <f t="shared" si="0"/>
        <v>107.82822796726774</v>
      </c>
      <c r="H13" s="17">
        <f t="shared" si="1"/>
        <v>0.39425469154367082</v>
      </c>
    </row>
    <row r="14" spans="1:8">
      <c r="A14" s="49">
        <v>6</v>
      </c>
      <c r="B14" s="69">
        <v>18</v>
      </c>
      <c r="C14" s="48">
        <v>2</v>
      </c>
      <c r="D14" s="71">
        <v>1.9119999999999999</v>
      </c>
      <c r="E14" s="16">
        <v>1.911</v>
      </c>
      <c r="F14" s="16">
        <v>1.891</v>
      </c>
      <c r="G14" s="14">
        <f t="shared" si="0"/>
        <v>82.757621840828449</v>
      </c>
      <c r="H14" s="17">
        <f t="shared" si="1"/>
        <v>0.5147181010621138</v>
      </c>
    </row>
    <row r="15" spans="1:8">
      <c r="A15" s="49">
        <v>7</v>
      </c>
      <c r="B15" s="69">
        <v>21</v>
      </c>
      <c r="C15" s="48">
        <v>2</v>
      </c>
      <c r="D15" s="71">
        <v>0.94299999999999995</v>
      </c>
      <c r="E15" s="16">
        <v>1.024</v>
      </c>
      <c r="F15" s="16">
        <v>1.0409999999999999</v>
      </c>
      <c r="G15" s="14">
        <f t="shared" si="0"/>
        <v>43.565790426533418</v>
      </c>
      <c r="H15" s="17">
        <f t="shared" si="1"/>
        <v>2.2753548812170057</v>
      </c>
    </row>
    <row r="16" spans="1:8">
      <c r="A16" s="49">
        <v>8</v>
      </c>
      <c r="B16" s="69">
        <v>24</v>
      </c>
      <c r="C16" s="48">
        <v>2</v>
      </c>
      <c r="D16" s="72">
        <v>0.122</v>
      </c>
      <c r="E16" s="37">
        <v>0.126</v>
      </c>
      <c r="F16" s="37">
        <v>0.125</v>
      </c>
      <c r="G16" s="14">
        <f t="shared" si="0"/>
        <v>5.4022738793540448</v>
      </c>
      <c r="H16" s="17">
        <f t="shared" si="1"/>
        <v>9.0448229392402116E-2</v>
      </c>
    </row>
    <row r="17" spans="1:8">
      <c r="A17" s="49">
        <v>9</v>
      </c>
      <c r="B17" s="69">
        <v>27</v>
      </c>
      <c r="C17" s="48">
        <v>2</v>
      </c>
      <c r="D17" s="71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30</v>
      </c>
      <c r="C18" s="48">
        <v>2</v>
      </c>
      <c r="D18" s="71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49">
        <v>11</v>
      </c>
      <c r="B19" s="69">
        <v>48</v>
      </c>
      <c r="C19" s="48">
        <v>2</v>
      </c>
      <c r="D19" s="71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8" sqref="G8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42</v>
      </c>
      <c r="B2" s="15">
        <v>60.05</v>
      </c>
    </row>
    <row r="4" spans="1:8">
      <c r="A4" s="100" t="s">
        <v>42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0" t="s">
        <v>4</v>
      </c>
      <c r="B6" s="20" t="s">
        <v>59</v>
      </c>
      <c r="C6" s="20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70">
        <v>1.5369999999999999</v>
      </c>
      <c r="E7" s="73">
        <v>1.544</v>
      </c>
      <c r="F7" s="73">
        <v>1.532</v>
      </c>
      <c r="G7" s="14">
        <f>(C7*1000*AVERAGE(D7:F7))/$B$2</f>
        <v>51.212878157091311</v>
      </c>
      <c r="H7" s="17">
        <f>(C7*1000*STDEV(D7:F7))/$B$2</f>
        <v>0.20075649536525297</v>
      </c>
    </row>
    <row r="8" spans="1:8">
      <c r="A8" s="49">
        <v>0</v>
      </c>
      <c r="B8" s="69">
        <v>0</v>
      </c>
      <c r="C8" s="48">
        <v>2</v>
      </c>
      <c r="D8" s="71">
        <v>1.548</v>
      </c>
      <c r="E8" s="73">
        <v>1.546</v>
      </c>
      <c r="F8" s="73">
        <v>1.54</v>
      </c>
      <c r="G8" s="14">
        <f t="shared" ref="G8:G17" si="0">(C8*1000*AVERAGE(D8:F8))/$B$2</f>
        <v>51.446017207882328</v>
      </c>
      <c r="H8" s="17">
        <f t="shared" ref="H8:H17" si="1">(C8*1000*STDEV(D8:F8))/$B$2</f>
        <v>0.13866218147984247</v>
      </c>
    </row>
    <row r="9" spans="1:8">
      <c r="A9" s="49">
        <v>1</v>
      </c>
      <c r="B9" s="69">
        <v>3</v>
      </c>
      <c r="C9" s="48">
        <v>2</v>
      </c>
      <c r="D9" s="71">
        <v>1.5569999999999999</v>
      </c>
      <c r="E9" s="73">
        <v>1.548</v>
      </c>
      <c r="F9" s="73">
        <v>1.548</v>
      </c>
      <c r="G9" s="14">
        <f t="shared" si="0"/>
        <v>51.656952539550382</v>
      </c>
      <c r="H9" s="17">
        <f t="shared" si="1"/>
        <v>0.17306086337074347</v>
      </c>
    </row>
    <row r="10" spans="1:8">
      <c r="A10" s="49">
        <v>2</v>
      </c>
      <c r="B10" s="69">
        <v>6</v>
      </c>
      <c r="C10" s="48">
        <v>2</v>
      </c>
      <c r="D10" s="71">
        <v>1.5820000000000001</v>
      </c>
      <c r="E10" s="73">
        <v>1.5720000000000001</v>
      </c>
      <c r="F10" s="73">
        <v>1.579</v>
      </c>
      <c r="G10" s="14">
        <f t="shared" si="0"/>
        <v>52.545101304468496</v>
      </c>
      <c r="H10" s="17">
        <f t="shared" si="1"/>
        <v>0.17091095551863028</v>
      </c>
    </row>
    <row r="11" spans="1:8">
      <c r="A11" s="49">
        <v>3</v>
      </c>
      <c r="B11" s="69">
        <v>9</v>
      </c>
      <c r="C11" s="48">
        <v>2</v>
      </c>
      <c r="D11" s="71">
        <v>1.6819999999999999</v>
      </c>
      <c r="E11" s="73">
        <v>1.6990000000000001</v>
      </c>
      <c r="F11" s="73">
        <v>1.704</v>
      </c>
      <c r="G11" s="14">
        <f t="shared" si="0"/>
        <v>56.452955870108248</v>
      </c>
      <c r="H11" s="17">
        <f t="shared" si="1"/>
        <v>0.38409867092991934</v>
      </c>
    </row>
    <row r="12" spans="1:8">
      <c r="A12" s="49">
        <v>4</v>
      </c>
      <c r="B12" s="69">
        <v>12</v>
      </c>
      <c r="C12" s="48">
        <v>2</v>
      </c>
      <c r="D12" s="71">
        <v>1.7929999999999999</v>
      </c>
      <c r="E12" s="73">
        <v>1.75</v>
      </c>
      <c r="F12" s="73">
        <v>1.78</v>
      </c>
      <c r="G12" s="14">
        <f t="shared" si="0"/>
        <v>59.095198445739669</v>
      </c>
      <c r="H12" s="17">
        <f t="shared" si="1"/>
        <v>0.73448681241290348</v>
      </c>
    </row>
    <row r="13" spans="1:8">
      <c r="A13" s="49">
        <v>5</v>
      </c>
      <c r="B13" s="69">
        <v>15</v>
      </c>
      <c r="C13" s="48">
        <v>2</v>
      </c>
      <c r="D13" s="71">
        <v>1.885</v>
      </c>
      <c r="E13" s="73">
        <v>1.891</v>
      </c>
      <c r="F13" s="73">
        <v>1.8759999999999999</v>
      </c>
      <c r="G13" s="14">
        <f t="shared" si="0"/>
        <v>62.747710241465441</v>
      </c>
      <c r="H13" s="17">
        <f t="shared" si="1"/>
        <v>0.25145160483832857</v>
      </c>
    </row>
    <row r="14" spans="1:8">
      <c r="A14" s="49">
        <v>6</v>
      </c>
      <c r="B14" s="69">
        <v>18</v>
      </c>
      <c r="C14" s="48">
        <v>2</v>
      </c>
      <c r="D14" s="71">
        <v>2.048</v>
      </c>
      <c r="E14" s="73">
        <v>2.0529999999999999</v>
      </c>
      <c r="F14" s="73">
        <v>2.0289999999999999</v>
      </c>
      <c r="G14" s="14">
        <f t="shared" si="0"/>
        <v>68.054399111851239</v>
      </c>
      <c r="H14" s="17">
        <f t="shared" si="1"/>
        <v>0.42172456093749933</v>
      </c>
    </row>
    <row r="15" spans="1:8">
      <c r="A15" s="49">
        <v>7</v>
      </c>
      <c r="B15" s="69">
        <v>21</v>
      </c>
      <c r="C15" s="48">
        <v>2</v>
      </c>
      <c r="D15" s="71">
        <v>2.0870000000000002</v>
      </c>
      <c r="E15" s="73">
        <v>2.258</v>
      </c>
      <c r="F15" s="73">
        <v>2.2989999999999999</v>
      </c>
      <c r="G15" s="14">
        <f t="shared" si="0"/>
        <v>73.760754926450176</v>
      </c>
      <c r="H15" s="17">
        <f t="shared" si="1"/>
        <v>3.745113224451698</v>
      </c>
    </row>
    <row r="16" spans="1:8">
      <c r="A16" s="49">
        <v>8</v>
      </c>
      <c r="B16" s="69">
        <v>24</v>
      </c>
      <c r="C16" s="48">
        <v>2</v>
      </c>
      <c r="D16" s="71">
        <v>2.5430000000000001</v>
      </c>
      <c r="E16" s="73">
        <v>2.5680000000000001</v>
      </c>
      <c r="F16" s="73">
        <v>2.6360000000000001</v>
      </c>
      <c r="G16" s="14">
        <f t="shared" si="0"/>
        <v>86.006106022758814</v>
      </c>
      <c r="H16" s="17">
        <f t="shared" si="1"/>
        <v>1.6029409076638266</v>
      </c>
    </row>
    <row r="17" spans="1:8">
      <c r="A17" s="49">
        <v>9</v>
      </c>
      <c r="B17" s="69">
        <v>27</v>
      </c>
      <c r="C17" s="48">
        <v>2</v>
      </c>
      <c r="D17" s="71">
        <v>2.698</v>
      </c>
      <c r="E17" s="73">
        <v>2.6890000000000001</v>
      </c>
      <c r="F17" s="73">
        <v>2.6949999999999998</v>
      </c>
      <c r="G17" s="14">
        <f t="shared" si="0"/>
        <v>89.725228975853469</v>
      </c>
      <c r="H17" s="17">
        <f t="shared" si="1"/>
        <v>0.1526253353857043</v>
      </c>
    </row>
    <row r="18" spans="1:8">
      <c r="A18" s="49">
        <v>10</v>
      </c>
      <c r="B18" s="69">
        <v>30</v>
      </c>
      <c r="C18" s="48">
        <v>2</v>
      </c>
      <c r="D18" s="71">
        <v>2.6709999999999998</v>
      </c>
      <c r="E18" s="73">
        <v>2.7320000000000002</v>
      </c>
      <c r="F18" s="73">
        <v>2.71</v>
      </c>
      <c r="G18" s="14">
        <f>(C18*1000*AVERAGE(D18:F18))/$B$2</f>
        <v>90.069386622259216</v>
      </c>
      <c r="H18" s="17">
        <f>(C18*1000*STDEV(D18:F18))/$B$2</f>
        <v>1.028885461590695</v>
      </c>
    </row>
    <row r="19" spans="1:8">
      <c r="A19" s="49">
        <v>11</v>
      </c>
      <c r="B19" s="69">
        <v>48</v>
      </c>
      <c r="C19" s="48">
        <v>2</v>
      </c>
      <c r="D19" s="71">
        <v>2.7029999999999998</v>
      </c>
      <c r="E19" s="73">
        <v>2.698</v>
      </c>
      <c r="F19" s="73">
        <v>2.7589999999999999</v>
      </c>
      <c r="G19" s="14">
        <f>(C19*1000*AVERAGE(D19:F19))/$B$2</f>
        <v>90.591174021648627</v>
      </c>
      <c r="H19" s="17">
        <f>(C19*1000*STDEV(D19:F19))/$B$2</f>
        <v>1.1279729706495318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66</v>
      </c>
      <c r="B2" s="15">
        <v>74.08</v>
      </c>
    </row>
    <row r="4" spans="1:8">
      <c r="A4" s="100" t="s">
        <v>66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6" t="s">
        <v>4</v>
      </c>
      <c r="B6" s="26" t="s">
        <v>59</v>
      </c>
      <c r="C6" s="26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3</v>
      </c>
      <c r="C9" s="48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49">
        <v>2</v>
      </c>
      <c r="B10" s="69">
        <v>6</v>
      </c>
      <c r="C10" s="48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49">
        <v>3</v>
      </c>
      <c r="B11" s="69">
        <v>9</v>
      </c>
      <c r="C11" s="48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49">
        <v>4</v>
      </c>
      <c r="B12" s="69">
        <v>12</v>
      </c>
      <c r="C12" s="48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49">
        <v>5</v>
      </c>
      <c r="B13" s="69">
        <v>15</v>
      </c>
      <c r="C13" s="48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49">
        <v>6</v>
      </c>
      <c r="B14" s="69">
        <v>18</v>
      </c>
      <c r="C14" s="48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49">
        <v>7</v>
      </c>
      <c r="B15" s="69">
        <v>21</v>
      </c>
      <c r="C15" s="48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49">
        <v>8</v>
      </c>
      <c r="B16" s="69">
        <v>24</v>
      </c>
      <c r="C16" s="48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49">
        <v>9</v>
      </c>
      <c r="B17" s="69">
        <v>27</v>
      </c>
      <c r="C17" s="48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30</v>
      </c>
      <c r="C18" s="48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49">
        <v>11</v>
      </c>
      <c r="B19" s="69">
        <v>48</v>
      </c>
      <c r="C19" s="48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65</v>
      </c>
      <c r="B2" s="15">
        <v>88.11</v>
      </c>
    </row>
    <row r="4" spans="1:8">
      <c r="A4" s="100" t="s">
        <v>65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6" t="s">
        <v>4</v>
      </c>
      <c r="B6" s="26" t="s">
        <v>59</v>
      </c>
      <c r="C6" s="26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>(C8*1000*AVERAGE(D8:F8))/$B$2</f>
        <v>0</v>
      </c>
      <c r="H8" s="17">
        <f t="shared" ref="H8:H17" si="0">(C8*1000*STDEV(D8:F8))/$B$2</f>
        <v>0</v>
      </c>
    </row>
    <row r="9" spans="1:8">
      <c r="A9" s="49">
        <v>1</v>
      </c>
      <c r="B9" s="69">
        <v>3</v>
      </c>
      <c r="C9" s="48">
        <v>2</v>
      </c>
      <c r="D9" s="16">
        <v>0</v>
      </c>
      <c r="E9" s="16">
        <v>0</v>
      </c>
      <c r="F9" s="16">
        <v>0</v>
      </c>
      <c r="G9" s="14">
        <f t="shared" ref="G9:G17" si="1">(C9*1000*AVERAGE(D9:F9))/$B$2</f>
        <v>0</v>
      </c>
      <c r="H9" s="17">
        <f t="shared" si="0"/>
        <v>0</v>
      </c>
    </row>
    <row r="10" spans="1:8">
      <c r="A10" s="49">
        <v>2</v>
      </c>
      <c r="B10" s="69">
        <v>6</v>
      </c>
      <c r="C10" s="48">
        <v>2</v>
      </c>
      <c r="D10" s="16">
        <v>0</v>
      </c>
      <c r="E10" s="16">
        <v>0</v>
      </c>
      <c r="F10" s="16">
        <v>0</v>
      </c>
      <c r="G10" s="14">
        <f t="shared" si="1"/>
        <v>0</v>
      </c>
      <c r="H10" s="17">
        <f t="shared" si="0"/>
        <v>0</v>
      </c>
    </row>
    <row r="11" spans="1:8">
      <c r="A11" s="49">
        <v>3</v>
      </c>
      <c r="B11" s="69">
        <v>9</v>
      </c>
      <c r="C11" s="48">
        <v>2</v>
      </c>
      <c r="D11" s="16">
        <v>0</v>
      </c>
      <c r="E11" s="16">
        <v>0</v>
      </c>
      <c r="F11" s="16">
        <v>0</v>
      </c>
      <c r="G11" s="14">
        <f t="shared" si="1"/>
        <v>0</v>
      </c>
      <c r="H11" s="17">
        <f t="shared" si="0"/>
        <v>0</v>
      </c>
    </row>
    <row r="12" spans="1:8">
      <c r="A12" s="49">
        <v>4</v>
      </c>
      <c r="B12" s="69">
        <v>12</v>
      </c>
      <c r="C12" s="48">
        <v>2</v>
      </c>
      <c r="D12" s="16">
        <v>0</v>
      </c>
      <c r="E12" s="16">
        <v>0</v>
      </c>
      <c r="F12" s="16">
        <v>0</v>
      </c>
      <c r="G12" s="14">
        <f t="shared" si="1"/>
        <v>0</v>
      </c>
      <c r="H12" s="17">
        <f t="shared" si="0"/>
        <v>0</v>
      </c>
    </row>
    <row r="13" spans="1:8">
      <c r="A13" s="49">
        <v>5</v>
      </c>
      <c r="B13" s="69">
        <v>15</v>
      </c>
      <c r="C13" s="48">
        <v>2</v>
      </c>
      <c r="D13" s="16">
        <v>0</v>
      </c>
      <c r="E13" s="16">
        <v>0</v>
      </c>
      <c r="F13" s="16">
        <v>0</v>
      </c>
      <c r="G13" s="14">
        <f t="shared" si="1"/>
        <v>0</v>
      </c>
      <c r="H13" s="17">
        <f t="shared" si="0"/>
        <v>0</v>
      </c>
    </row>
    <row r="14" spans="1:8">
      <c r="A14" s="49">
        <v>6</v>
      </c>
      <c r="B14" s="69">
        <v>18</v>
      </c>
      <c r="C14" s="48">
        <v>2</v>
      </c>
      <c r="D14" s="16">
        <v>0</v>
      </c>
      <c r="E14" s="16">
        <v>0</v>
      </c>
      <c r="F14" s="16">
        <v>0</v>
      </c>
      <c r="G14" s="14">
        <f t="shared" si="1"/>
        <v>0</v>
      </c>
      <c r="H14" s="17">
        <f t="shared" si="0"/>
        <v>0</v>
      </c>
    </row>
    <row r="15" spans="1:8">
      <c r="A15" s="49">
        <v>7</v>
      </c>
      <c r="B15" s="69">
        <v>21</v>
      </c>
      <c r="C15" s="48">
        <v>2</v>
      </c>
      <c r="D15" s="16">
        <v>0</v>
      </c>
      <c r="E15" s="16">
        <v>0</v>
      </c>
      <c r="F15" s="16">
        <v>0</v>
      </c>
      <c r="G15" s="14">
        <f t="shared" si="1"/>
        <v>0</v>
      </c>
      <c r="H15" s="17">
        <f t="shared" si="0"/>
        <v>0</v>
      </c>
    </row>
    <row r="16" spans="1:8">
      <c r="A16" s="49">
        <v>8</v>
      </c>
      <c r="B16" s="69">
        <v>24</v>
      </c>
      <c r="C16" s="48">
        <v>2</v>
      </c>
      <c r="D16" s="16">
        <v>0</v>
      </c>
      <c r="E16" s="16">
        <v>0</v>
      </c>
      <c r="F16" s="16">
        <v>0</v>
      </c>
      <c r="G16" s="14">
        <f t="shared" si="1"/>
        <v>0</v>
      </c>
      <c r="H16" s="17">
        <f t="shared" si="0"/>
        <v>0</v>
      </c>
    </row>
    <row r="17" spans="1:8">
      <c r="A17" s="49">
        <v>9</v>
      </c>
      <c r="B17" s="69">
        <v>27</v>
      </c>
      <c r="C17" s="48">
        <v>2</v>
      </c>
      <c r="D17" s="16">
        <v>0</v>
      </c>
      <c r="E17" s="16">
        <v>0</v>
      </c>
      <c r="F17" s="16">
        <v>0</v>
      </c>
      <c r="G17" s="14">
        <f t="shared" si="1"/>
        <v>0</v>
      </c>
      <c r="H17" s="17">
        <f t="shared" si="0"/>
        <v>0</v>
      </c>
    </row>
    <row r="18" spans="1:8">
      <c r="A18" s="49">
        <v>10</v>
      </c>
      <c r="B18" s="69">
        <v>30</v>
      </c>
      <c r="C18" s="48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49">
        <v>11</v>
      </c>
      <c r="B19" s="69">
        <v>48</v>
      </c>
      <c r="C19" s="48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41</v>
      </c>
      <c r="B2" s="15">
        <v>90.08</v>
      </c>
    </row>
    <row r="4" spans="1:8">
      <c r="A4" s="100" t="s">
        <v>41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0" t="s">
        <v>4</v>
      </c>
      <c r="B6" s="20" t="s">
        <v>59</v>
      </c>
      <c r="C6" s="20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3</v>
      </c>
      <c r="C9" s="48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49">
        <v>2</v>
      </c>
      <c r="B10" s="69">
        <v>6</v>
      </c>
      <c r="C10" s="48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49">
        <v>3</v>
      </c>
      <c r="B11" s="69">
        <v>9</v>
      </c>
      <c r="C11" s="48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49">
        <v>4</v>
      </c>
      <c r="B12" s="69">
        <v>12</v>
      </c>
      <c r="C12" s="48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49">
        <v>5</v>
      </c>
      <c r="B13" s="69">
        <v>15</v>
      </c>
      <c r="C13" s="48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49">
        <v>6</v>
      </c>
      <c r="B14" s="69">
        <v>18</v>
      </c>
      <c r="C14" s="48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49">
        <v>7</v>
      </c>
      <c r="B15" s="69">
        <v>21</v>
      </c>
      <c r="C15" s="48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49">
        <v>8</v>
      </c>
      <c r="B16" s="69">
        <v>24</v>
      </c>
      <c r="C16" s="48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49">
        <v>9</v>
      </c>
      <c r="B17" s="69">
        <v>27</v>
      </c>
      <c r="C17" s="48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30</v>
      </c>
      <c r="C18" s="48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49">
        <v>11</v>
      </c>
      <c r="B19" s="69">
        <v>48</v>
      </c>
      <c r="C19" s="48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43</v>
      </c>
      <c r="B2" s="15">
        <v>46.07</v>
      </c>
    </row>
    <row r="4" spans="1:8">
      <c r="A4" s="100" t="s">
        <v>43</v>
      </c>
      <c r="B4" s="101"/>
      <c r="C4" s="101"/>
      <c r="D4" s="101"/>
      <c r="E4" s="101"/>
      <c r="F4" s="101"/>
      <c r="G4" s="101"/>
      <c r="H4" s="102"/>
    </row>
    <row r="5" spans="1:8">
      <c r="A5" s="103" t="s">
        <v>61</v>
      </c>
      <c r="B5" s="101"/>
      <c r="C5" s="102"/>
      <c r="D5" s="104" t="s">
        <v>44</v>
      </c>
      <c r="E5" s="104" t="s">
        <v>45</v>
      </c>
      <c r="F5" s="104" t="s">
        <v>46</v>
      </c>
      <c r="G5" s="106" t="s">
        <v>62</v>
      </c>
      <c r="H5" s="106" t="s">
        <v>63</v>
      </c>
    </row>
    <row r="6" spans="1:8">
      <c r="A6" s="20" t="s">
        <v>4</v>
      </c>
      <c r="B6" s="20" t="s">
        <v>59</v>
      </c>
      <c r="C6" s="20" t="s">
        <v>19</v>
      </c>
      <c r="D6" s="105"/>
      <c r="E6" s="105"/>
      <c r="F6" s="105"/>
      <c r="G6" s="107"/>
      <c r="H6" s="107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3</v>
      </c>
      <c r="C9" s="48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49">
        <v>2</v>
      </c>
      <c r="B10" s="69">
        <v>6</v>
      </c>
      <c r="C10" s="48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49">
        <v>3</v>
      </c>
      <c r="B11" s="69">
        <v>9</v>
      </c>
      <c r="C11" s="48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49">
        <v>4</v>
      </c>
      <c r="B12" s="69">
        <v>12</v>
      </c>
      <c r="C12" s="48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49">
        <v>5</v>
      </c>
      <c r="B13" s="69">
        <v>15</v>
      </c>
      <c r="C13" s="48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49">
        <v>6</v>
      </c>
      <c r="B14" s="69">
        <v>18</v>
      </c>
      <c r="C14" s="48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49">
        <v>7</v>
      </c>
      <c r="B15" s="69">
        <v>21</v>
      </c>
      <c r="C15" s="48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49">
        <v>8</v>
      </c>
      <c r="B16" s="69">
        <v>24</v>
      </c>
      <c r="C16" s="48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49">
        <v>9</v>
      </c>
      <c r="B17" s="69">
        <v>27</v>
      </c>
      <c r="C17" s="48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30</v>
      </c>
      <c r="C18" s="48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49">
        <v>11</v>
      </c>
      <c r="B19" s="69">
        <v>48</v>
      </c>
      <c r="C19" s="48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35"/>
  <sheetViews>
    <sheetView tabSelected="1" workbookViewId="0">
      <selection activeCell="D14" sqref="D14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12">
      <c r="B1" s="27" t="s">
        <v>77</v>
      </c>
      <c r="C1" s="27" t="s">
        <v>78</v>
      </c>
    </row>
    <row r="2" spans="1:12">
      <c r="A2" s="27" t="s">
        <v>131</v>
      </c>
      <c r="B2" s="110">
        <f>Metabolites!H4-Metabolites!H15</f>
        <v>0</v>
      </c>
      <c r="C2" s="110">
        <f>Metabolites!I4+Metabolites!I15</f>
        <v>0</v>
      </c>
      <c r="D2" s="110"/>
    </row>
    <row r="3" spans="1:12">
      <c r="A3" s="27" t="s">
        <v>143</v>
      </c>
      <c r="B3" s="110">
        <f>Metabolites!P15-Metabolites!P4</f>
        <v>43.140284046825002</v>
      </c>
      <c r="C3" s="110">
        <f>Metabolites!Q4+Metabolites!Q15</f>
        <v>1.3163794631162171</v>
      </c>
      <c r="D3" s="110"/>
    </row>
    <row r="4" spans="1:12">
      <c r="A4" s="27" t="s">
        <v>144</v>
      </c>
      <c r="B4" s="110">
        <f>Metabolites!T4-Metabolites!T15</f>
        <v>140.31428778332972</v>
      </c>
      <c r="C4" s="110">
        <f>Metabolites!U4+Metabolites!U15</f>
        <v>0.39425469154367343</v>
      </c>
      <c r="D4" s="110"/>
    </row>
    <row r="5" spans="1:12">
      <c r="A5" s="27" t="s">
        <v>109</v>
      </c>
      <c r="B5" s="110">
        <f>Metabolites!L15-Metabolites!L4</f>
        <v>0</v>
      </c>
      <c r="C5" s="110">
        <f>Metabolites!M15+Metabolites!M4</f>
        <v>0</v>
      </c>
      <c r="D5" s="110"/>
    </row>
    <row r="6" spans="1:12">
      <c r="A6" s="27" t="s">
        <v>110</v>
      </c>
      <c r="B6" s="110">
        <f>Metabolites!L32-Metabolites!L21</f>
        <v>0</v>
      </c>
      <c r="C6" s="110">
        <f>Metabolites!M32+Metabolites!M21</f>
        <v>0</v>
      </c>
      <c r="D6" s="110"/>
    </row>
    <row r="7" spans="1:12">
      <c r="A7" s="27" t="s">
        <v>79</v>
      </c>
      <c r="B7" s="110">
        <f>'H2'!G101</f>
        <v>79.653475827731796</v>
      </c>
      <c r="C7" s="110"/>
      <c r="D7" s="110"/>
    </row>
    <row r="8" spans="1:12">
      <c r="A8" s="27" t="s">
        <v>80</v>
      </c>
      <c r="B8" s="110">
        <f>'CO2'!G101</f>
        <v>83.007302037845108</v>
      </c>
      <c r="C8" s="110"/>
      <c r="D8" s="110"/>
    </row>
    <row r="9" spans="1:12">
      <c r="A9" s="27" t="s">
        <v>112</v>
      </c>
      <c r="B9" s="110">
        <f xml:space="preserve"> Calculation!G15*1.5/1000</f>
        <v>7.8E-2</v>
      </c>
      <c r="C9" s="110"/>
      <c r="D9" s="110"/>
    </row>
    <row r="10" spans="1:12" ht="16">
      <c r="A10" s="27" t="s">
        <v>113</v>
      </c>
      <c r="B10" s="110">
        <f>Calculation!H15*1.5/1000</f>
        <v>0</v>
      </c>
      <c r="C10" s="110"/>
      <c r="D10" s="110"/>
    </row>
    <row r="12" spans="1:12">
      <c r="A12" s="27" t="s">
        <v>81</v>
      </c>
      <c r="B12" s="111">
        <f>((4*$B$6)+(3*$B$5)+(2*$B$3)+(B8))/((6*$B$2)+(($B$4)))</f>
        <v>1.2064906062375185</v>
      </c>
    </row>
    <row r="13" spans="1:12">
      <c r="A13" s="27" t="s">
        <v>111</v>
      </c>
    </row>
    <row r="16" spans="1:12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>
      <c r="A17" s="74"/>
      <c r="B17" s="74" t="s">
        <v>145</v>
      </c>
      <c r="C17" s="74"/>
      <c r="D17" s="74" t="s">
        <v>146</v>
      </c>
      <c r="E17" s="74"/>
      <c r="F17" s="74" t="s">
        <v>147</v>
      </c>
      <c r="G17" s="74" t="s">
        <v>148</v>
      </c>
      <c r="H17" s="74" t="s">
        <v>149</v>
      </c>
      <c r="I17" s="74" t="s">
        <v>150</v>
      </c>
      <c r="J17" s="56"/>
      <c r="K17" s="56"/>
      <c r="L17" s="56"/>
    </row>
    <row r="18" spans="1:12">
      <c r="A18" s="74"/>
      <c r="B18" s="74" t="s">
        <v>151</v>
      </c>
      <c r="C18" s="74"/>
      <c r="D18" s="74"/>
      <c r="E18" s="74"/>
      <c r="F18" s="74"/>
      <c r="G18" s="74"/>
      <c r="H18" s="74"/>
      <c r="I18" s="74"/>
      <c r="J18" s="56"/>
      <c r="K18" s="56"/>
      <c r="L18" s="56"/>
    </row>
    <row r="19" spans="1:12">
      <c r="A19" s="74"/>
      <c r="B19" s="74"/>
      <c r="C19" s="74"/>
      <c r="D19" s="74" t="s">
        <v>152</v>
      </c>
      <c r="E19" s="74"/>
      <c r="F19" s="74" t="s">
        <v>147</v>
      </c>
      <c r="G19" s="74" t="s">
        <v>153</v>
      </c>
      <c r="H19" s="74"/>
      <c r="I19" s="74"/>
      <c r="J19" s="56"/>
      <c r="K19" s="56"/>
      <c r="L19" s="56"/>
    </row>
    <row r="20" spans="1:12">
      <c r="A20" s="74"/>
      <c r="B20" s="74"/>
      <c r="C20" s="74"/>
      <c r="D20" s="74" t="s">
        <v>154</v>
      </c>
      <c r="E20" s="74" t="s">
        <v>155</v>
      </c>
      <c r="F20" s="74" t="s">
        <v>147</v>
      </c>
      <c r="G20" s="74" t="s">
        <v>156</v>
      </c>
      <c r="H20" s="74" t="s">
        <v>157</v>
      </c>
      <c r="I20" s="74" t="s">
        <v>150</v>
      </c>
      <c r="J20" s="56"/>
      <c r="K20" s="56"/>
      <c r="L20" s="56"/>
    </row>
    <row r="21" spans="1:12">
      <c r="A21" s="74"/>
      <c r="B21" s="74"/>
      <c r="C21" s="74"/>
      <c r="D21" s="74" t="s">
        <v>152</v>
      </c>
      <c r="E21" s="74" t="s">
        <v>158</v>
      </c>
      <c r="F21" s="74" t="s">
        <v>147</v>
      </c>
      <c r="G21" s="74" t="s">
        <v>156</v>
      </c>
      <c r="H21" s="74" t="s">
        <v>157</v>
      </c>
      <c r="I21" s="74" t="s">
        <v>159</v>
      </c>
      <c r="J21" s="56"/>
      <c r="K21" s="56"/>
      <c r="L21" s="56"/>
    </row>
    <row r="22" spans="1:12">
      <c r="A22" s="74"/>
      <c r="B22" s="74" t="s">
        <v>160</v>
      </c>
      <c r="C22" s="74"/>
      <c r="D22" s="74" t="s">
        <v>161</v>
      </c>
      <c r="E22" s="74" t="s">
        <v>162</v>
      </c>
      <c r="F22" s="74" t="s">
        <v>147</v>
      </c>
      <c r="G22" s="74" t="s">
        <v>163</v>
      </c>
      <c r="H22" s="74" t="s">
        <v>164</v>
      </c>
      <c r="I22" s="74" t="s">
        <v>159</v>
      </c>
      <c r="J22" s="56"/>
      <c r="K22" s="56"/>
      <c r="L22" s="56"/>
    </row>
    <row r="23" spans="1:12">
      <c r="A23" s="74"/>
      <c r="B23" s="74"/>
      <c r="C23" s="74"/>
      <c r="D23" s="74"/>
      <c r="E23" s="74"/>
      <c r="F23" s="74"/>
      <c r="G23" s="74"/>
      <c r="H23" s="74"/>
      <c r="I23" s="74"/>
      <c r="J23" s="56"/>
      <c r="K23" s="56"/>
      <c r="L23" s="56"/>
    </row>
    <row r="24" spans="1:12">
      <c r="A24" s="74"/>
      <c r="B24" s="74"/>
      <c r="C24" s="74"/>
      <c r="D24" s="74"/>
      <c r="E24" s="74"/>
      <c r="F24" s="74"/>
      <c r="G24" s="74"/>
      <c r="H24" s="74"/>
      <c r="I24" s="74"/>
      <c r="J24" s="56"/>
      <c r="K24" s="56"/>
      <c r="L24" s="56"/>
    </row>
    <row r="25" spans="1:12">
      <c r="A25" s="74"/>
      <c r="B25" s="74"/>
      <c r="C25" s="74"/>
      <c r="D25" s="56" t="s">
        <v>114</v>
      </c>
      <c r="E25" s="56"/>
      <c r="F25" s="56" t="s">
        <v>115</v>
      </c>
      <c r="G25" s="56"/>
      <c r="H25" s="56"/>
      <c r="I25" s="56"/>
      <c r="J25" s="56"/>
      <c r="K25" s="56"/>
      <c r="L25" s="56"/>
    </row>
    <row r="26" spans="1:12">
      <c r="A26" s="108" t="s">
        <v>165</v>
      </c>
      <c r="B26" s="108"/>
      <c r="C26" s="108"/>
      <c r="D26" s="74" t="s">
        <v>90</v>
      </c>
      <c r="E26" s="56"/>
      <c r="F26" s="75">
        <f>B4</f>
        <v>140.31428778332972</v>
      </c>
      <c r="G26" s="74" t="s">
        <v>47</v>
      </c>
      <c r="H26" s="56"/>
      <c r="I26" s="56"/>
      <c r="J26" s="56"/>
      <c r="K26" s="56"/>
      <c r="L26" s="56"/>
    </row>
    <row r="27" spans="1:12">
      <c r="A27" s="108" t="s">
        <v>166</v>
      </c>
      <c r="B27" s="108"/>
      <c r="C27" s="108"/>
      <c r="D27" s="74" t="s">
        <v>90</v>
      </c>
      <c r="E27" s="56"/>
      <c r="F27" s="75">
        <f>B3</f>
        <v>43.140284046825002</v>
      </c>
      <c r="G27" s="74" t="s">
        <v>47</v>
      </c>
      <c r="H27" s="56"/>
      <c r="I27" s="56"/>
      <c r="J27" s="56"/>
      <c r="K27" s="56"/>
      <c r="L27" s="56"/>
    </row>
    <row r="28" spans="1:12">
      <c r="A28" s="74" t="s">
        <v>167</v>
      </c>
      <c r="B28" s="74"/>
      <c r="C28" s="74"/>
      <c r="D28" s="75">
        <f>B4</f>
        <v>140.31428778332972</v>
      </c>
      <c r="E28" s="74" t="s">
        <v>47</v>
      </c>
      <c r="F28" s="56" t="s">
        <v>90</v>
      </c>
      <c r="G28" s="56"/>
      <c r="H28" s="56"/>
      <c r="I28" s="56"/>
      <c r="J28" s="56"/>
      <c r="K28" s="56"/>
      <c r="L28" s="56"/>
    </row>
    <row r="29" spans="1:12">
      <c r="A29" s="74" t="s">
        <v>168</v>
      </c>
      <c r="B29" s="74"/>
      <c r="C29" s="74"/>
      <c r="D29" s="75">
        <f>4*B3</f>
        <v>172.56113618730001</v>
      </c>
      <c r="E29" s="74" t="s">
        <v>47</v>
      </c>
      <c r="F29" s="56"/>
      <c r="G29" s="56"/>
      <c r="H29" s="56"/>
      <c r="I29" s="56"/>
      <c r="J29" s="56"/>
      <c r="K29" s="56"/>
      <c r="L29" s="56"/>
    </row>
    <row r="30" spans="1:12">
      <c r="A30" s="74" t="s">
        <v>169</v>
      </c>
      <c r="B30" s="56"/>
      <c r="C30" s="56"/>
      <c r="D30" s="75">
        <f>2*B3</f>
        <v>86.280568093650004</v>
      </c>
      <c r="E30" s="74" t="s">
        <v>47</v>
      </c>
      <c r="F30" s="74"/>
      <c r="G30" s="74"/>
      <c r="H30" s="56"/>
      <c r="I30" s="56"/>
      <c r="J30" s="56"/>
      <c r="K30" s="56"/>
      <c r="L30" s="56"/>
    </row>
    <row r="31" spans="1:12">
      <c r="A31" s="56"/>
      <c r="B31" s="74"/>
      <c r="C31" s="74"/>
      <c r="D31" s="74"/>
      <c r="E31" s="74"/>
      <c r="F31" s="74"/>
      <c r="G31" s="74"/>
      <c r="H31" s="56"/>
      <c r="I31" s="56"/>
      <c r="J31" s="56"/>
      <c r="K31" s="56"/>
      <c r="L31" s="56"/>
    </row>
    <row r="32" spans="1:1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spans="1:12">
      <c r="A33" s="74" t="s">
        <v>170</v>
      </c>
      <c r="B33" s="56"/>
      <c r="C33" s="56"/>
      <c r="D33" s="76">
        <f>D28-D29</f>
        <v>-32.24684840397029</v>
      </c>
      <c r="E33" s="74" t="s">
        <v>47</v>
      </c>
      <c r="F33" s="76">
        <f>B7</f>
        <v>79.653475827731796</v>
      </c>
      <c r="G33" s="74" t="s">
        <v>47</v>
      </c>
      <c r="H33" s="56"/>
      <c r="I33" s="56"/>
      <c r="J33" s="56"/>
      <c r="K33" s="56"/>
      <c r="L33" s="56"/>
    </row>
    <row r="34" spans="1:12">
      <c r="A34" s="74" t="s">
        <v>171</v>
      </c>
      <c r="B34" s="56"/>
      <c r="C34" s="56"/>
      <c r="D34" s="76">
        <f>D28-D30</f>
        <v>54.033719689679714</v>
      </c>
      <c r="E34" s="74" t="s">
        <v>47</v>
      </c>
      <c r="F34" s="76">
        <f>B8</f>
        <v>83.007302037845108</v>
      </c>
      <c r="G34" s="74" t="s">
        <v>47</v>
      </c>
      <c r="H34" s="56"/>
      <c r="I34" s="56"/>
      <c r="J34" s="56"/>
      <c r="K34" s="56"/>
      <c r="L34" s="56"/>
    </row>
    <row r="35" spans="1:1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</row>
  </sheetData>
  <mergeCells count="2">
    <mergeCell ref="A26:C26"/>
    <mergeCell ref="A27:C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D15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86" t="s">
        <v>4</v>
      </c>
      <c r="B1" s="86" t="s">
        <v>103</v>
      </c>
      <c r="C1" s="86" t="s">
        <v>103</v>
      </c>
      <c r="D1" s="86" t="s">
        <v>5</v>
      </c>
      <c r="E1" s="3" t="s">
        <v>7</v>
      </c>
      <c r="F1" s="3" t="s">
        <v>9</v>
      </c>
      <c r="G1" s="88" t="s">
        <v>11</v>
      </c>
      <c r="H1" s="88" t="s">
        <v>12</v>
      </c>
      <c r="I1" s="3" t="s">
        <v>13</v>
      </c>
      <c r="J1" s="3" t="s">
        <v>16</v>
      </c>
      <c r="K1" s="3" t="s">
        <v>16</v>
      </c>
    </row>
    <row r="2" spans="1:11">
      <c r="A2" s="87"/>
      <c r="B2" s="87"/>
      <c r="C2" s="87"/>
      <c r="D2" s="87"/>
      <c r="E2" s="4" t="s">
        <v>8</v>
      </c>
      <c r="F2" s="4" t="s">
        <v>10</v>
      </c>
      <c r="G2" s="88"/>
      <c r="H2" s="88"/>
      <c r="I2" s="4" t="s">
        <v>14</v>
      </c>
      <c r="J2" s="4" t="s">
        <v>17</v>
      </c>
      <c r="K2" s="4" t="s">
        <v>133</v>
      </c>
    </row>
    <row r="3" spans="1:11">
      <c r="A3" s="29" t="s">
        <v>6</v>
      </c>
      <c r="B3" s="47">
        <v>-10</v>
      </c>
      <c r="C3" s="48">
        <v>-10</v>
      </c>
      <c r="D3" s="59">
        <f>C3/60</f>
        <v>-0.16666666666666666</v>
      </c>
      <c r="E3" s="1">
        <v>41</v>
      </c>
      <c r="F3" s="28">
        <f>E3</f>
        <v>41</v>
      </c>
      <c r="G3" s="35">
        <v>0</v>
      </c>
      <c r="H3" s="35">
        <v>0</v>
      </c>
      <c r="I3" s="1">
        <f>F18+G3+H3</f>
        <v>1500</v>
      </c>
      <c r="J3" s="11">
        <f>E3*1500/I3</f>
        <v>41</v>
      </c>
      <c r="K3" s="11">
        <f>F19-J3</f>
        <v>1534</v>
      </c>
    </row>
    <row r="4" spans="1:11">
      <c r="A4" s="1">
        <v>0</v>
      </c>
      <c r="B4" s="49">
        <v>10</v>
      </c>
      <c r="C4" s="50">
        <v>10</v>
      </c>
      <c r="D4" s="59">
        <f t="shared" ref="D4:D15" si="0">C4/60</f>
        <v>0.16666666666666666</v>
      </c>
      <c r="E4" s="1">
        <v>43</v>
      </c>
      <c r="F4" s="28">
        <f>E4+F3</f>
        <v>84</v>
      </c>
      <c r="G4" s="35">
        <v>0</v>
      </c>
      <c r="H4" s="35">
        <v>0</v>
      </c>
      <c r="I4" s="1">
        <f t="shared" ref="I4:I15" si="1">$F$19-F3+G4+H4</f>
        <v>1534</v>
      </c>
      <c r="J4" s="11">
        <f>E4*K3/I4</f>
        <v>43</v>
      </c>
      <c r="K4" s="11">
        <f>K3-J4</f>
        <v>1491</v>
      </c>
    </row>
    <row r="5" spans="1:11">
      <c r="A5" s="1">
        <v>1</v>
      </c>
      <c r="B5" s="49">
        <v>170</v>
      </c>
      <c r="C5" s="50">
        <f>C4+B5</f>
        <v>180</v>
      </c>
      <c r="D5" s="59">
        <f t="shared" si="0"/>
        <v>3</v>
      </c>
      <c r="E5" s="35">
        <v>50</v>
      </c>
      <c r="F5" s="28">
        <f t="shared" ref="F5:F15" si="2">E5+F4</f>
        <v>134</v>
      </c>
      <c r="G5" s="35">
        <v>0</v>
      </c>
      <c r="H5" s="35">
        <v>0</v>
      </c>
      <c r="I5" s="35">
        <f t="shared" si="1"/>
        <v>1491</v>
      </c>
      <c r="J5" s="11">
        <f t="shared" ref="J5:J15" si="3">E5*K4/I5</f>
        <v>50</v>
      </c>
      <c r="K5" s="11">
        <f>K4-J5</f>
        <v>1441</v>
      </c>
    </row>
    <row r="6" spans="1:11">
      <c r="A6" s="1">
        <v>2</v>
      </c>
      <c r="B6" s="49">
        <v>180</v>
      </c>
      <c r="C6" s="50">
        <f t="shared" ref="C6:C13" si="4">C5+B6</f>
        <v>360</v>
      </c>
      <c r="D6" s="59">
        <f t="shared" si="0"/>
        <v>6</v>
      </c>
      <c r="E6" s="35">
        <v>50</v>
      </c>
      <c r="F6" s="28">
        <f t="shared" si="2"/>
        <v>184</v>
      </c>
      <c r="G6" s="35">
        <v>0</v>
      </c>
      <c r="H6" s="35">
        <v>0</v>
      </c>
      <c r="I6" s="35">
        <f t="shared" si="1"/>
        <v>1441</v>
      </c>
      <c r="J6" s="11">
        <f t="shared" si="3"/>
        <v>50</v>
      </c>
      <c r="K6" s="11">
        <f>K5-J6</f>
        <v>1391</v>
      </c>
    </row>
    <row r="7" spans="1:11">
      <c r="A7" s="1">
        <v>3</v>
      </c>
      <c r="B7" s="49">
        <v>180</v>
      </c>
      <c r="C7" s="50">
        <f>C6+B7</f>
        <v>540</v>
      </c>
      <c r="D7" s="59">
        <f t="shared" si="0"/>
        <v>9</v>
      </c>
      <c r="E7" s="35">
        <v>47</v>
      </c>
      <c r="F7" s="28">
        <f t="shared" si="2"/>
        <v>231</v>
      </c>
      <c r="G7" s="35">
        <v>1</v>
      </c>
      <c r="H7" s="35">
        <v>0</v>
      </c>
      <c r="I7" s="35">
        <f t="shared" si="1"/>
        <v>1392</v>
      </c>
      <c r="J7" s="11">
        <f t="shared" si="3"/>
        <v>46.96623563218391</v>
      </c>
      <c r="K7" s="11">
        <f t="shared" ref="K7:K15" si="5">K6-J7</f>
        <v>1344.033764367816</v>
      </c>
    </row>
    <row r="8" spans="1:11">
      <c r="A8" s="1">
        <v>4</v>
      </c>
      <c r="B8" s="49">
        <v>180</v>
      </c>
      <c r="C8" s="50">
        <f t="shared" si="4"/>
        <v>720</v>
      </c>
      <c r="D8" s="59">
        <f t="shared" si="0"/>
        <v>12</v>
      </c>
      <c r="E8" s="35">
        <v>45</v>
      </c>
      <c r="F8" s="28">
        <f t="shared" si="2"/>
        <v>276</v>
      </c>
      <c r="G8" s="35">
        <v>1</v>
      </c>
      <c r="H8" s="35">
        <v>0</v>
      </c>
      <c r="I8" s="35">
        <f t="shared" si="1"/>
        <v>1345</v>
      </c>
      <c r="J8" s="11">
        <f t="shared" si="3"/>
        <v>44.967672413793103</v>
      </c>
      <c r="K8" s="11">
        <f t="shared" si="5"/>
        <v>1299.066091954023</v>
      </c>
    </row>
    <row r="9" spans="1:11">
      <c r="A9" s="1">
        <v>5</v>
      </c>
      <c r="B9" s="49">
        <v>180</v>
      </c>
      <c r="C9" s="50">
        <f t="shared" si="4"/>
        <v>900</v>
      </c>
      <c r="D9" s="59">
        <f t="shared" si="0"/>
        <v>15</v>
      </c>
      <c r="E9" s="35">
        <v>43</v>
      </c>
      <c r="F9" s="28">
        <f>E9+F8</f>
        <v>319</v>
      </c>
      <c r="G9" s="35">
        <v>7</v>
      </c>
      <c r="H9" s="35">
        <v>0</v>
      </c>
      <c r="I9" s="35">
        <f t="shared" si="1"/>
        <v>1306</v>
      </c>
      <c r="J9" s="11">
        <f t="shared" si="3"/>
        <v>42.771701343049763</v>
      </c>
      <c r="K9" s="11">
        <f>K8-J9</f>
        <v>1256.2943906109733</v>
      </c>
    </row>
    <row r="10" spans="1:11">
      <c r="A10" s="1">
        <v>6</v>
      </c>
      <c r="B10" s="49">
        <v>180</v>
      </c>
      <c r="C10" s="50">
        <f t="shared" si="4"/>
        <v>1080</v>
      </c>
      <c r="D10" s="59">
        <f t="shared" si="0"/>
        <v>18</v>
      </c>
      <c r="E10" s="35">
        <v>50</v>
      </c>
      <c r="F10" s="28">
        <f t="shared" si="2"/>
        <v>369</v>
      </c>
      <c r="G10" s="35">
        <v>15</v>
      </c>
      <c r="H10" s="35">
        <v>0</v>
      </c>
      <c r="I10" s="35">
        <f t="shared" si="1"/>
        <v>1271</v>
      </c>
      <c r="J10" s="11">
        <f t="shared" si="3"/>
        <v>49.421494516560713</v>
      </c>
      <c r="K10" s="11">
        <f>K9-J10</f>
        <v>1206.8728960944127</v>
      </c>
    </row>
    <row r="11" spans="1:11">
      <c r="A11" s="1">
        <v>7</v>
      </c>
      <c r="B11" s="49">
        <v>180</v>
      </c>
      <c r="C11" s="50">
        <f t="shared" si="4"/>
        <v>1260</v>
      </c>
      <c r="D11" s="59">
        <f t="shared" si="0"/>
        <v>21</v>
      </c>
      <c r="E11" s="35">
        <v>53</v>
      </c>
      <c r="F11" s="28">
        <f t="shared" si="2"/>
        <v>422</v>
      </c>
      <c r="G11" s="35">
        <v>26</v>
      </c>
      <c r="H11" s="35">
        <v>0</v>
      </c>
      <c r="I11" s="35">
        <f t="shared" si="1"/>
        <v>1232</v>
      </c>
      <c r="J11" s="11">
        <f t="shared" si="3"/>
        <v>51.919045043022621</v>
      </c>
      <c r="K11" s="11">
        <f t="shared" si="5"/>
        <v>1154.9538510513901</v>
      </c>
    </row>
    <row r="12" spans="1:11">
      <c r="A12" s="1">
        <v>8</v>
      </c>
      <c r="B12" s="49">
        <v>180</v>
      </c>
      <c r="C12" s="50">
        <f>C11+B12</f>
        <v>1440</v>
      </c>
      <c r="D12" s="59">
        <f t="shared" si="0"/>
        <v>24</v>
      </c>
      <c r="E12" s="35">
        <v>49</v>
      </c>
      <c r="F12" s="28">
        <f t="shared" si="2"/>
        <v>471</v>
      </c>
      <c r="G12" s="35">
        <v>40</v>
      </c>
      <c r="H12" s="35">
        <v>0</v>
      </c>
      <c r="I12" s="35">
        <f t="shared" si="1"/>
        <v>1193</v>
      </c>
      <c r="J12" s="11">
        <f t="shared" si="3"/>
        <v>47.437333362546617</v>
      </c>
      <c r="K12" s="11">
        <f t="shared" si="5"/>
        <v>1107.5165176888434</v>
      </c>
    </row>
    <row r="13" spans="1:11">
      <c r="A13" s="1">
        <v>9</v>
      </c>
      <c r="B13" s="49">
        <v>180</v>
      </c>
      <c r="C13" s="50">
        <f t="shared" si="4"/>
        <v>1620</v>
      </c>
      <c r="D13" s="59">
        <f t="shared" si="0"/>
        <v>27</v>
      </c>
      <c r="E13" s="35">
        <v>54</v>
      </c>
      <c r="F13" s="28">
        <f t="shared" si="2"/>
        <v>525</v>
      </c>
      <c r="G13" s="35">
        <v>47</v>
      </c>
      <c r="H13" s="35">
        <v>0</v>
      </c>
      <c r="I13" s="35">
        <f t="shared" si="1"/>
        <v>1151</v>
      </c>
      <c r="J13" s="11">
        <f t="shared" si="3"/>
        <v>51.959940882013505</v>
      </c>
      <c r="K13" s="11">
        <f t="shared" si="5"/>
        <v>1055.5565768068298</v>
      </c>
    </row>
    <row r="14" spans="1:11">
      <c r="A14" s="32">
        <v>10</v>
      </c>
      <c r="B14" s="49">
        <v>180</v>
      </c>
      <c r="C14" s="50">
        <f>C13+B14</f>
        <v>1800</v>
      </c>
      <c r="D14" s="59">
        <f t="shared" si="0"/>
        <v>30</v>
      </c>
      <c r="E14" s="35">
        <v>56</v>
      </c>
      <c r="F14" s="28">
        <f t="shared" si="2"/>
        <v>581</v>
      </c>
      <c r="G14" s="35">
        <v>50</v>
      </c>
      <c r="H14" s="35">
        <v>0</v>
      </c>
      <c r="I14" s="35">
        <f t="shared" si="1"/>
        <v>1100</v>
      </c>
      <c r="J14" s="11">
        <f t="shared" si="3"/>
        <v>53.737425728347695</v>
      </c>
      <c r="K14" s="11">
        <f t="shared" si="5"/>
        <v>1001.819151078482</v>
      </c>
    </row>
    <row r="15" spans="1:11">
      <c r="A15" s="32">
        <v>11</v>
      </c>
      <c r="B15" s="49">
        <v>1080</v>
      </c>
      <c r="C15" s="50">
        <f>C14+B15</f>
        <v>2880</v>
      </c>
      <c r="D15" s="59">
        <f t="shared" si="0"/>
        <v>48</v>
      </c>
      <c r="E15" s="35">
        <v>57</v>
      </c>
      <c r="F15" s="28">
        <f t="shared" si="2"/>
        <v>638</v>
      </c>
      <c r="G15" s="35">
        <v>52</v>
      </c>
      <c r="H15" s="35">
        <v>0</v>
      </c>
      <c r="I15" s="35">
        <f t="shared" si="1"/>
        <v>1046</v>
      </c>
      <c r="J15" s="11">
        <f t="shared" si="3"/>
        <v>54.592439399114227</v>
      </c>
      <c r="K15" s="11">
        <f t="shared" si="5"/>
        <v>947.22671167936778</v>
      </c>
    </row>
    <row r="16" spans="1:11">
      <c r="A16" s="8"/>
      <c r="B16" s="67"/>
      <c r="C16" s="67"/>
      <c r="D16" s="60"/>
      <c r="E16" s="8"/>
      <c r="F16" s="8"/>
      <c r="G16" s="8"/>
      <c r="H16" s="8"/>
      <c r="I16" s="8"/>
      <c r="J16" s="68"/>
      <c r="K16" s="68"/>
    </row>
    <row r="18" spans="1:6">
      <c r="A18" s="89" t="s">
        <v>15</v>
      </c>
      <c r="B18" s="80"/>
      <c r="C18" s="80"/>
      <c r="D18" s="80"/>
      <c r="E18" s="90"/>
      <c r="F18" s="1">
        <v>1500</v>
      </c>
    </row>
    <row r="19" spans="1:6">
      <c r="A19" s="83" t="s">
        <v>134</v>
      </c>
      <c r="B19" s="84"/>
      <c r="C19" s="84"/>
      <c r="D19" s="84"/>
      <c r="E19" s="85"/>
      <c r="F19" s="48">
        <v>1575</v>
      </c>
    </row>
  </sheetData>
  <mergeCells count="8">
    <mergeCell ref="A19:E19"/>
    <mergeCell ref="A1:A2"/>
    <mergeCell ref="D1:D2"/>
    <mergeCell ref="G1:G2"/>
    <mergeCell ref="H1:H2"/>
    <mergeCell ref="A18:E18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H15" sqref="H15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86" t="s">
        <v>4</v>
      </c>
      <c r="B1" s="86" t="s">
        <v>103</v>
      </c>
      <c r="C1" s="86" t="s">
        <v>103</v>
      </c>
      <c r="D1" s="86" t="s">
        <v>5</v>
      </c>
      <c r="E1" s="82" t="s">
        <v>18</v>
      </c>
      <c r="F1" s="82"/>
      <c r="G1" s="82"/>
      <c r="H1" s="82"/>
      <c r="I1" s="82" t="s">
        <v>20</v>
      </c>
      <c r="J1" s="82"/>
      <c r="K1" s="82"/>
      <c r="L1" s="82"/>
      <c r="M1" s="82" t="s">
        <v>21</v>
      </c>
      <c r="N1" s="82"/>
      <c r="O1" s="82"/>
      <c r="P1" s="82"/>
      <c r="Q1" s="33" t="s">
        <v>22</v>
      </c>
      <c r="R1" s="33" t="s">
        <v>22</v>
      </c>
      <c r="S1" s="33" t="s">
        <v>22</v>
      </c>
    </row>
    <row r="2" spans="1:19">
      <c r="A2" s="87"/>
      <c r="B2" s="87"/>
      <c r="C2" s="87"/>
      <c r="D2" s="87"/>
      <c r="E2" s="36" t="s">
        <v>19</v>
      </c>
      <c r="F2" s="36" t="s">
        <v>67</v>
      </c>
      <c r="G2" s="36" t="s">
        <v>104</v>
      </c>
      <c r="H2" s="36" t="s">
        <v>69</v>
      </c>
      <c r="I2" s="36" t="s">
        <v>19</v>
      </c>
      <c r="J2" s="36" t="s">
        <v>67</v>
      </c>
      <c r="K2" s="36" t="s">
        <v>68</v>
      </c>
      <c r="L2" s="36" t="s">
        <v>69</v>
      </c>
      <c r="M2" s="36" t="s">
        <v>19</v>
      </c>
      <c r="N2" s="36" t="s">
        <v>67</v>
      </c>
      <c r="O2" s="36" t="s">
        <v>68</v>
      </c>
      <c r="P2" s="36" t="s">
        <v>70</v>
      </c>
      <c r="Q2" s="34" t="s">
        <v>69</v>
      </c>
      <c r="R2" s="34" t="s">
        <v>23</v>
      </c>
      <c r="S2" s="34" t="s">
        <v>71</v>
      </c>
    </row>
    <row r="3" spans="1:19" s="5" customFormat="1">
      <c r="A3" s="35" t="s">
        <v>6</v>
      </c>
      <c r="B3" s="47">
        <v>-10</v>
      </c>
      <c r="C3" s="48">
        <v>-10</v>
      </c>
      <c r="D3" s="59">
        <f>C3/60</f>
        <v>-0.16666666666666666</v>
      </c>
      <c r="E3" s="5">
        <v>2</v>
      </c>
      <c r="F3" s="2">
        <v>0</v>
      </c>
      <c r="G3" s="5">
        <v>10</v>
      </c>
      <c r="H3" s="5">
        <f>F3*10^E3*1000/G3</f>
        <v>0</v>
      </c>
      <c r="I3" s="5">
        <v>2</v>
      </c>
      <c r="J3" s="2">
        <v>0</v>
      </c>
      <c r="K3" s="5">
        <v>10</v>
      </c>
      <c r="L3" s="5">
        <f>J3*10^I3*1000/K3</f>
        <v>0</v>
      </c>
      <c r="M3" s="5">
        <v>2</v>
      </c>
      <c r="N3" s="2">
        <v>0</v>
      </c>
      <c r="O3" s="5">
        <v>10</v>
      </c>
      <c r="P3" s="5">
        <f>N3*10^M3*1000/O3</f>
        <v>0</v>
      </c>
      <c r="Q3" s="91"/>
      <c r="R3" s="92"/>
      <c r="S3" s="93"/>
    </row>
    <row r="4" spans="1:19">
      <c r="A4" s="35">
        <v>0</v>
      </c>
      <c r="B4" s="49">
        <v>10</v>
      </c>
      <c r="C4" s="50">
        <v>10</v>
      </c>
      <c r="D4" s="59">
        <f t="shared" ref="D4:D15" si="0">C4/60</f>
        <v>0.16666666666666666</v>
      </c>
      <c r="E4" s="2">
        <v>2</v>
      </c>
      <c r="F4" s="2">
        <v>2</v>
      </c>
      <c r="G4" s="5">
        <v>10</v>
      </c>
      <c r="H4" s="5">
        <f t="shared" ref="H4:H14" si="1">F4*10^E4*1000/G4</f>
        <v>20000</v>
      </c>
      <c r="I4" s="2">
        <v>2</v>
      </c>
      <c r="J4" s="2">
        <v>2</v>
      </c>
      <c r="K4" s="5">
        <v>10</v>
      </c>
      <c r="L4" s="5">
        <f t="shared" ref="L4:L14" si="2">J4*10^I4*1000/K4</f>
        <v>20000</v>
      </c>
      <c r="M4" s="2">
        <v>2</v>
      </c>
      <c r="N4" s="2">
        <v>2</v>
      </c>
      <c r="O4" s="5">
        <v>10</v>
      </c>
      <c r="P4" s="5">
        <f t="shared" ref="P4:P14" si="3">N4*10^M4*1000/O4</f>
        <v>20000</v>
      </c>
      <c r="Q4" s="40">
        <f>AVERAGE(H4,L4,P4)*Calculation!I4/Calculation!K3</f>
        <v>20000</v>
      </c>
      <c r="R4" s="40">
        <f>STDEV(H4,L4,P4)*Calculation!I4/Calculation!K3</f>
        <v>0</v>
      </c>
      <c r="S4" s="41">
        <f>LOG(Q4)</f>
        <v>4.3010299956639813</v>
      </c>
    </row>
    <row r="5" spans="1:19">
      <c r="A5" s="35">
        <v>1</v>
      </c>
      <c r="B5" s="49">
        <v>170</v>
      </c>
      <c r="C5" s="50">
        <f>C4+B5</f>
        <v>180</v>
      </c>
      <c r="D5" s="59">
        <f t="shared" si="0"/>
        <v>3</v>
      </c>
      <c r="E5" s="2">
        <v>2</v>
      </c>
      <c r="F5" s="2">
        <v>3</v>
      </c>
      <c r="G5" s="5">
        <v>10</v>
      </c>
      <c r="H5" s="5">
        <f t="shared" si="1"/>
        <v>30000</v>
      </c>
      <c r="I5" s="2">
        <v>2</v>
      </c>
      <c r="J5" s="2">
        <v>3</v>
      </c>
      <c r="K5" s="5">
        <v>10</v>
      </c>
      <c r="L5" s="5">
        <f t="shared" si="2"/>
        <v>30000</v>
      </c>
      <c r="M5" s="2">
        <v>2</v>
      </c>
      <c r="N5" s="2">
        <v>3</v>
      </c>
      <c r="O5" s="5">
        <v>10</v>
      </c>
      <c r="P5" s="5">
        <f t="shared" si="3"/>
        <v>30000</v>
      </c>
      <c r="Q5" s="40">
        <f>AVERAGE(H5,L5,P5)*Calculation!I5/Calculation!K4</f>
        <v>30000</v>
      </c>
      <c r="R5" s="40">
        <f>STDEV(H5,L5,P5)*Calculation!I5/Calculation!K4</f>
        <v>0</v>
      </c>
      <c r="S5" s="41">
        <f t="shared" ref="S5:S15" si="4">LOG(Q5)</f>
        <v>4.4771212547196626</v>
      </c>
    </row>
    <row r="6" spans="1:19">
      <c r="A6" s="35">
        <v>2</v>
      </c>
      <c r="B6" s="49">
        <v>180</v>
      </c>
      <c r="C6" s="50">
        <f t="shared" ref="C6:C13" si="5">C5+B6</f>
        <v>360</v>
      </c>
      <c r="D6" s="59">
        <f t="shared" si="0"/>
        <v>6</v>
      </c>
      <c r="E6" s="2">
        <v>2</v>
      </c>
      <c r="F6" s="2">
        <v>0</v>
      </c>
      <c r="G6" s="5">
        <v>10</v>
      </c>
      <c r="H6" s="5">
        <f t="shared" si="1"/>
        <v>0</v>
      </c>
      <c r="I6" s="2">
        <v>2</v>
      </c>
      <c r="J6" s="2">
        <v>0</v>
      </c>
      <c r="K6" s="5">
        <v>10</v>
      </c>
      <c r="L6" s="5">
        <f t="shared" si="2"/>
        <v>0</v>
      </c>
      <c r="M6" s="2">
        <v>2</v>
      </c>
      <c r="N6" s="2">
        <v>0</v>
      </c>
      <c r="O6" s="5">
        <v>10</v>
      </c>
      <c r="P6" s="5">
        <f t="shared" si="3"/>
        <v>0</v>
      </c>
      <c r="Q6" s="40">
        <f>AVERAGE(H6,L6,P6)*Calculation!I6/Calculation!K5</f>
        <v>0</v>
      </c>
      <c r="R6" s="40">
        <f>STDEV(H6,L6,P6)*Calculation!I6/Calculation!K5</f>
        <v>0</v>
      </c>
      <c r="S6" s="41" t="e">
        <f t="shared" si="4"/>
        <v>#NUM!</v>
      </c>
    </row>
    <row r="7" spans="1:19">
      <c r="A7" s="35">
        <v>3</v>
      </c>
      <c r="B7" s="49">
        <v>180</v>
      </c>
      <c r="C7" s="50">
        <f>C6+B7</f>
        <v>540</v>
      </c>
      <c r="D7" s="59">
        <f t="shared" si="0"/>
        <v>9</v>
      </c>
      <c r="E7" s="2">
        <v>2</v>
      </c>
      <c r="F7" s="2">
        <v>0</v>
      </c>
      <c r="G7" s="5">
        <v>10</v>
      </c>
      <c r="H7" s="5">
        <f t="shared" si="1"/>
        <v>0</v>
      </c>
      <c r="I7" s="2">
        <v>2</v>
      </c>
      <c r="J7" s="2">
        <v>0</v>
      </c>
      <c r="K7" s="5">
        <v>10</v>
      </c>
      <c r="L7" s="5">
        <f t="shared" si="2"/>
        <v>0</v>
      </c>
      <c r="M7" s="2">
        <v>2</v>
      </c>
      <c r="N7" s="2">
        <v>0</v>
      </c>
      <c r="O7" s="5">
        <v>10</v>
      </c>
      <c r="P7" s="5">
        <f t="shared" si="3"/>
        <v>0</v>
      </c>
      <c r="Q7" s="40">
        <f>AVERAGE(H7,L7,P7)*Calculation!I7/Calculation!K6</f>
        <v>0</v>
      </c>
      <c r="R7" s="40">
        <f>STDEV(H7,L7,P7)*Calculation!I7/Calculation!K6</f>
        <v>0</v>
      </c>
      <c r="S7" s="41" t="e">
        <f t="shared" si="4"/>
        <v>#NUM!</v>
      </c>
    </row>
    <row r="8" spans="1:19">
      <c r="A8" s="35">
        <v>4</v>
      </c>
      <c r="B8" s="49">
        <v>180</v>
      </c>
      <c r="C8" s="50">
        <f t="shared" si="5"/>
        <v>720</v>
      </c>
      <c r="D8" s="59">
        <f t="shared" si="0"/>
        <v>12</v>
      </c>
      <c r="E8" s="2">
        <v>2</v>
      </c>
      <c r="F8" s="2">
        <v>0</v>
      </c>
      <c r="G8" s="5">
        <v>10</v>
      </c>
      <c r="H8" s="5">
        <f t="shared" si="1"/>
        <v>0</v>
      </c>
      <c r="I8" s="2">
        <v>2</v>
      </c>
      <c r="J8" s="2">
        <v>0</v>
      </c>
      <c r="K8" s="5">
        <v>10</v>
      </c>
      <c r="L8" s="5">
        <f t="shared" si="2"/>
        <v>0</v>
      </c>
      <c r="M8" s="2">
        <v>2</v>
      </c>
      <c r="N8" s="2">
        <v>0</v>
      </c>
      <c r="O8" s="5">
        <v>10</v>
      </c>
      <c r="P8" s="5">
        <f t="shared" si="3"/>
        <v>0</v>
      </c>
      <c r="Q8" s="40">
        <f>AVERAGE(H8,L8,P8)*Calculation!I8/Calculation!K7</f>
        <v>0</v>
      </c>
      <c r="R8" s="40">
        <f>STDEV(H8,L8,P8)*Calculation!I8/Calculation!K7</f>
        <v>0</v>
      </c>
      <c r="S8" s="41" t="e">
        <f t="shared" si="4"/>
        <v>#NUM!</v>
      </c>
    </row>
    <row r="9" spans="1:19">
      <c r="A9" s="35">
        <v>5</v>
      </c>
      <c r="B9" s="49">
        <v>180</v>
      </c>
      <c r="C9" s="50">
        <f t="shared" si="5"/>
        <v>900</v>
      </c>
      <c r="D9" s="59">
        <f t="shared" si="0"/>
        <v>15</v>
      </c>
      <c r="E9" s="2">
        <v>3</v>
      </c>
      <c r="F9" s="2">
        <v>1</v>
      </c>
      <c r="G9" s="5">
        <v>10</v>
      </c>
      <c r="H9" s="5">
        <f t="shared" si="1"/>
        <v>100000</v>
      </c>
      <c r="I9" s="2">
        <v>3</v>
      </c>
      <c r="J9" s="2">
        <v>1</v>
      </c>
      <c r="K9" s="5">
        <v>10</v>
      </c>
      <c r="L9" s="5">
        <f t="shared" si="2"/>
        <v>100000</v>
      </c>
      <c r="M9" s="2">
        <v>3</v>
      </c>
      <c r="N9" s="2">
        <v>1</v>
      </c>
      <c r="O9" s="5">
        <v>10</v>
      </c>
      <c r="P9" s="5">
        <f t="shared" si="3"/>
        <v>100000</v>
      </c>
      <c r="Q9" s="40">
        <f>AVERAGE(H9,L9,P9)*Calculation!I9/Calculation!K8</f>
        <v>100533.760990986</v>
      </c>
      <c r="R9" s="40">
        <f>STDEV(H9,L9,P9)*Calculation!I9/Calculation!K8</f>
        <v>0</v>
      </c>
      <c r="S9" s="41">
        <f t="shared" si="4"/>
        <v>5.0023119299147156</v>
      </c>
    </row>
    <row r="10" spans="1:19">
      <c r="A10" s="35">
        <v>6</v>
      </c>
      <c r="B10" s="49">
        <v>180</v>
      </c>
      <c r="C10" s="50">
        <f t="shared" si="5"/>
        <v>1080</v>
      </c>
      <c r="D10" s="59">
        <f t="shared" si="0"/>
        <v>18</v>
      </c>
      <c r="E10" s="2">
        <v>3</v>
      </c>
      <c r="F10" s="2">
        <v>18</v>
      </c>
      <c r="G10" s="5">
        <v>10</v>
      </c>
      <c r="H10" s="5">
        <f t="shared" si="1"/>
        <v>1800000</v>
      </c>
      <c r="I10" s="2">
        <v>3</v>
      </c>
      <c r="J10" s="2">
        <v>21</v>
      </c>
      <c r="K10" s="5">
        <v>10</v>
      </c>
      <c r="L10" s="5">
        <f t="shared" si="2"/>
        <v>2100000</v>
      </c>
      <c r="M10" s="2">
        <v>3</v>
      </c>
      <c r="N10" s="2">
        <v>20</v>
      </c>
      <c r="O10" s="5">
        <v>10</v>
      </c>
      <c r="P10" s="5">
        <f t="shared" si="3"/>
        <v>2000000</v>
      </c>
      <c r="Q10" s="40">
        <f>AVERAGE(H10,L10,P10)*Calculation!I10/Calculation!K9</f>
        <v>1989687.5700588678</v>
      </c>
      <c r="R10" s="40">
        <f>STDEV(H10,L10,P10)*Calculation!I10/Calculation!K9</f>
        <v>154540.57456114425</v>
      </c>
      <c r="S10" s="41">
        <f t="shared" si="4"/>
        <v>6.2987848868358745</v>
      </c>
    </row>
    <row r="11" spans="1:19">
      <c r="A11" s="35">
        <v>7</v>
      </c>
      <c r="B11" s="49">
        <v>180</v>
      </c>
      <c r="C11" s="50">
        <f t="shared" si="5"/>
        <v>1260</v>
      </c>
      <c r="D11" s="59">
        <f t="shared" si="0"/>
        <v>21</v>
      </c>
      <c r="E11" s="2">
        <v>3</v>
      </c>
      <c r="F11" s="2">
        <v>0</v>
      </c>
      <c r="G11" s="5">
        <v>10</v>
      </c>
      <c r="H11" s="5">
        <f t="shared" si="1"/>
        <v>0</v>
      </c>
      <c r="I11" s="2">
        <v>3</v>
      </c>
      <c r="J11" s="2">
        <v>0</v>
      </c>
      <c r="K11" s="5">
        <v>10</v>
      </c>
      <c r="L11" s="5">
        <f t="shared" si="2"/>
        <v>0</v>
      </c>
      <c r="M11" s="2">
        <v>3</v>
      </c>
      <c r="N11" s="2">
        <v>0</v>
      </c>
      <c r="O11" s="5">
        <v>10</v>
      </c>
      <c r="P11" s="5">
        <f t="shared" si="3"/>
        <v>0</v>
      </c>
      <c r="Q11" s="40">
        <f>AVERAGE(H11,L11,P11)*Calculation!I11/Calculation!K10</f>
        <v>0</v>
      </c>
      <c r="R11" s="40">
        <f>STDEV(H11,L11,P11)*Calculation!I11/Calculation!K10</f>
        <v>0</v>
      </c>
      <c r="S11" s="41" t="e">
        <f t="shared" si="4"/>
        <v>#NUM!</v>
      </c>
    </row>
    <row r="12" spans="1:19">
      <c r="A12" s="35">
        <v>8</v>
      </c>
      <c r="B12" s="49">
        <v>180</v>
      </c>
      <c r="C12" s="50">
        <f>C11+B12</f>
        <v>1440</v>
      </c>
      <c r="D12" s="59">
        <f t="shared" si="0"/>
        <v>24</v>
      </c>
      <c r="E12" s="2">
        <v>3</v>
      </c>
      <c r="F12" s="2">
        <v>0</v>
      </c>
      <c r="G12" s="5">
        <v>10</v>
      </c>
      <c r="H12" s="5">
        <f t="shared" si="1"/>
        <v>0</v>
      </c>
      <c r="I12" s="2">
        <v>3</v>
      </c>
      <c r="J12" s="2">
        <v>0</v>
      </c>
      <c r="K12" s="5">
        <v>10</v>
      </c>
      <c r="L12" s="5">
        <f t="shared" si="2"/>
        <v>0</v>
      </c>
      <c r="M12" s="2">
        <v>3</v>
      </c>
      <c r="N12" s="2">
        <v>0</v>
      </c>
      <c r="O12" s="5">
        <v>10</v>
      </c>
      <c r="P12" s="5">
        <f t="shared" si="3"/>
        <v>0</v>
      </c>
      <c r="Q12" s="40">
        <f>AVERAGE(H12,L12,P12)*Calculation!I12/Calculation!K11</f>
        <v>0</v>
      </c>
      <c r="R12" s="40">
        <f>STDEV(H12,L12,P12)*Calculation!I12/Calculation!K11</f>
        <v>0</v>
      </c>
      <c r="S12" s="41" t="e">
        <f>LOG(Q12)</f>
        <v>#NUM!</v>
      </c>
    </row>
    <row r="13" spans="1:19">
      <c r="A13" s="35">
        <v>9</v>
      </c>
      <c r="B13" s="49">
        <v>180</v>
      </c>
      <c r="C13" s="50">
        <f t="shared" si="5"/>
        <v>1620</v>
      </c>
      <c r="D13" s="59">
        <f t="shared" si="0"/>
        <v>27</v>
      </c>
      <c r="E13" s="2">
        <v>3</v>
      </c>
      <c r="F13" s="2">
        <v>0</v>
      </c>
      <c r="G13" s="5">
        <v>10</v>
      </c>
      <c r="H13" s="5">
        <f t="shared" si="1"/>
        <v>0</v>
      </c>
      <c r="I13" s="2">
        <v>3</v>
      </c>
      <c r="J13" s="2">
        <v>0</v>
      </c>
      <c r="K13" s="5">
        <v>10</v>
      </c>
      <c r="L13" s="5">
        <f t="shared" si="2"/>
        <v>0</v>
      </c>
      <c r="M13" s="2">
        <v>3</v>
      </c>
      <c r="N13" s="2">
        <v>0</v>
      </c>
      <c r="O13" s="5">
        <v>10</v>
      </c>
      <c r="P13" s="5">
        <f t="shared" si="3"/>
        <v>0</v>
      </c>
      <c r="Q13" s="40">
        <f>AVERAGE(H13,L13,P13)*Calculation!I13/Calculation!K12</f>
        <v>0</v>
      </c>
      <c r="R13" s="40">
        <f>STDEV(H13,L13,P13)*Calculation!I13/Calculation!K12</f>
        <v>0</v>
      </c>
      <c r="S13" s="41" t="e">
        <f t="shared" si="4"/>
        <v>#NUM!</v>
      </c>
    </row>
    <row r="14" spans="1:19">
      <c r="A14" s="35">
        <v>10</v>
      </c>
      <c r="B14" s="49">
        <v>180</v>
      </c>
      <c r="C14" s="50">
        <f>C13+B14</f>
        <v>1800</v>
      </c>
      <c r="D14" s="59">
        <f t="shared" si="0"/>
        <v>30</v>
      </c>
      <c r="E14" s="2">
        <v>3</v>
      </c>
      <c r="F14" s="2">
        <v>0</v>
      </c>
      <c r="G14" s="5">
        <v>10</v>
      </c>
      <c r="H14" s="5">
        <f t="shared" si="1"/>
        <v>0</v>
      </c>
      <c r="I14" s="2">
        <v>3</v>
      </c>
      <c r="J14" s="2">
        <v>0</v>
      </c>
      <c r="K14" s="5">
        <v>10</v>
      </c>
      <c r="L14" s="5">
        <f t="shared" si="2"/>
        <v>0</v>
      </c>
      <c r="M14" s="2">
        <v>3</v>
      </c>
      <c r="N14" s="2">
        <v>0</v>
      </c>
      <c r="O14" s="5">
        <v>10</v>
      </c>
      <c r="P14" s="5">
        <f t="shared" si="3"/>
        <v>0</v>
      </c>
      <c r="Q14" s="40">
        <f>AVERAGE(H14,L14,P14)*Calculation!I14/Calculation!K13</f>
        <v>0</v>
      </c>
      <c r="R14" s="40">
        <f>STDEV(H14,L14,P14)*Calculation!I14/Calculation!K13</f>
        <v>0</v>
      </c>
      <c r="S14" s="41" t="e">
        <f t="shared" si="4"/>
        <v>#NUM!</v>
      </c>
    </row>
    <row r="15" spans="1:19">
      <c r="A15" s="35">
        <v>11</v>
      </c>
      <c r="B15" s="49">
        <v>1080</v>
      </c>
      <c r="C15" s="50">
        <f>C14+B15</f>
        <v>2880</v>
      </c>
      <c r="D15" s="59">
        <f t="shared" si="0"/>
        <v>48</v>
      </c>
      <c r="E15" s="2">
        <v>3</v>
      </c>
      <c r="F15" s="2">
        <v>11</v>
      </c>
      <c r="G15" s="5">
        <v>10</v>
      </c>
      <c r="H15" s="5">
        <f>F15*10^E15*1000/G15</f>
        <v>1100000</v>
      </c>
      <c r="I15" s="2">
        <v>3</v>
      </c>
      <c r="J15" s="2">
        <v>12</v>
      </c>
      <c r="K15" s="5">
        <v>10</v>
      </c>
      <c r="L15" s="5">
        <f>J15*10^I15*1000/K15</f>
        <v>1200000</v>
      </c>
      <c r="M15" s="2">
        <v>3</v>
      </c>
      <c r="N15" s="2">
        <v>9</v>
      </c>
      <c r="O15" s="5">
        <v>10</v>
      </c>
      <c r="P15" s="5">
        <f>N15*10^M15*1000/O15</f>
        <v>900000</v>
      </c>
      <c r="Q15" s="40">
        <f>AVERAGE(H15,L15,P15)*Calculation!I15/Calculation!K14</f>
        <v>1113707.3314402306</v>
      </c>
      <c r="R15" s="40">
        <f>STDEV(H15,L15,P15)*Calculation!I15/Calculation!K14</f>
        <v>159489.00463600375</v>
      </c>
      <c r="S15" s="41">
        <f t="shared" si="4"/>
        <v>6.0467710785937259</v>
      </c>
    </row>
    <row r="16" spans="1:19">
      <c r="A16" s="8"/>
      <c r="B16" s="67"/>
      <c r="C16" s="67"/>
      <c r="D16" s="60"/>
      <c r="G16" s="5"/>
    </row>
    <row r="17" spans="3:3">
      <c r="C17" s="2" t="s">
        <v>138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3"/>
  <sheetViews>
    <sheetView topLeftCell="E1" workbookViewId="0">
      <selection activeCell="R15" sqref="R15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86" t="s">
        <v>4</v>
      </c>
      <c r="B1" s="86" t="s">
        <v>103</v>
      </c>
      <c r="C1" s="86" t="s">
        <v>103</v>
      </c>
      <c r="D1" s="86" t="s">
        <v>5</v>
      </c>
      <c r="E1" s="88" t="s">
        <v>105</v>
      </c>
      <c r="F1" s="88"/>
      <c r="G1" s="88"/>
      <c r="H1" s="88"/>
      <c r="I1" s="88" t="s">
        <v>106</v>
      </c>
      <c r="J1" s="88"/>
      <c r="K1" s="88"/>
      <c r="L1" s="88"/>
      <c r="M1" s="88" t="s">
        <v>107</v>
      </c>
      <c r="N1" s="88"/>
      <c r="O1" s="88"/>
      <c r="P1" s="88"/>
      <c r="Q1" s="22" t="s">
        <v>108</v>
      </c>
      <c r="R1" s="22" t="s">
        <v>108</v>
      </c>
      <c r="S1" s="22" t="s">
        <v>108</v>
      </c>
      <c r="T1" s="54" t="s">
        <v>108</v>
      </c>
      <c r="U1" s="77" t="s">
        <v>105</v>
      </c>
      <c r="V1" s="77" t="s">
        <v>106</v>
      </c>
      <c r="W1" s="77" t="s">
        <v>107</v>
      </c>
      <c r="X1" s="77" t="s">
        <v>108</v>
      </c>
    </row>
    <row r="2" spans="1:24">
      <c r="A2" s="87"/>
      <c r="B2" s="87"/>
      <c r="C2" s="87"/>
      <c r="D2" s="87"/>
      <c r="E2" s="21" t="s">
        <v>19</v>
      </c>
      <c r="F2" s="21" t="s">
        <v>67</v>
      </c>
      <c r="G2" s="21" t="s">
        <v>68</v>
      </c>
      <c r="H2" s="21" t="s">
        <v>69</v>
      </c>
      <c r="I2" s="21" t="s">
        <v>19</v>
      </c>
      <c r="J2" s="21" t="s">
        <v>67</v>
      </c>
      <c r="K2" s="21" t="s">
        <v>68</v>
      </c>
      <c r="L2" s="21" t="s">
        <v>69</v>
      </c>
      <c r="M2" s="21" t="s">
        <v>19</v>
      </c>
      <c r="N2" s="21" t="s">
        <v>67</v>
      </c>
      <c r="O2" s="21" t="s">
        <v>68</v>
      </c>
      <c r="P2" s="21" t="s">
        <v>70</v>
      </c>
      <c r="Q2" s="23" t="s">
        <v>69</v>
      </c>
      <c r="R2" s="23" t="s">
        <v>23</v>
      </c>
      <c r="S2" s="23" t="s">
        <v>71</v>
      </c>
      <c r="T2" s="55" t="s">
        <v>116</v>
      </c>
      <c r="U2" s="78" t="s">
        <v>172</v>
      </c>
      <c r="V2" s="78" t="s">
        <v>172</v>
      </c>
      <c r="W2" s="78" t="s">
        <v>172</v>
      </c>
      <c r="X2" s="78" t="s">
        <v>173</v>
      </c>
    </row>
    <row r="3" spans="1:24">
      <c r="A3" s="47" t="s">
        <v>6</v>
      </c>
      <c r="B3" s="48">
        <v>-10</v>
      </c>
      <c r="C3" s="48">
        <v>-10</v>
      </c>
      <c r="D3" s="59">
        <v>0</v>
      </c>
      <c r="E3" s="38" t="s">
        <v>90</v>
      </c>
      <c r="F3" s="38" t="s">
        <v>90</v>
      </c>
      <c r="G3" s="38" t="s">
        <v>90</v>
      </c>
      <c r="H3" s="39" t="s">
        <v>90</v>
      </c>
      <c r="I3" s="38" t="s">
        <v>90</v>
      </c>
      <c r="J3" s="38" t="s">
        <v>90</v>
      </c>
      <c r="K3" s="38" t="s">
        <v>90</v>
      </c>
      <c r="L3" s="39" t="s">
        <v>90</v>
      </c>
      <c r="M3" s="38" t="s">
        <v>90</v>
      </c>
      <c r="N3" s="38" t="s">
        <v>90</v>
      </c>
      <c r="O3" s="38" t="s">
        <v>90</v>
      </c>
      <c r="P3" s="39" t="s">
        <v>90</v>
      </c>
      <c r="Q3" s="94" t="s">
        <v>90</v>
      </c>
      <c r="R3" s="95"/>
      <c r="S3" s="96"/>
      <c r="T3" s="39" t="s">
        <v>90</v>
      </c>
      <c r="U3" s="39" t="s">
        <v>90</v>
      </c>
      <c r="V3" s="39" t="s">
        <v>90</v>
      </c>
      <c r="W3" s="39" t="s">
        <v>90</v>
      </c>
      <c r="X3" s="39" t="s">
        <v>90</v>
      </c>
    </row>
    <row r="4" spans="1:24">
      <c r="A4" s="49">
        <v>0</v>
      </c>
      <c r="B4" s="50">
        <v>10</v>
      </c>
      <c r="C4" s="50">
        <v>10</v>
      </c>
      <c r="D4" s="69">
        <v>0</v>
      </c>
      <c r="E4" s="28">
        <v>1</v>
      </c>
      <c r="F4" s="28">
        <v>35122</v>
      </c>
      <c r="G4" s="28">
        <v>7</v>
      </c>
      <c r="H4" s="39">
        <f>('Flow cytometer'!F4/'Flow cytometer'!G4)*POWER(10,'Flow cytometer'!E4+2)*10.2</f>
        <v>51177771.428571425</v>
      </c>
      <c r="I4" s="28">
        <v>1</v>
      </c>
      <c r="J4" s="28">
        <v>32133</v>
      </c>
      <c r="K4" s="28">
        <v>7</v>
      </c>
      <c r="L4" s="39">
        <f>('Flow cytometer'!J4/'Flow cytometer'!K4)*POWER(10,'Flow cytometer'!I4+2)*10.2</f>
        <v>46822371.428571433</v>
      </c>
      <c r="M4" s="28">
        <v>1</v>
      </c>
      <c r="N4" s="28">
        <v>32802</v>
      </c>
      <c r="O4" s="28">
        <v>7</v>
      </c>
      <c r="P4" s="39">
        <f>('Flow cytometer'!N4/'Flow cytometer'!O4)*POWER(10,'Flow cytometer'!M4+2)*10.2</f>
        <v>47797200</v>
      </c>
      <c r="Q4" s="42">
        <f>AVERAGE(H4,L4,P4)*Calculation!I4/Calculation!K3</f>
        <v>48599114.285714291</v>
      </c>
      <c r="R4" s="43">
        <f>STDEV(H4,L4,P4)*Calculation!I4/Calculation!K3</f>
        <v>2285755.2758824541</v>
      </c>
      <c r="S4" s="44">
        <f>LOG(Q4)</f>
        <v>7.6866283543583425</v>
      </c>
      <c r="T4" s="44">
        <f>LN(Q4)</f>
        <v>17.699115864130874</v>
      </c>
      <c r="U4" s="44">
        <f>LOG(H4)</f>
        <v>7.7090813703095362</v>
      </c>
      <c r="V4" s="44">
        <f>LOG(L4)</f>
        <v>7.6704534057779821</v>
      </c>
      <c r="W4" s="44">
        <f>LOG(P4)</f>
        <v>7.6794024560228618</v>
      </c>
      <c r="X4" s="44">
        <f xml:space="preserve"> STDEV(U4:W4)*Calculation!I4/Calculation!K3</f>
        <v>2.021980504922569E-2</v>
      </c>
    </row>
    <row r="5" spans="1:24">
      <c r="A5" s="49">
        <v>1</v>
      </c>
      <c r="B5" s="50">
        <v>170</v>
      </c>
      <c r="C5" s="50">
        <v>180</v>
      </c>
      <c r="D5" s="69">
        <v>3</v>
      </c>
      <c r="E5" s="28">
        <v>2</v>
      </c>
      <c r="F5" s="28">
        <v>3893</v>
      </c>
      <c r="G5" s="28">
        <v>7</v>
      </c>
      <c r="H5" s="39">
        <f>('Flow cytometer'!F5/'Flow cytometer'!G5)*POWER(10,'Flow cytometer'!E5+2)*10.2</f>
        <v>56726571.428571418</v>
      </c>
      <c r="I5" s="28">
        <v>2</v>
      </c>
      <c r="J5" s="28">
        <v>3912</v>
      </c>
      <c r="K5" s="28">
        <v>7</v>
      </c>
      <c r="L5" s="39">
        <f>('Flow cytometer'!J5/'Flow cytometer'!K5)*POWER(10,'Flow cytometer'!I5+2)*10.2</f>
        <v>57003428.571428575</v>
      </c>
      <c r="M5" s="28">
        <v>2</v>
      </c>
      <c r="N5" s="28">
        <v>3874</v>
      </c>
      <c r="O5" s="28">
        <v>7</v>
      </c>
      <c r="P5" s="39">
        <f>('Flow cytometer'!N5/'Flow cytometer'!O5)*POWER(10,'Flow cytometer'!M5+2)*10.2</f>
        <v>56449714.285714284</v>
      </c>
      <c r="Q5" s="42">
        <f>AVERAGE(H5,L5,P5)*Calculation!I5/Calculation!K4</f>
        <v>56726571.428571425</v>
      </c>
      <c r="R5" s="43">
        <f>STDEV(H5,L5,P5)*Calculation!I5/Calculation!K4</f>
        <v>276857.14285714552</v>
      </c>
      <c r="S5" s="44">
        <f t="shared" ref="S5:S15" si="0">LOG(Q5)</f>
        <v>7.7537865354658226</v>
      </c>
      <c r="T5" s="44">
        <f t="shared" ref="T5:T15" si="1">LN(Q5)</f>
        <v>17.853753290821551</v>
      </c>
      <c r="U5" s="44">
        <f t="shared" ref="U5:U15" si="2">LOG(H5)</f>
        <v>7.7537865354658226</v>
      </c>
      <c r="V5" s="44">
        <f t="shared" ref="V5:V15" si="3">LOG(L5)</f>
        <v>7.7559009778632246</v>
      </c>
      <c r="W5" s="44">
        <f t="shared" ref="W5:W15" si="4">LOG(P5)</f>
        <v>7.7516617481307524</v>
      </c>
      <c r="X5" s="44">
        <f xml:space="preserve"> STDEV(U5:W5)*Calculation!I5/Calculation!K4</f>
        <v>2.1196169699532557E-3</v>
      </c>
    </row>
    <row r="6" spans="1:24">
      <c r="A6" s="49">
        <v>2</v>
      </c>
      <c r="B6" s="50">
        <v>180</v>
      </c>
      <c r="C6" s="50">
        <v>360</v>
      </c>
      <c r="D6" s="69">
        <v>6</v>
      </c>
      <c r="E6" s="28">
        <v>2</v>
      </c>
      <c r="F6" s="28">
        <v>10266</v>
      </c>
      <c r="G6" s="28">
        <v>7</v>
      </c>
      <c r="H6" s="39">
        <f>('Flow cytometer'!F6/'Flow cytometer'!G6)*POWER(10,'Flow cytometer'!E6+2)*10.2</f>
        <v>149590285.71428573</v>
      </c>
      <c r="I6" s="28">
        <v>2</v>
      </c>
      <c r="J6" s="28">
        <v>10569</v>
      </c>
      <c r="K6" s="28">
        <v>7</v>
      </c>
      <c r="L6" s="39">
        <f>('Flow cytometer'!J6/'Flow cytometer'!K6)*POWER(10,'Flow cytometer'!I6+2)*10.2</f>
        <v>154005428.57142857</v>
      </c>
      <c r="M6" s="28">
        <v>2</v>
      </c>
      <c r="N6" s="28">
        <v>10247</v>
      </c>
      <c r="O6" s="28">
        <v>7</v>
      </c>
      <c r="P6" s="39">
        <f>('Flow cytometer'!N6/'Flow cytometer'!O6)*POWER(10,'Flow cytometer'!M6+2)*10.2</f>
        <v>149313428.57142857</v>
      </c>
      <c r="Q6" s="42">
        <f>AVERAGE(H6,L6,P6)*Calculation!I6/Calculation!K5</f>
        <v>150969714.28571427</v>
      </c>
      <c r="R6" s="43">
        <f>STDEV(H6,L6,P6)*Calculation!I6/Calculation!K5</f>
        <v>2632647.6003740174</v>
      </c>
      <c r="S6" s="44">
        <f t="shared" si="0"/>
        <v>8.1788898331355799</v>
      </c>
      <c r="T6" s="44">
        <f t="shared" si="1"/>
        <v>18.832589807018543</v>
      </c>
      <c r="U6" s="44">
        <f t="shared" si="2"/>
        <v>8.1749033916724052</v>
      </c>
      <c r="V6" s="44">
        <f t="shared" si="3"/>
        <v>8.187536029648566</v>
      </c>
      <c r="W6" s="44">
        <f t="shared" si="4"/>
        <v>8.1740988679541857</v>
      </c>
      <c r="X6" s="44">
        <f xml:space="preserve"> STDEV(U6:W6)*Calculation!I6/Calculation!K5</f>
        <v>7.5364460573362751E-3</v>
      </c>
    </row>
    <row r="7" spans="1:24">
      <c r="A7" s="49">
        <v>3</v>
      </c>
      <c r="B7" s="50">
        <v>180</v>
      </c>
      <c r="C7" s="50">
        <v>540</v>
      </c>
      <c r="D7" s="69">
        <v>9</v>
      </c>
      <c r="E7" s="28">
        <v>2</v>
      </c>
      <c r="F7" s="28">
        <v>44441</v>
      </c>
      <c r="G7" s="28">
        <v>7</v>
      </c>
      <c r="H7" s="39">
        <f>('Flow cytometer'!F7/'Flow cytometer'!G7)*POWER(10,'Flow cytometer'!E7+2)*10.2</f>
        <v>647568857.14285707</v>
      </c>
      <c r="I7" s="28">
        <v>2</v>
      </c>
      <c r="J7" s="28">
        <v>43520</v>
      </c>
      <c r="K7" s="28">
        <v>7</v>
      </c>
      <c r="L7" s="39">
        <f>('Flow cytometer'!J7/'Flow cytometer'!K7)*POWER(10,'Flow cytometer'!I7+2)*10.2</f>
        <v>634148571.42857134</v>
      </c>
      <c r="M7" s="28">
        <v>2</v>
      </c>
      <c r="N7" s="28">
        <v>45906</v>
      </c>
      <c r="O7" s="28">
        <v>7</v>
      </c>
      <c r="P7" s="39">
        <f>('Flow cytometer'!N7/'Flow cytometer'!O7)*POWER(10,'Flow cytometer'!M7+2)*10.2</f>
        <v>668916000</v>
      </c>
      <c r="Q7" s="42">
        <f>AVERAGE(H7,L7,P7)*Calculation!I7/Calculation!K6</f>
        <v>650678584.36890209</v>
      </c>
      <c r="R7" s="43">
        <f>STDEV(H7,L7,P7)*Calculation!I7/Calculation!K6</f>
        <v>17546280.620158993</v>
      </c>
      <c r="S7" s="44">
        <f t="shared" si="0"/>
        <v>8.8133665131370122</v>
      </c>
      <c r="T7" s="44">
        <f t="shared" si="1"/>
        <v>20.293526352242193</v>
      </c>
      <c r="U7" s="44">
        <f t="shared" si="2"/>
        <v>8.8112859545096427</v>
      </c>
      <c r="V7" s="44">
        <f t="shared" si="3"/>
        <v>8.8021910184377834</v>
      </c>
      <c r="W7" s="44">
        <f t="shared" si="4"/>
        <v>8.8253715840952633</v>
      </c>
      <c r="X7" s="44">
        <f xml:space="preserve"> STDEV(U7:W7)*Calculation!I7/Calculation!K6</f>
        <v>1.1687875954260964E-2</v>
      </c>
    </row>
    <row r="8" spans="1:24">
      <c r="A8" s="49">
        <v>4</v>
      </c>
      <c r="B8" s="50">
        <v>180</v>
      </c>
      <c r="C8" s="50">
        <v>720</v>
      </c>
      <c r="D8" s="69">
        <v>12</v>
      </c>
      <c r="E8" s="28">
        <v>3</v>
      </c>
      <c r="F8" s="28">
        <v>7155</v>
      </c>
      <c r="G8" s="28">
        <v>7</v>
      </c>
      <c r="H8" s="39">
        <f>('Flow cytometer'!F8/'Flow cytometer'!G8)*POWER(10,'Flow cytometer'!E8+2)*10.2</f>
        <v>1042585714.2857143</v>
      </c>
      <c r="I8" s="28">
        <v>3</v>
      </c>
      <c r="J8" s="28">
        <v>6854</v>
      </c>
      <c r="K8" s="28">
        <v>7</v>
      </c>
      <c r="L8" s="39">
        <f>('Flow cytometer'!J8/'Flow cytometer'!K8)*POWER(10,'Flow cytometer'!I8+2)*10.2</f>
        <v>998725714.28571427</v>
      </c>
      <c r="M8" s="28">
        <v>3</v>
      </c>
      <c r="N8" s="28">
        <v>6996</v>
      </c>
      <c r="O8" s="28">
        <v>7</v>
      </c>
      <c r="P8" s="39">
        <f>('Flow cytometer'!N8/'Flow cytometer'!O8)*POWER(10,'Flow cytometer'!M8+2)*10.2</f>
        <v>1019417142.8571428</v>
      </c>
      <c r="Q8" s="42">
        <f>AVERAGE(H8,L8,P8)*Calculation!I8/Calculation!K7</f>
        <v>1020976317.1408031</v>
      </c>
      <c r="R8" s="43">
        <f>STDEV(H8,L8,P8)*Calculation!I8/Calculation!K7</f>
        <v>21957429.674641456</v>
      </c>
      <c r="S8" s="44">
        <f t="shared" si="0"/>
        <v>9.0090156681845066</v>
      </c>
      <c r="T8" s="44">
        <f t="shared" si="1"/>
        <v>20.744025180111436</v>
      </c>
      <c r="U8" s="44">
        <f t="shared" si="2"/>
        <v>9.0181117698434559</v>
      </c>
      <c r="V8" s="44">
        <f t="shared" si="3"/>
        <v>8.9994462318415085</v>
      </c>
      <c r="W8" s="44">
        <f t="shared" si="4"/>
        <v>9.0083519325542998</v>
      </c>
      <c r="X8" s="44">
        <f xml:space="preserve"> STDEV(U8:W8)*Calculation!I8/Calculation!K7</f>
        <v>9.3427372827801433E-3</v>
      </c>
    </row>
    <row r="9" spans="1:24">
      <c r="A9" s="49">
        <v>5</v>
      </c>
      <c r="B9" s="50">
        <v>180</v>
      </c>
      <c r="C9" s="50">
        <v>900</v>
      </c>
      <c r="D9" s="69">
        <v>15</v>
      </c>
      <c r="E9" s="28">
        <v>3</v>
      </c>
      <c r="F9" s="28">
        <v>7612</v>
      </c>
      <c r="G9" s="28">
        <v>7</v>
      </c>
      <c r="H9" s="39">
        <f>('Flow cytometer'!F9/'Flow cytometer'!G9)*POWER(10,'Flow cytometer'!E9+2)*10.2</f>
        <v>1109177142.8571427</v>
      </c>
      <c r="I9" s="28">
        <v>3</v>
      </c>
      <c r="J9" s="28">
        <v>8077</v>
      </c>
      <c r="K9" s="28">
        <v>7</v>
      </c>
      <c r="L9" s="39">
        <f>('Flow cytometer'!J9/'Flow cytometer'!K9)*POWER(10,'Flow cytometer'!I9+2)*10.2</f>
        <v>1176934285.7142856</v>
      </c>
      <c r="M9" s="28">
        <v>3</v>
      </c>
      <c r="N9" s="28">
        <v>8029</v>
      </c>
      <c r="O9" s="28">
        <v>7</v>
      </c>
      <c r="P9" s="39">
        <f>('Flow cytometer'!N9/'Flow cytometer'!O9)*POWER(10,'Flow cytometer'!M9+2)*10.2</f>
        <v>1169940000</v>
      </c>
      <c r="Q9" s="42">
        <f>AVERAGE(H9,L9,P9)*Calculation!I9/Calculation!K8</f>
        <v>1158166160.9751856</v>
      </c>
      <c r="R9" s="43">
        <f>STDEV(H9,L9,P9)*Calculation!I9/Calculation!K8</f>
        <v>37463892.317144491</v>
      </c>
      <c r="S9" s="44">
        <f t="shared" si="0"/>
        <v>9.0637708716693286</v>
      </c>
      <c r="T9" s="44">
        <f t="shared" si="1"/>
        <v>20.870103695419441</v>
      </c>
      <c r="U9" s="44">
        <f t="shared" si="2"/>
        <v>9.0450009113626439</v>
      </c>
      <c r="V9" s="44">
        <f t="shared" si="3"/>
        <v>9.070752214628989</v>
      </c>
      <c r="W9" s="44">
        <f t="shared" si="4"/>
        <v>9.068163589663186</v>
      </c>
      <c r="X9" s="44">
        <f xml:space="preserve"> STDEV(U9:W9)*Calculation!I9/Calculation!K8</f>
        <v>1.4255131131289664E-2</v>
      </c>
    </row>
    <row r="10" spans="1:24">
      <c r="A10" s="49">
        <v>6</v>
      </c>
      <c r="B10" s="50">
        <v>180</v>
      </c>
      <c r="C10" s="50">
        <v>1080</v>
      </c>
      <c r="D10" s="69">
        <v>18</v>
      </c>
      <c r="E10" s="28">
        <v>3</v>
      </c>
      <c r="F10" s="28">
        <v>9306</v>
      </c>
      <c r="G10" s="28">
        <v>7</v>
      </c>
      <c r="H10" s="39">
        <f>('Flow cytometer'!F10/'Flow cytometer'!G10)*POWER(10,'Flow cytometer'!E10+2)*10.2</f>
        <v>1356017142.8571427</v>
      </c>
      <c r="I10" s="28">
        <v>3</v>
      </c>
      <c r="J10" s="28">
        <v>10107</v>
      </c>
      <c r="K10" s="28">
        <v>7</v>
      </c>
      <c r="L10" s="39">
        <f>('Flow cytometer'!J10/'Flow cytometer'!K10)*POWER(10,'Flow cytometer'!I10+2)*10.2</f>
        <v>1472734285.7142859</v>
      </c>
      <c r="M10" s="28">
        <v>3</v>
      </c>
      <c r="N10" s="28">
        <v>9926</v>
      </c>
      <c r="O10" s="28">
        <v>7</v>
      </c>
      <c r="P10" s="39">
        <f>('Flow cytometer'!N10/'Flow cytometer'!O10)*POWER(10,'Flow cytometer'!M10+2)*10.2</f>
        <v>1446360000</v>
      </c>
      <c r="Q10" s="42">
        <f>AVERAGE(H10,L10,P10)*Calculation!I10/Calculation!K9</f>
        <v>1441717977.9737592</v>
      </c>
      <c r="R10" s="43">
        <f>STDEV(H10,L10,P10)*Calculation!I10/Calculation!K9</f>
        <v>61926966.890011325</v>
      </c>
      <c r="S10" s="44">
        <f t="shared" si="0"/>
        <v>9.1588803140668169</v>
      </c>
      <c r="T10" s="44">
        <f t="shared" si="1"/>
        <v>21.089101279686876</v>
      </c>
      <c r="U10" s="44">
        <f t="shared" si="2"/>
        <v>9.1322651799449091</v>
      </c>
      <c r="V10" s="44">
        <f t="shared" si="3"/>
        <v>9.1681243974484428</v>
      </c>
      <c r="W10" s="44">
        <f t="shared" si="4"/>
        <v>9.1602764026089645</v>
      </c>
      <c r="X10" s="44">
        <f xml:space="preserve"> STDEV(U10:W10)*Calculation!I10/Calculation!K9</f>
        <v>1.9071401329536004E-2</v>
      </c>
    </row>
    <row r="11" spans="1:24">
      <c r="A11" s="49">
        <v>7</v>
      </c>
      <c r="B11" s="50">
        <v>180</v>
      </c>
      <c r="C11" s="50">
        <v>1260</v>
      </c>
      <c r="D11" s="69">
        <v>21</v>
      </c>
      <c r="E11" s="28">
        <v>3</v>
      </c>
      <c r="F11" s="28">
        <v>13148</v>
      </c>
      <c r="G11" s="28">
        <v>7</v>
      </c>
      <c r="H11" s="39">
        <f>('Flow cytometer'!F11/'Flow cytometer'!G11)*POWER(10,'Flow cytometer'!E11+2)*10.2</f>
        <v>1915851428.5714285</v>
      </c>
      <c r="I11" s="28">
        <v>3</v>
      </c>
      <c r="J11" s="28">
        <v>12553</v>
      </c>
      <c r="K11" s="28">
        <v>7</v>
      </c>
      <c r="L11" s="39">
        <f>('Flow cytometer'!J11/'Flow cytometer'!K11)*POWER(10,'Flow cytometer'!I11+2)*10.2</f>
        <v>1829151428.5714285</v>
      </c>
      <c r="M11" s="28">
        <v>3</v>
      </c>
      <c r="N11" s="28">
        <v>13016</v>
      </c>
      <c r="O11" s="28">
        <v>7</v>
      </c>
      <c r="P11" s="39">
        <f>('Flow cytometer'!N11/'Flow cytometer'!O11)*POWER(10,'Flow cytometer'!M11+2)*10.2</f>
        <v>1896617142.8571427</v>
      </c>
      <c r="Q11" s="42">
        <f>AVERAGE(H11,L11,P11)*Calculation!I11/Calculation!K10</f>
        <v>1919692858.7074316</v>
      </c>
      <c r="R11" s="43">
        <f>STDEV(H11,L11,P11)*Calculation!I11/Calculation!K10</f>
        <v>46479027.895827718</v>
      </c>
      <c r="S11" s="44">
        <f t="shared" si="0"/>
        <v>9.2832317493083369</v>
      </c>
      <c r="T11" s="44">
        <f t="shared" si="1"/>
        <v>21.375431040766415</v>
      </c>
      <c r="U11" s="44">
        <f t="shared" si="2"/>
        <v>9.2823618271572474</v>
      </c>
      <c r="V11" s="44">
        <f t="shared" si="3"/>
        <v>9.2622496605724791</v>
      </c>
      <c r="W11" s="44">
        <f t="shared" si="4"/>
        <v>9.2779796716764622</v>
      </c>
      <c r="X11" s="44">
        <f xml:space="preserve"> STDEV(U11:W11)*Calculation!I11/Calculation!K10</f>
        <v>1.0796394498938039E-2</v>
      </c>
    </row>
    <row r="12" spans="1:24">
      <c r="A12" s="49">
        <v>8</v>
      </c>
      <c r="B12" s="50">
        <v>180</v>
      </c>
      <c r="C12" s="50">
        <v>1440</v>
      </c>
      <c r="D12" s="69">
        <v>24</v>
      </c>
      <c r="E12" s="28">
        <v>3</v>
      </c>
      <c r="F12" s="28">
        <v>13954</v>
      </c>
      <c r="G12" s="28">
        <v>7</v>
      </c>
      <c r="H12" s="39">
        <f>('Flow cytometer'!F12/'Flow cytometer'!G12)*POWER(10,'Flow cytometer'!E12+2)*10.2</f>
        <v>2033297142.8571427</v>
      </c>
      <c r="I12" s="28">
        <v>3</v>
      </c>
      <c r="J12" s="28">
        <v>12903</v>
      </c>
      <c r="K12" s="28">
        <v>7</v>
      </c>
      <c r="L12" s="39">
        <f>('Flow cytometer'!J12/'Flow cytometer'!K12)*POWER(10,'Flow cytometer'!I12+2)*10.2</f>
        <v>1880151428.5714285</v>
      </c>
      <c r="M12" s="28">
        <v>3</v>
      </c>
      <c r="N12" s="28">
        <v>13074</v>
      </c>
      <c r="O12" s="28">
        <v>7</v>
      </c>
      <c r="P12" s="39">
        <f>('Flow cytometer'!N12/'Flow cytometer'!O12)*POWER(10,'Flow cytometer'!M12+2)*10.2</f>
        <v>1905068571.4285712</v>
      </c>
      <c r="Q12" s="42">
        <f>AVERAGE(H12,L12,P12)*Calculation!I12/Calculation!K11</f>
        <v>2003396339.2013507</v>
      </c>
      <c r="R12" s="43">
        <f>STDEV(H12,L12,P12)*Calculation!I12/Calculation!K11</f>
        <v>84882672.380697757</v>
      </c>
      <c r="S12" s="44">
        <f t="shared" si="0"/>
        <v>9.3017668758540548</v>
      </c>
      <c r="T12" s="44">
        <f t="shared" si="1"/>
        <v>21.418109746847342</v>
      </c>
      <c r="U12" s="44">
        <f t="shared" si="2"/>
        <v>9.3082008503907865</v>
      </c>
      <c r="V12" s="44">
        <f t="shared" si="3"/>
        <v>9.2741928290214144</v>
      </c>
      <c r="W12" s="44">
        <f t="shared" si="4"/>
        <v>9.2799106123775594</v>
      </c>
      <c r="X12" s="44">
        <f xml:space="preserve"> STDEV(U12:W12)*Calculation!I12/Calculation!K11</f>
        <v>1.8809639331725525E-2</v>
      </c>
    </row>
    <row r="13" spans="1:24">
      <c r="A13" s="49">
        <v>9</v>
      </c>
      <c r="B13" s="50">
        <v>180</v>
      </c>
      <c r="C13" s="50">
        <v>1620</v>
      </c>
      <c r="D13" s="69">
        <v>27</v>
      </c>
      <c r="E13" s="28">
        <v>3</v>
      </c>
      <c r="F13" s="28">
        <v>10419</v>
      </c>
      <c r="G13" s="28">
        <v>7</v>
      </c>
      <c r="H13" s="39">
        <f>('Flow cytometer'!F13/'Flow cytometer'!G13)*POWER(10,'Flow cytometer'!E13+2)*10.2</f>
        <v>1518197142.8571427</v>
      </c>
      <c r="I13" s="28">
        <v>3</v>
      </c>
      <c r="J13" s="28">
        <v>10604</v>
      </c>
      <c r="K13" s="28">
        <v>7</v>
      </c>
      <c r="L13" s="39">
        <f>('Flow cytometer'!J13/'Flow cytometer'!K13)*POWER(10,'Flow cytometer'!I13+2)*10.2</f>
        <v>1545154285.7142859</v>
      </c>
      <c r="M13" s="28">
        <v>3</v>
      </c>
      <c r="N13" s="28">
        <v>9954</v>
      </c>
      <c r="O13" s="28">
        <v>7</v>
      </c>
      <c r="P13" s="39">
        <f>('Flow cytometer'!N13/'Flow cytometer'!O13)*POWER(10,'Flow cytometer'!M13+2)*10.2</f>
        <v>1450440000</v>
      </c>
      <c r="Q13" s="42">
        <f>AVERAGE(H13,L13,P13)*Calculation!I13/Calculation!K12</f>
        <v>1563670865.1916628</v>
      </c>
      <c r="R13" s="43">
        <f>STDEV(H13,L13,P13)*Calculation!I13/Calculation!K12</f>
        <v>50715769.20794142</v>
      </c>
      <c r="S13" s="44">
        <f t="shared" si="0"/>
        <v>9.1941453443288328</v>
      </c>
      <c r="T13" s="44">
        <f t="shared" si="1"/>
        <v>21.170302012672177</v>
      </c>
      <c r="U13" s="44">
        <f t="shared" si="2"/>
        <v>9.1813281697780855</v>
      </c>
      <c r="V13" s="44">
        <f t="shared" si="3"/>
        <v>9.1889718508087164</v>
      </c>
      <c r="W13" s="44">
        <f t="shared" si="4"/>
        <v>9.1614997681556645</v>
      </c>
      <c r="X13" s="44">
        <f xml:space="preserve"> STDEV(U13:W13)*Calculation!I13/Calculation!K12</f>
        <v>1.4735957340199363E-2</v>
      </c>
    </row>
    <row r="14" spans="1:24">
      <c r="A14" s="49">
        <v>10</v>
      </c>
      <c r="B14" s="50">
        <v>180</v>
      </c>
      <c r="C14" s="50">
        <v>1800</v>
      </c>
      <c r="D14" s="69">
        <v>30</v>
      </c>
      <c r="E14" s="28">
        <v>3</v>
      </c>
      <c r="F14" s="28">
        <v>14565</v>
      </c>
      <c r="G14" s="28">
        <v>7</v>
      </c>
      <c r="H14" s="39">
        <f>('Flow cytometer'!F14/'Flow cytometer'!G14)*POWER(10,'Flow cytometer'!E14+2)*10.2</f>
        <v>2122328571.4285712</v>
      </c>
      <c r="I14" s="28">
        <v>3</v>
      </c>
      <c r="J14" s="28">
        <v>14671</v>
      </c>
      <c r="K14" s="28">
        <v>7</v>
      </c>
      <c r="L14" s="39">
        <f>('Flow cytometer'!J14/'Flow cytometer'!K14)*POWER(10,'Flow cytometer'!I14+2)*10.2</f>
        <v>2137774285.7142854</v>
      </c>
      <c r="M14" s="28">
        <v>3</v>
      </c>
      <c r="N14" s="28">
        <v>14565</v>
      </c>
      <c r="O14" s="28">
        <v>7</v>
      </c>
      <c r="P14" s="39">
        <f>('Flow cytometer'!N14/'Flow cytometer'!O14)*POWER(10,'Flow cytometer'!M14+2)*10.2</f>
        <v>2122328571.4285712</v>
      </c>
      <c r="Q14" s="42">
        <f>AVERAGE(H14,L14,P14)*Calculation!I14/Calculation!K13</f>
        <v>2217052982.8181114</v>
      </c>
      <c r="R14" s="43">
        <f>STDEV(H14,L14,P14)*Calculation!I14/Calculation!K13</f>
        <v>9293055.6696692985</v>
      </c>
      <c r="S14" s="44">
        <f t="shared" si="0"/>
        <v>9.3457760719465099</v>
      </c>
      <c r="T14" s="44">
        <f t="shared" si="1"/>
        <v>21.519444665724482</v>
      </c>
      <c r="U14" s="44">
        <f t="shared" si="2"/>
        <v>9.3268126207113475</v>
      </c>
      <c r="V14" s="44">
        <f t="shared" si="3"/>
        <v>9.329961848841144</v>
      </c>
      <c r="W14" s="44">
        <f t="shared" si="4"/>
        <v>9.3268126207113475</v>
      </c>
      <c r="X14" s="44">
        <f xml:space="preserve"> STDEV(U14:W14)*Calculation!I14/Calculation!K13</f>
        <v>1.8947619893341721E-3</v>
      </c>
    </row>
    <row r="15" spans="1:24">
      <c r="A15" s="49">
        <v>11</v>
      </c>
      <c r="B15" s="50">
        <v>1080</v>
      </c>
      <c r="C15" s="50">
        <v>2880</v>
      </c>
      <c r="D15" s="69">
        <v>48</v>
      </c>
      <c r="E15" s="28">
        <v>3</v>
      </c>
      <c r="F15" s="28">
        <v>18547</v>
      </c>
      <c r="G15" s="28">
        <v>7</v>
      </c>
      <c r="H15" s="39">
        <f>('Flow cytometer'!F15/'Flow cytometer'!G15)*POWER(10,'Flow cytometer'!E15+2)*10.2</f>
        <v>2702562857.1428566</v>
      </c>
      <c r="I15" s="28">
        <v>3</v>
      </c>
      <c r="J15" s="28">
        <v>20039</v>
      </c>
      <c r="K15" s="28">
        <v>7</v>
      </c>
      <c r="L15" s="39">
        <f>('Flow cytometer'!J15/'Flow cytometer'!K15)*POWER(10,'Flow cytometer'!I15+2)*10.2</f>
        <v>2919968571.4285717</v>
      </c>
      <c r="M15" s="28">
        <v>3</v>
      </c>
      <c r="N15" s="28">
        <v>21809</v>
      </c>
      <c r="O15" s="28">
        <v>7</v>
      </c>
      <c r="P15" s="39">
        <f>('Flow cytometer'!N15/'Flow cytometer'!O15)*POWER(10,'Flow cytometer'!M15+2)*10.2</f>
        <v>3177882857.1428571</v>
      </c>
      <c r="Q15" s="42">
        <f>AVERAGE(H15,L15,P15)*Calculation!I15/Calculation!K14</f>
        <v>3062839346.7847929</v>
      </c>
      <c r="R15" s="43">
        <f>STDEV(H15,L15,P15)*Calculation!I15/Calculation!K14</f>
        <v>248441151.05084893</v>
      </c>
      <c r="S15" s="44">
        <f t="shared" si="0"/>
        <v>9.4861242176245106</v>
      </c>
      <c r="T15" s="44">
        <f t="shared" si="1"/>
        <v>21.842608213792005</v>
      </c>
      <c r="U15" s="44">
        <f t="shared" si="2"/>
        <v>9.4317758037142756</v>
      </c>
      <c r="V15" s="44">
        <f t="shared" si="3"/>
        <v>9.4653781770208152</v>
      </c>
      <c r="W15" s="44">
        <f t="shared" si="4"/>
        <v>9.502137884238854</v>
      </c>
      <c r="X15" s="44">
        <f xml:space="preserve"> STDEV(U15:W15)*Calculation!I15/Calculation!K14</f>
        <v>3.674487116806454E-2</v>
      </c>
    </row>
    <row r="55" spans="17:21">
      <c r="Q55" t="s">
        <v>117</v>
      </c>
    </row>
    <row r="56" spans="17:21" ht="16">
      <c r="Q56" t="s">
        <v>118</v>
      </c>
      <c r="R56">
        <v>0.53339999999999999</v>
      </c>
      <c r="S56" t="s">
        <v>119</v>
      </c>
    </row>
    <row r="57" spans="17:21">
      <c r="Q57" t="s">
        <v>120</v>
      </c>
    </row>
    <row r="58" spans="17:21" ht="16">
      <c r="Q58" t="s">
        <v>121</v>
      </c>
      <c r="R58">
        <v>14.782999999999999</v>
      </c>
    </row>
    <row r="60" spans="17:21" ht="16">
      <c r="Q60" t="s">
        <v>122</v>
      </c>
      <c r="R60">
        <v>0.99528000000000005</v>
      </c>
    </row>
    <row r="62" spans="17:21">
      <c r="U62" s="56"/>
    </row>
    <row r="63" spans="17:21">
      <c r="Q63" t="s">
        <v>123</v>
      </c>
      <c r="R63">
        <f>LN(2)/R56</f>
        <v>1.299488527483962</v>
      </c>
      <c r="S63" t="s">
        <v>124</v>
      </c>
      <c r="U63" s="56"/>
    </row>
    <row r="64" spans="17:21" ht="16">
      <c r="U64" s="56" t="s">
        <v>127</v>
      </c>
    </row>
    <row r="65" spans="17:21">
      <c r="U65" s="56"/>
    </row>
    <row r="66" spans="17:21">
      <c r="Q66" s="56"/>
      <c r="R66" s="56" t="s">
        <v>125</v>
      </c>
      <c r="S66" s="56"/>
      <c r="T66" s="56" t="s">
        <v>126</v>
      </c>
      <c r="U66" s="56"/>
    </row>
    <row r="67" spans="17:21">
      <c r="Q67" s="56"/>
      <c r="R67" s="56"/>
      <c r="S67" s="56"/>
      <c r="T67" s="56"/>
    </row>
    <row r="68" spans="17:21" ht="16">
      <c r="Q68">
        <v>0.53339999999999999</v>
      </c>
      <c r="R68" s="57">
        <f>AVERAGE(Q68:Q69)</f>
        <v>0.53339999999999999</v>
      </c>
      <c r="S68" s="56" t="s">
        <v>127</v>
      </c>
      <c r="T68" s="57" t="e">
        <f>STDEV(Q68:Q69)</f>
        <v>#DIV/0!</v>
      </c>
    </row>
    <row r="69" spans="17:21">
      <c r="Q69" s="56"/>
      <c r="R69" s="56"/>
      <c r="S69" s="56"/>
      <c r="T69" s="56"/>
    </row>
    <row r="70" spans="17:21">
      <c r="Q70" s="56"/>
      <c r="R70" s="56"/>
      <c r="S70" s="56"/>
      <c r="T70" s="56"/>
    </row>
    <row r="71" spans="17:21">
      <c r="R71" t="s">
        <v>128</v>
      </c>
    </row>
    <row r="73" spans="17:21">
      <c r="R73">
        <f>LN(2)/R68</f>
        <v>1.299488527483962</v>
      </c>
      <c r="S73" t="s">
        <v>124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7" sqref="H17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86" t="s">
        <v>4</v>
      </c>
      <c r="B1" s="86" t="s">
        <v>103</v>
      </c>
      <c r="C1" s="86" t="s">
        <v>103</v>
      </c>
      <c r="D1" s="86" t="s">
        <v>5</v>
      </c>
      <c r="E1" s="86" t="s">
        <v>19</v>
      </c>
      <c r="F1" s="86" t="s">
        <v>24</v>
      </c>
      <c r="G1" s="88" t="s">
        <v>25</v>
      </c>
      <c r="H1" s="89" t="s">
        <v>26</v>
      </c>
      <c r="I1" s="3" t="s">
        <v>27</v>
      </c>
      <c r="J1" s="51" t="s">
        <v>27</v>
      </c>
    </row>
    <row r="2" spans="1:10">
      <c r="A2" s="87"/>
      <c r="B2" s="87"/>
      <c r="C2" s="87"/>
      <c r="D2" s="87"/>
      <c r="E2" s="87"/>
      <c r="F2" s="87"/>
      <c r="G2" s="88"/>
      <c r="H2" s="89"/>
      <c r="I2" s="4" t="s">
        <v>28</v>
      </c>
      <c r="J2" s="52" t="s">
        <v>23</v>
      </c>
    </row>
    <row r="3" spans="1:10">
      <c r="A3" s="47" t="s">
        <v>6</v>
      </c>
      <c r="B3" s="48">
        <v>-10</v>
      </c>
      <c r="C3" s="48">
        <v>-10</v>
      </c>
      <c r="D3" s="59">
        <v>0</v>
      </c>
      <c r="E3" s="35">
        <v>1</v>
      </c>
      <c r="F3" s="45">
        <v>0.111</v>
      </c>
      <c r="G3" s="45">
        <v>0.111</v>
      </c>
      <c r="H3" s="45">
        <v>0.111</v>
      </c>
      <c r="I3" s="46">
        <f>E3*(AVERAGE(F3:H3)*1.6007-0.0118)</f>
        <v>0.16587769999999999</v>
      </c>
      <c r="J3" s="53">
        <f>E3*(STDEV(F3:H3)*1.6007)</f>
        <v>0</v>
      </c>
    </row>
    <row r="4" spans="1:10">
      <c r="A4" s="49">
        <v>0</v>
      </c>
      <c r="B4" s="50">
        <v>10</v>
      </c>
      <c r="C4" s="50">
        <v>10</v>
      </c>
      <c r="D4" s="69">
        <v>0</v>
      </c>
      <c r="E4" s="35">
        <v>1</v>
      </c>
      <c r="F4" s="45">
        <v>0.125</v>
      </c>
      <c r="G4" s="45">
        <v>0.125</v>
      </c>
      <c r="H4" s="45">
        <v>0.125</v>
      </c>
      <c r="I4" s="46">
        <f>E4*(AVERAGE(F4:H4)*1.6007-0.0118)</f>
        <v>0.1882875</v>
      </c>
      <c r="J4" s="53">
        <f t="shared" ref="J4:J15" si="0">E4*(STDEV(F4:H4)*1.6007)</f>
        <v>0</v>
      </c>
    </row>
    <row r="5" spans="1:10">
      <c r="A5" s="49">
        <v>1</v>
      </c>
      <c r="B5" s="50">
        <v>170</v>
      </c>
      <c r="C5" s="50">
        <v>180</v>
      </c>
      <c r="D5" s="69">
        <v>3</v>
      </c>
      <c r="E5" s="35">
        <v>1</v>
      </c>
      <c r="F5" s="45">
        <v>0.13400000000000001</v>
      </c>
      <c r="G5" s="45">
        <v>0.13400000000000001</v>
      </c>
      <c r="H5" s="45">
        <v>0.13400000000000001</v>
      </c>
      <c r="I5" s="46">
        <f t="shared" ref="I5:I15" si="1">E5*(AVERAGE(F5:H5)*1.6007-0.0118)</f>
        <v>0.20269380000000001</v>
      </c>
      <c r="J5" s="53">
        <f t="shared" si="0"/>
        <v>0</v>
      </c>
    </row>
    <row r="6" spans="1:10">
      <c r="A6" s="49">
        <v>2</v>
      </c>
      <c r="B6" s="50">
        <v>180</v>
      </c>
      <c r="C6" s="50">
        <v>360</v>
      </c>
      <c r="D6" s="69">
        <v>6</v>
      </c>
      <c r="E6" s="35">
        <v>1</v>
      </c>
      <c r="F6" s="45">
        <v>0.187</v>
      </c>
      <c r="G6" s="45">
        <v>0.187</v>
      </c>
      <c r="H6" s="45">
        <v>0.187</v>
      </c>
      <c r="I6" s="46">
        <f t="shared" si="1"/>
        <v>0.28753089999999998</v>
      </c>
      <c r="J6" s="53">
        <f t="shared" si="0"/>
        <v>5.4413393669642165E-17</v>
      </c>
    </row>
    <row r="7" spans="1:10">
      <c r="A7" s="49">
        <v>3</v>
      </c>
      <c r="B7" s="50">
        <v>180</v>
      </c>
      <c r="C7" s="50">
        <v>540</v>
      </c>
      <c r="D7" s="69">
        <v>9</v>
      </c>
      <c r="E7" s="35">
        <v>10</v>
      </c>
      <c r="F7" s="45">
        <v>4.2999999999999997E-2</v>
      </c>
      <c r="G7" s="45">
        <v>4.2999999999999997E-2</v>
      </c>
      <c r="H7" s="45">
        <v>4.3999999999999997E-2</v>
      </c>
      <c r="I7" s="46">
        <f t="shared" si="1"/>
        <v>0.57563666666666669</v>
      </c>
      <c r="J7" s="53">
        <f t="shared" si="0"/>
        <v>9.241645758918348E-3</v>
      </c>
    </row>
    <row r="8" spans="1:10">
      <c r="A8" s="49">
        <v>4</v>
      </c>
      <c r="B8" s="50">
        <v>180</v>
      </c>
      <c r="C8" s="50">
        <v>720</v>
      </c>
      <c r="D8" s="69">
        <v>12</v>
      </c>
      <c r="E8" s="35">
        <v>10</v>
      </c>
      <c r="F8" s="45">
        <v>5.8999999999999997E-2</v>
      </c>
      <c r="G8" s="45">
        <v>6.0999999999999999E-2</v>
      </c>
      <c r="H8" s="45">
        <v>5.8000000000000003E-2</v>
      </c>
      <c r="I8" s="46">
        <f t="shared" si="1"/>
        <v>0.83174866666666647</v>
      </c>
      <c r="J8" s="53">
        <f t="shared" si="0"/>
        <v>2.4451096383052685E-2</v>
      </c>
    </row>
    <row r="9" spans="1:10">
      <c r="A9" s="49">
        <v>5</v>
      </c>
      <c r="B9" s="50">
        <v>180</v>
      </c>
      <c r="C9" s="50">
        <v>900</v>
      </c>
      <c r="D9" s="69">
        <v>15</v>
      </c>
      <c r="E9" s="35">
        <v>10</v>
      </c>
      <c r="F9" s="45">
        <v>6.2E-2</v>
      </c>
      <c r="G9" s="45">
        <v>6.0999999999999999E-2</v>
      </c>
      <c r="H9" s="45">
        <v>6.0999999999999999E-2</v>
      </c>
      <c r="I9" s="46">
        <f t="shared" si="1"/>
        <v>0.86376266666666657</v>
      </c>
      <c r="J9" s="53">
        <f t="shared" si="0"/>
        <v>9.241645758918348E-3</v>
      </c>
    </row>
    <row r="10" spans="1:10">
      <c r="A10" s="49">
        <v>6</v>
      </c>
      <c r="B10" s="50">
        <v>180</v>
      </c>
      <c r="C10" s="50">
        <v>1080</v>
      </c>
      <c r="D10" s="69">
        <v>18</v>
      </c>
      <c r="E10" s="35">
        <v>10</v>
      </c>
      <c r="F10" s="45">
        <v>7.2999999999999995E-2</v>
      </c>
      <c r="G10" s="45">
        <v>7.3999999999999996E-2</v>
      </c>
      <c r="H10" s="45">
        <v>7.4999999999999997E-2</v>
      </c>
      <c r="I10" s="46">
        <f t="shared" si="1"/>
        <v>1.0665179999999999</v>
      </c>
      <c r="J10" s="53">
        <f t="shared" si="0"/>
        <v>1.6007000000000014E-2</v>
      </c>
    </row>
    <row r="11" spans="1:10">
      <c r="A11" s="49">
        <v>7</v>
      </c>
      <c r="B11" s="50">
        <v>180</v>
      </c>
      <c r="C11" s="50">
        <v>1260</v>
      </c>
      <c r="D11" s="69">
        <v>21</v>
      </c>
      <c r="E11" s="35">
        <v>10</v>
      </c>
      <c r="F11" s="45">
        <v>8.5000000000000006E-2</v>
      </c>
      <c r="G11" s="45">
        <v>0.09</v>
      </c>
      <c r="H11" s="45">
        <v>9.7000000000000003E-2</v>
      </c>
      <c r="I11" s="46">
        <f t="shared" si="1"/>
        <v>1.3333013333333334</v>
      </c>
      <c r="J11" s="53">
        <f t="shared" si="0"/>
        <v>9.6485614369880693E-2</v>
      </c>
    </row>
    <row r="12" spans="1:10">
      <c r="A12" s="49">
        <v>8</v>
      </c>
      <c r="B12" s="50">
        <v>180</v>
      </c>
      <c r="C12" s="50">
        <v>1440</v>
      </c>
      <c r="D12" s="69">
        <v>24</v>
      </c>
      <c r="E12" s="35">
        <v>10</v>
      </c>
      <c r="F12" s="45">
        <v>9.1999999999999998E-2</v>
      </c>
      <c r="G12" s="45">
        <v>9.8000000000000004E-2</v>
      </c>
      <c r="H12" s="45">
        <v>0.10100000000000001</v>
      </c>
      <c r="I12" s="46">
        <f t="shared" si="1"/>
        <v>1.434679</v>
      </c>
      <c r="J12" s="53">
        <f t="shared" si="0"/>
        <v>7.3353289149158202E-2</v>
      </c>
    </row>
    <row r="13" spans="1:10">
      <c r="A13" s="49">
        <v>9</v>
      </c>
      <c r="B13" s="50">
        <v>180</v>
      </c>
      <c r="C13" s="50">
        <v>1620</v>
      </c>
      <c r="D13" s="69">
        <v>27</v>
      </c>
      <c r="E13" s="35">
        <v>10</v>
      </c>
      <c r="F13" s="45">
        <v>9.7000000000000003E-2</v>
      </c>
      <c r="G13" s="45">
        <v>0.105</v>
      </c>
      <c r="H13" s="45">
        <v>9.6000000000000002E-2</v>
      </c>
      <c r="I13" s="46">
        <f t="shared" si="1"/>
        <v>1.4720286666666669</v>
      </c>
      <c r="J13" s="53">
        <f t="shared" si="0"/>
        <v>7.8960655977096117E-2</v>
      </c>
    </row>
    <row r="14" spans="1:10">
      <c r="A14" s="49">
        <v>10</v>
      </c>
      <c r="B14" s="50">
        <v>180</v>
      </c>
      <c r="C14" s="50">
        <v>1800</v>
      </c>
      <c r="D14" s="69">
        <v>30</v>
      </c>
      <c r="E14" s="35">
        <v>10</v>
      </c>
      <c r="F14" s="45">
        <v>7.8E-2</v>
      </c>
      <c r="G14" s="45">
        <v>0.08</v>
      </c>
      <c r="H14" s="45">
        <v>8.3000000000000004E-2</v>
      </c>
      <c r="I14" s="46">
        <f t="shared" si="1"/>
        <v>1.1678956666666664</v>
      </c>
      <c r="J14" s="53">
        <f t="shared" si="0"/>
        <v>4.0283399935126328E-2</v>
      </c>
    </row>
    <row r="15" spans="1:10">
      <c r="A15" s="49">
        <v>11</v>
      </c>
      <c r="B15" s="50">
        <v>1080</v>
      </c>
      <c r="C15" s="50">
        <v>2880</v>
      </c>
      <c r="D15" s="69">
        <v>48</v>
      </c>
      <c r="E15" s="35">
        <v>10</v>
      </c>
      <c r="F15" s="45">
        <v>4.4999999999999998E-2</v>
      </c>
      <c r="G15" s="45">
        <v>4.5999999999999999E-2</v>
      </c>
      <c r="H15" s="45">
        <v>4.5999999999999999E-2</v>
      </c>
      <c r="I15" s="46">
        <f t="shared" si="1"/>
        <v>0.6129863333333333</v>
      </c>
      <c r="J15" s="53">
        <f t="shared" si="0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G22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86" t="s">
        <v>4</v>
      </c>
      <c r="B1" s="86" t="s">
        <v>103</v>
      </c>
      <c r="C1" s="86" t="s">
        <v>103</v>
      </c>
      <c r="D1" s="86" t="s">
        <v>5</v>
      </c>
      <c r="E1" s="3" t="s">
        <v>29</v>
      </c>
      <c r="F1" s="3" t="s">
        <v>2</v>
      </c>
      <c r="G1" s="3" t="s">
        <v>32</v>
      </c>
    </row>
    <row r="2" spans="1:7">
      <c r="A2" s="87"/>
      <c r="B2" s="87"/>
      <c r="C2" s="87"/>
      <c r="D2" s="87"/>
      <c r="E2" s="4" t="s">
        <v>30</v>
      </c>
      <c r="F2" s="4" t="s">
        <v>31</v>
      </c>
      <c r="G2" s="4" t="s">
        <v>33</v>
      </c>
    </row>
    <row r="3" spans="1:7">
      <c r="A3" s="47" t="s">
        <v>6</v>
      </c>
      <c r="B3" s="48">
        <v>-10</v>
      </c>
      <c r="C3" s="48">
        <v>-10</v>
      </c>
      <c r="D3" s="59">
        <v>0</v>
      </c>
      <c r="E3" s="1"/>
      <c r="F3" s="1"/>
      <c r="G3" s="1" t="e">
        <f>(F3-$C$17)/E3*1000*Calculation!I4/Calculation!K3</f>
        <v>#DIV/0!</v>
      </c>
    </row>
    <row r="4" spans="1:7">
      <c r="A4" s="49">
        <v>0</v>
      </c>
      <c r="B4" s="50">
        <v>10</v>
      </c>
      <c r="C4" s="50">
        <v>10</v>
      </c>
      <c r="D4" s="69">
        <v>0</v>
      </c>
      <c r="E4" s="1"/>
      <c r="F4" s="1"/>
      <c r="G4" s="1" t="e">
        <f>(F4-$C$17)/E4*1000*Calculation!I5/Calculation!K4</f>
        <v>#DIV/0!</v>
      </c>
    </row>
    <row r="5" spans="1:7">
      <c r="A5" s="49">
        <v>1</v>
      </c>
      <c r="B5" s="50">
        <v>170</v>
      </c>
      <c r="C5" s="50">
        <v>180</v>
      </c>
      <c r="D5" s="69">
        <v>3</v>
      </c>
      <c r="E5" s="1"/>
      <c r="F5" s="1"/>
      <c r="G5" s="1" t="e">
        <f>(F5-$C$17)/E5*1000*Calculation!I6/Calculation!K5</f>
        <v>#DIV/0!</v>
      </c>
    </row>
    <row r="6" spans="1:7">
      <c r="A6" s="49">
        <v>2</v>
      </c>
      <c r="B6" s="50">
        <v>180</v>
      </c>
      <c r="C6" s="50">
        <v>360</v>
      </c>
      <c r="D6" s="69">
        <v>6</v>
      </c>
      <c r="E6" s="1"/>
      <c r="F6" s="1"/>
      <c r="G6" s="1" t="e">
        <f>(F6-$C$17)/E6*1000*Calculation!I7/Calculation!K6</f>
        <v>#DIV/0!</v>
      </c>
    </row>
    <row r="7" spans="1:7">
      <c r="A7" s="49">
        <v>3</v>
      </c>
      <c r="B7" s="50">
        <v>180</v>
      </c>
      <c r="C7" s="50">
        <v>540</v>
      </c>
      <c r="D7" s="69">
        <v>9</v>
      </c>
      <c r="E7" s="1"/>
      <c r="F7" s="1"/>
      <c r="G7" s="1" t="e">
        <f>(F7-$C$17)/E7*1000*Calculation!I8/Calculation!K7</f>
        <v>#DIV/0!</v>
      </c>
    </row>
    <row r="8" spans="1:7">
      <c r="A8" s="49">
        <v>4</v>
      </c>
      <c r="B8" s="50">
        <v>180</v>
      </c>
      <c r="C8" s="50">
        <v>720</v>
      </c>
      <c r="D8" s="69">
        <v>12</v>
      </c>
      <c r="E8" s="1"/>
      <c r="F8" s="1"/>
      <c r="G8" s="1" t="e">
        <f>(F8-$C$17)/E8*1000*Calculation!I9/Calculation!K8</f>
        <v>#DIV/0!</v>
      </c>
    </row>
    <row r="9" spans="1:7">
      <c r="A9" s="49">
        <v>5</v>
      </c>
      <c r="B9" s="50">
        <v>180</v>
      </c>
      <c r="C9" s="50">
        <v>900</v>
      </c>
      <c r="D9" s="69">
        <v>15</v>
      </c>
      <c r="E9" s="1"/>
      <c r="F9" s="1"/>
      <c r="G9" s="1" t="e">
        <f>(F9-$C$17)/E9*1000*Calculation!I10/Calculation!K9</f>
        <v>#DIV/0!</v>
      </c>
    </row>
    <row r="10" spans="1:7">
      <c r="A10" s="49">
        <v>6</v>
      </c>
      <c r="B10" s="50">
        <v>180</v>
      </c>
      <c r="C10" s="50">
        <v>1080</v>
      </c>
      <c r="D10" s="69">
        <v>18</v>
      </c>
      <c r="E10" s="1"/>
      <c r="F10" s="1"/>
      <c r="G10" s="1" t="e">
        <f>(F10-$C$17)/E10*1000*Calculation!I11/Calculation!K10</f>
        <v>#DIV/0!</v>
      </c>
    </row>
    <row r="11" spans="1:7">
      <c r="A11" s="49">
        <v>7</v>
      </c>
      <c r="B11" s="50">
        <v>180</v>
      </c>
      <c r="C11" s="50">
        <v>1260</v>
      </c>
      <c r="D11" s="69">
        <v>21</v>
      </c>
      <c r="E11" s="1"/>
      <c r="F11" s="1"/>
      <c r="G11" s="1" t="e">
        <f>(F11-$C$17)/E11*1000*Calculation!I12/Calculation!K11</f>
        <v>#DIV/0!</v>
      </c>
    </row>
    <row r="12" spans="1:7">
      <c r="A12" s="49">
        <v>8</v>
      </c>
      <c r="B12" s="50">
        <v>180</v>
      </c>
      <c r="C12" s="50">
        <v>1440</v>
      </c>
      <c r="D12" s="69">
        <v>24</v>
      </c>
      <c r="E12" s="1"/>
      <c r="F12" s="1"/>
      <c r="G12" s="1" t="e">
        <f>(F12-$C$17)/E12*1000*Calculation!I13/Calculation!K12</f>
        <v>#DIV/0!</v>
      </c>
    </row>
    <row r="13" spans="1:7">
      <c r="A13" s="49">
        <v>9</v>
      </c>
      <c r="B13" s="50">
        <v>180</v>
      </c>
      <c r="C13" s="50">
        <v>1620</v>
      </c>
      <c r="D13" s="69">
        <v>27</v>
      </c>
      <c r="E13" s="32"/>
      <c r="F13" s="32"/>
      <c r="G13" s="32" t="e">
        <f>(F13-$C$17)/E13*1000*Calculation!I14/Calculation!K13</f>
        <v>#DIV/0!</v>
      </c>
    </row>
    <row r="14" spans="1:7">
      <c r="A14" s="49">
        <v>10</v>
      </c>
      <c r="B14" s="50">
        <v>180</v>
      </c>
      <c r="C14" s="50">
        <v>1800</v>
      </c>
      <c r="D14" s="69">
        <v>30</v>
      </c>
      <c r="E14" s="32"/>
      <c r="F14" s="32"/>
      <c r="G14" s="32" t="e">
        <f>(F14-$C$17)/E14*1000*Calculation!I15/Calculation!K14</f>
        <v>#DIV/0!</v>
      </c>
    </row>
    <row r="15" spans="1:7">
      <c r="A15" s="49">
        <v>11</v>
      </c>
      <c r="B15" s="50">
        <v>1080</v>
      </c>
      <c r="C15" s="50">
        <v>2880</v>
      </c>
      <c r="D15" s="69">
        <v>48</v>
      </c>
      <c r="E15" s="32"/>
      <c r="F15" s="32"/>
      <c r="G15" s="32" t="e">
        <f>(F15-$C$17)/E15*1000*Calculation!#REF!/Calculation!K15</f>
        <v>#DIV/0!</v>
      </c>
    </row>
    <row r="16" spans="1:7">
      <c r="A16" s="58"/>
      <c r="B16" s="50"/>
      <c r="C16" s="50"/>
      <c r="D16" s="60"/>
    </row>
    <row r="17" spans="1:3" ht="15" customHeight="1">
      <c r="A17" s="97" t="s">
        <v>3</v>
      </c>
      <c r="B17" s="98"/>
      <c r="C17" s="1"/>
    </row>
  </sheetData>
  <mergeCells count="5">
    <mergeCell ref="A17:B17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1" t="s">
        <v>49</v>
      </c>
      <c r="B1" s="10">
        <v>70</v>
      </c>
      <c r="C1" s="24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88" t="s">
        <v>5</v>
      </c>
      <c r="B3" s="88" t="s">
        <v>36</v>
      </c>
      <c r="C3" s="88"/>
      <c r="D3" s="88" t="s">
        <v>51</v>
      </c>
      <c r="E3" s="88"/>
      <c r="F3" s="88"/>
      <c r="G3" s="21" t="s">
        <v>52</v>
      </c>
    </row>
    <row r="4" spans="1:10">
      <c r="A4" s="88"/>
      <c r="B4" s="21" t="s">
        <v>53</v>
      </c>
      <c r="C4" s="21" t="s">
        <v>54</v>
      </c>
      <c r="D4" s="21" t="s">
        <v>55</v>
      </c>
      <c r="E4" s="21" t="s">
        <v>56</v>
      </c>
      <c r="F4" s="21" t="s">
        <v>57</v>
      </c>
      <c r="G4" s="21" t="s">
        <v>58</v>
      </c>
    </row>
    <row r="5" spans="1:10">
      <c r="A5" s="10">
        <v>0</v>
      </c>
      <c r="B5" s="10">
        <v>0</v>
      </c>
      <c r="C5" s="10">
        <f>B5/1000</f>
        <v>0</v>
      </c>
      <c r="D5" s="10">
        <f>C5/1000*$B$1</f>
        <v>0</v>
      </c>
      <c r="E5" s="10">
        <f>D5/22.4</f>
        <v>0</v>
      </c>
      <c r="F5" s="10">
        <f>E5/Calculation!K$4*1000</f>
        <v>0</v>
      </c>
      <c r="G5" s="10">
        <f>(0+F5)/2*30</f>
        <v>0</v>
      </c>
      <c r="I5" s="110">
        <v>-0.16666666666666666</v>
      </c>
      <c r="J5" t="s">
        <v>175</v>
      </c>
    </row>
    <row r="6" spans="1:10">
      <c r="A6" s="10">
        <v>0.5</v>
      </c>
      <c r="B6" s="10">
        <v>5970.41</v>
      </c>
      <c r="C6" s="10">
        <f t="shared" ref="C6:C69" si="0">B6/1000</f>
        <v>5.9704100000000002</v>
      </c>
      <c r="D6" s="10">
        <f>C6/1000*$B$1</f>
        <v>0.41792870000000004</v>
      </c>
      <c r="E6" s="10">
        <f>D6/22.4</f>
        <v>1.8657531250000001E-2</v>
      </c>
      <c r="F6" s="10">
        <f>E6/Calculation!K$4*1000</f>
        <v>1.2513434775318579E-2</v>
      </c>
      <c r="G6" s="10">
        <f>G5+(F6+F5)/2*30</f>
        <v>0.18770152162977868</v>
      </c>
      <c r="I6" s="110">
        <v>0.16666666666666666</v>
      </c>
      <c r="J6" t="s">
        <v>176</v>
      </c>
    </row>
    <row r="7" spans="1:10">
      <c r="A7" s="10">
        <v>1</v>
      </c>
      <c r="B7" s="10">
        <v>13602.94</v>
      </c>
      <c r="C7" s="10">
        <f t="shared" si="0"/>
        <v>13.60294</v>
      </c>
      <c r="D7" s="10">
        <f t="shared" ref="D7:D69" si="1">C7/1000*$B$1</f>
        <v>0.9522058000000001</v>
      </c>
      <c r="E7" s="10">
        <f t="shared" ref="E7:E69" si="2">D7/22.4</f>
        <v>4.2509187500000011E-2</v>
      </c>
      <c r="F7" s="10">
        <f>E7/Calculation!K$4*1000</f>
        <v>2.8510521462105975E-2</v>
      </c>
      <c r="G7" s="10">
        <f t="shared" ref="G7:G70" si="3">G6+(F7+F6)/2*30</f>
        <v>0.80306086519114694</v>
      </c>
      <c r="I7" s="110">
        <v>3</v>
      </c>
      <c r="J7" t="s">
        <v>177</v>
      </c>
    </row>
    <row r="8" spans="1:10">
      <c r="A8" s="10">
        <v>1.5</v>
      </c>
      <c r="B8" s="10">
        <v>13091.31</v>
      </c>
      <c r="C8" s="10">
        <f t="shared" si="0"/>
        <v>13.09131</v>
      </c>
      <c r="D8" s="10">
        <f t="shared" si="1"/>
        <v>0.91639170000000003</v>
      </c>
      <c r="E8" s="10">
        <f t="shared" si="2"/>
        <v>4.0910343750000001E-2</v>
      </c>
      <c r="F8" s="10">
        <f>E8/Calculation!K$4*1000</f>
        <v>2.7438191649899399E-2</v>
      </c>
      <c r="G8" s="10">
        <f t="shared" si="3"/>
        <v>1.6422915618712275</v>
      </c>
      <c r="I8" s="110">
        <v>6</v>
      </c>
      <c r="J8" t="s">
        <v>178</v>
      </c>
    </row>
    <row r="9" spans="1:10">
      <c r="A9" s="10">
        <v>2</v>
      </c>
      <c r="B9" s="10">
        <v>13727.47</v>
      </c>
      <c r="C9" s="10">
        <f t="shared" si="0"/>
        <v>13.727469999999999</v>
      </c>
      <c r="D9" s="10">
        <f t="shared" si="1"/>
        <v>0.96092289999999991</v>
      </c>
      <c r="E9" s="10">
        <f t="shared" si="2"/>
        <v>4.2898343749999998E-2</v>
      </c>
      <c r="F9" s="10">
        <f>E9/Calculation!K$4*1000</f>
        <v>2.8771524983232728E-2</v>
      </c>
      <c r="G9" s="10">
        <f t="shared" si="3"/>
        <v>2.4854373113682096</v>
      </c>
      <c r="I9" s="110">
        <v>9</v>
      </c>
      <c r="J9" t="s">
        <v>179</v>
      </c>
    </row>
    <row r="10" spans="1:10">
      <c r="A10" s="10">
        <v>2.5</v>
      </c>
      <c r="B10" s="10">
        <v>14405.58</v>
      </c>
      <c r="C10" s="10">
        <f t="shared" si="0"/>
        <v>14.40558</v>
      </c>
      <c r="D10" s="10">
        <f t="shared" si="1"/>
        <v>1.0083906</v>
      </c>
      <c r="E10" s="10">
        <f t="shared" si="2"/>
        <v>4.5017437500000007E-2</v>
      </c>
      <c r="F10" s="10">
        <f>E10/Calculation!K$4*1000</f>
        <v>3.0192781690140849E-2</v>
      </c>
      <c r="G10" s="10">
        <f t="shared" si="3"/>
        <v>3.3699019114688129</v>
      </c>
      <c r="I10" s="110">
        <v>12</v>
      </c>
      <c r="J10" t="s">
        <v>180</v>
      </c>
    </row>
    <row r="11" spans="1:10">
      <c r="A11" s="10">
        <v>3</v>
      </c>
      <c r="B11" s="10">
        <v>14459.72</v>
      </c>
      <c r="C11" s="10">
        <f t="shared" si="0"/>
        <v>14.459719999999999</v>
      </c>
      <c r="D11" s="10">
        <f t="shared" si="1"/>
        <v>1.0121803999999999</v>
      </c>
      <c r="E11" s="10">
        <f t="shared" si="2"/>
        <v>4.5186624999999994E-2</v>
      </c>
      <c r="F11" s="10">
        <f>E11/Calculation!K$5*1000</f>
        <v>3.1357824427480911E-2</v>
      </c>
      <c r="G11" s="10">
        <f t="shared" si="3"/>
        <v>4.2931610032331395</v>
      </c>
      <c r="I11" s="110">
        <v>15</v>
      </c>
      <c r="J11" t="s">
        <v>181</v>
      </c>
    </row>
    <row r="12" spans="1:10">
      <c r="A12" s="10">
        <v>3.5</v>
      </c>
      <c r="B12" s="10">
        <v>13911.55</v>
      </c>
      <c r="C12" s="10">
        <f t="shared" si="0"/>
        <v>13.91155</v>
      </c>
      <c r="D12" s="10">
        <f t="shared" si="1"/>
        <v>0.97380849999999997</v>
      </c>
      <c r="E12" s="10">
        <f t="shared" si="2"/>
        <v>4.3473593750000004E-2</v>
      </c>
      <c r="F12" s="10">
        <f>E12/Calculation!K$5*1000</f>
        <v>3.0169044934073564E-2</v>
      </c>
      <c r="G12" s="10">
        <f t="shared" si="3"/>
        <v>5.2160640436564565</v>
      </c>
      <c r="I12" s="110">
        <v>18</v>
      </c>
      <c r="J12" t="s">
        <v>182</v>
      </c>
    </row>
    <row r="13" spans="1:10">
      <c r="A13" s="10">
        <v>4</v>
      </c>
      <c r="B13" s="10">
        <v>14157.89</v>
      </c>
      <c r="C13" s="10">
        <f t="shared" si="0"/>
        <v>14.15789</v>
      </c>
      <c r="D13" s="10">
        <f t="shared" si="1"/>
        <v>0.9910523</v>
      </c>
      <c r="E13" s="10">
        <f t="shared" si="2"/>
        <v>4.4243406250000006E-2</v>
      </c>
      <c r="F13" s="10">
        <f>E13/Calculation!K$5*1000</f>
        <v>3.0703265961138104E-2</v>
      </c>
      <c r="G13" s="10">
        <f t="shared" si="3"/>
        <v>6.1291487070846316</v>
      </c>
      <c r="I13" s="110">
        <v>21</v>
      </c>
      <c r="J13" t="s">
        <v>183</v>
      </c>
    </row>
    <row r="14" spans="1:10">
      <c r="A14" s="10">
        <v>4.5</v>
      </c>
      <c r="B14" s="10">
        <v>14458.37</v>
      </c>
      <c r="C14" s="10">
        <f t="shared" si="0"/>
        <v>14.45837</v>
      </c>
      <c r="D14" s="10">
        <f t="shared" si="1"/>
        <v>1.0120859</v>
      </c>
      <c r="E14" s="10">
        <f t="shared" si="2"/>
        <v>4.5182406250000001E-2</v>
      </c>
      <c r="F14" s="10">
        <f>E14/Calculation!K$5*1000</f>
        <v>3.1354896773074258E-2</v>
      </c>
      <c r="G14" s="10">
        <f t="shared" si="3"/>
        <v>7.0600211480978166</v>
      </c>
      <c r="I14" s="110">
        <v>24</v>
      </c>
      <c r="J14" t="s">
        <v>184</v>
      </c>
    </row>
    <row r="15" spans="1:10">
      <c r="A15" s="10">
        <v>5</v>
      </c>
      <c r="B15" s="10">
        <v>14400.17</v>
      </c>
      <c r="C15" s="10">
        <f t="shared" si="0"/>
        <v>14.400169999999999</v>
      </c>
      <c r="D15" s="10">
        <f t="shared" si="1"/>
        <v>1.0080118999999998</v>
      </c>
      <c r="E15" s="10">
        <f t="shared" si="2"/>
        <v>4.5000531249999996E-2</v>
      </c>
      <c r="F15" s="10">
        <f>E15/Calculation!K$5*1000</f>
        <v>3.1228682338653713E-2</v>
      </c>
      <c r="G15" s="10">
        <f t="shared" si="3"/>
        <v>7.9987748347737364</v>
      </c>
      <c r="I15" s="110">
        <v>27</v>
      </c>
      <c r="J15" t="s">
        <v>185</v>
      </c>
    </row>
    <row r="16" spans="1:10">
      <c r="A16" s="10">
        <v>5.5</v>
      </c>
      <c r="B16" s="10">
        <v>15047.15</v>
      </c>
      <c r="C16" s="10">
        <f t="shared" si="0"/>
        <v>15.04715</v>
      </c>
      <c r="D16" s="10">
        <f t="shared" si="1"/>
        <v>1.0533005</v>
      </c>
      <c r="E16" s="10">
        <f t="shared" si="2"/>
        <v>4.7022343750000001E-2</v>
      </c>
      <c r="F16" s="10">
        <f>E16/Calculation!K$5*1000</f>
        <v>3.263174444829979E-2</v>
      </c>
      <c r="G16" s="10">
        <f t="shared" si="3"/>
        <v>8.9566812365780386</v>
      </c>
      <c r="I16" s="110">
        <v>30</v>
      </c>
      <c r="J16" t="s">
        <v>186</v>
      </c>
    </row>
    <row r="17" spans="1:10">
      <c r="A17" s="10">
        <v>6</v>
      </c>
      <c r="B17" s="10">
        <v>15840.32</v>
      </c>
      <c r="C17" s="10">
        <f t="shared" si="0"/>
        <v>15.84032</v>
      </c>
      <c r="D17" s="10">
        <f t="shared" si="1"/>
        <v>1.1088224000000002</v>
      </c>
      <c r="E17" s="10">
        <f t="shared" si="2"/>
        <v>4.950100000000001E-2</v>
      </c>
      <c r="F17" s="10">
        <f>E17/Calculation!K$6*1000</f>
        <v>3.5586628324946093E-2</v>
      </c>
      <c r="G17" s="10">
        <f t="shared" si="3"/>
        <v>9.9799568281767268</v>
      </c>
      <c r="I17" s="110">
        <v>48</v>
      </c>
      <c r="J17" t="s">
        <v>187</v>
      </c>
    </row>
    <row r="18" spans="1:10">
      <c r="A18" s="10">
        <v>6.5</v>
      </c>
      <c r="B18" s="10">
        <v>16217.95</v>
      </c>
      <c r="C18" s="10">
        <f t="shared" si="0"/>
        <v>16.217950000000002</v>
      </c>
      <c r="D18" s="10">
        <f t="shared" si="1"/>
        <v>1.1352565000000001</v>
      </c>
      <c r="E18" s="10">
        <f t="shared" si="2"/>
        <v>5.068109375000001E-2</v>
      </c>
      <c r="F18" s="10">
        <f>E18/Calculation!K$6*1000</f>
        <v>3.643500629043854E-2</v>
      </c>
      <c r="G18" s="10">
        <f t="shared" si="3"/>
        <v>11.060281347407496</v>
      </c>
    </row>
    <row r="19" spans="1:10">
      <c r="A19" s="10">
        <v>7</v>
      </c>
      <c r="B19" s="10">
        <v>16676.8</v>
      </c>
      <c r="C19" s="10">
        <f t="shared" si="0"/>
        <v>16.6768</v>
      </c>
      <c r="D19" s="10">
        <f t="shared" si="1"/>
        <v>1.167376</v>
      </c>
      <c r="E19" s="10">
        <f t="shared" si="2"/>
        <v>5.2115000000000002E-2</v>
      </c>
      <c r="F19" s="10">
        <f>E19/Calculation!K$6*1000</f>
        <v>3.7465851905104243E-2</v>
      </c>
      <c r="G19" s="10">
        <f t="shared" si="3"/>
        <v>12.168794220340638</v>
      </c>
    </row>
    <row r="20" spans="1:10">
      <c r="A20" s="10">
        <v>7.5</v>
      </c>
      <c r="B20" s="10">
        <v>17756.91</v>
      </c>
      <c r="C20" s="10">
        <f t="shared" si="0"/>
        <v>17.756910000000001</v>
      </c>
      <c r="D20" s="10">
        <f t="shared" si="1"/>
        <v>1.2429837000000001</v>
      </c>
      <c r="E20" s="10">
        <f t="shared" si="2"/>
        <v>5.5490343750000011E-2</v>
      </c>
      <c r="F20" s="10">
        <f>E20/Calculation!K$6*1000</f>
        <v>3.9892411035226463E-2</v>
      </c>
      <c r="G20" s="10">
        <f t="shared" si="3"/>
        <v>13.329168164445599</v>
      </c>
    </row>
    <row r="21" spans="1:10">
      <c r="A21" s="10">
        <v>8</v>
      </c>
      <c r="B21" s="10">
        <v>19100.97</v>
      </c>
      <c r="C21" s="10">
        <f t="shared" si="0"/>
        <v>19.10097</v>
      </c>
      <c r="D21" s="10">
        <f t="shared" si="1"/>
        <v>1.3370679000000001</v>
      </c>
      <c r="E21" s="10">
        <f t="shared" si="2"/>
        <v>5.9690531250000005E-2</v>
      </c>
      <c r="F21" s="10">
        <f>E21/Calculation!K$6*1000</f>
        <v>4.29119563263839E-2</v>
      </c>
      <c r="G21" s="10">
        <f t="shared" si="3"/>
        <v>14.571233674869756</v>
      </c>
    </row>
    <row r="22" spans="1:10">
      <c r="A22" s="10">
        <v>8.5</v>
      </c>
      <c r="B22" s="10">
        <v>19065.77</v>
      </c>
      <c r="C22" s="10">
        <f t="shared" si="0"/>
        <v>19.065770000000001</v>
      </c>
      <c r="D22" s="10">
        <f t="shared" si="1"/>
        <v>1.3346038999999998</v>
      </c>
      <c r="E22" s="10">
        <f t="shared" si="2"/>
        <v>5.9580531249999999E-2</v>
      </c>
      <c r="F22" s="10">
        <f>E22/Calculation!K$6*1000</f>
        <v>4.2832876527677928E-2</v>
      </c>
      <c r="G22" s="10">
        <f t="shared" si="3"/>
        <v>15.857406167680683</v>
      </c>
    </row>
    <row r="23" spans="1:10">
      <c r="A23" s="10">
        <v>9</v>
      </c>
      <c r="B23" s="10">
        <v>23422.78</v>
      </c>
      <c r="C23" s="10">
        <f t="shared" si="0"/>
        <v>23.422779999999999</v>
      </c>
      <c r="D23" s="10">
        <f t="shared" si="1"/>
        <v>1.6395946000000001</v>
      </c>
      <c r="E23" s="10">
        <f t="shared" si="2"/>
        <v>7.319618750000001E-2</v>
      </c>
      <c r="F23" s="10">
        <f>E23/Calculation!K$7*1000</f>
        <v>5.4460080870385577E-2</v>
      </c>
      <c r="G23" s="10">
        <f t="shared" si="3"/>
        <v>17.316800528651637</v>
      </c>
    </row>
    <row r="24" spans="1:10">
      <c r="A24" s="10">
        <v>9.5</v>
      </c>
      <c r="B24" s="10">
        <v>25444.94</v>
      </c>
      <c r="C24" s="10">
        <f t="shared" si="0"/>
        <v>25.444939999999999</v>
      </c>
      <c r="D24" s="10">
        <f t="shared" si="1"/>
        <v>1.7811458</v>
      </c>
      <c r="E24" s="10">
        <f t="shared" si="2"/>
        <v>7.9515437500000008E-2</v>
      </c>
      <c r="F24" s="10">
        <f>E24/Calculation!K$7*1000</f>
        <v>5.91617856694256E-2</v>
      </c>
      <c r="G24" s="10">
        <f t="shared" si="3"/>
        <v>19.021128526748804</v>
      </c>
    </row>
    <row r="25" spans="1:10">
      <c r="A25" s="10">
        <v>10</v>
      </c>
      <c r="B25" s="10">
        <v>27793.31</v>
      </c>
      <c r="C25" s="10">
        <f t="shared" si="0"/>
        <v>27.793310000000002</v>
      </c>
      <c r="D25" s="10">
        <f t="shared" si="1"/>
        <v>1.9455317000000001</v>
      </c>
      <c r="E25" s="10">
        <f t="shared" si="2"/>
        <v>8.6854093750000014E-2</v>
      </c>
      <c r="F25" s="10">
        <f>E25/Calculation!K$7*1000</f>
        <v>6.4621958207168234E-2</v>
      </c>
      <c r="G25" s="10">
        <f t="shared" si="3"/>
        <v>20.877884684897712</v>
      </c>
    </row>
    <row r="26" spans="1:10">
      <c r="A26" s="10">
        <v>10.5</v>
      </c>
      <c r="B26" s="10">
        <v>23807.18</v>
      </c>
      <c r="C26" s="10">
        <f t="shared" si="0"/>
        <v>23.807179999999999</v>
      </c>
      <c r="D26" s="10">
        <f t="shared" si="1"/>
        <v>1.6665025999999998</v>
      </c>
      <c r="E26" s="10">
        <f t="shared" si="2"/>
        <v>7.4397437499999997E-2</v>
      </c>
      <c r="F26" s="10">
        <f>E26/Calculation!K$7*1000</f>
        <v>5.5353845619342611E-2</v>
      </c>
      <c r="G26" s="10">
        <f t="shared" si="3"/>
        <v>22.677521742295376</v>
      </c>
    </row>
    <row r="27" spans="1:10">
      <c r="A27" s="10">
        <v>11</v>
      </c>
      <c r="B27" s="10">
        <v>30392.080000000002</v>
      </c>
      <c r="C27" s="10">
        <f t="shared" si="0"/>
        <v>30.39208</v>
      </c>
      <c r="D27" s="10">
        <f t="shared" si="1"/>
        <v>2.1274455999999997</v>
      </c>
      <c r="E27" s="10">
        <f t="shared" si="2"/>
        <v>9.4975249999999997E-2</v>
      </c>
      <c r="F27" s="10">
        <f>E27/Calculation!K$7*1000</f>
        <v>7.0664333380547811E-2</v>
      </c>
      <c r="G27" s="10">
        <f t="shared" si="3"/>
        <v>24.567794427293734</v>
      </c>
    </row>
    <row r="28" spans="1:10">
      <c r="A28" s="10">
        <v>11.5</v>
      </c>
      <c r="B28" s="10">
        <v>43315.56</v>
      </c>
      <c r="C28" s="10">
        <f t="shared" si="0"/>
        <v>43.315559999999998</v>
      </c>
      <c r="D28" s="10">
        <f t="shared" si="1"/>
        <v>3.0320891999999997</v>
      </c>
      <c r="E28" s="10">
        <f t="shared" si="2"/>
        <v>0.135361125</v>
      </c>
      <c r="F28" s="10">
        <f>E28/Calculation!K$7*1000</f>
        <v>0.10071259263614472</v>
      </c>
      <c r="G28" s="10">
        <f t="shared" si="3"/>
        <v>27.138448317544121</v>
      </c>
    </row>
    <row r="29" spans="1:10">
      <c r="A29" s="10">
        <v>12</v>
      </c>
      <c r="B29" s="10">
        <v>63339.63</v>
      </c>
      <c r="C29" s="10">
        <f t="shared" si="0"/>
        <v>63.33963</v>
      </c>
      <c r="D29" s="10">
        <f t="shared" si="1"/>
        <v>4.4337740999999999</v>
      </c>
      <c r="E29" s="10">
        <f t="shared" si="2"/>
        <v>0.19793634375000002</v>
      </c>
      <c r="F29" s="10">
        <f>E29/Calculation!K$8*1000</f>
        <v>0.15236818586517725</v>
      </c>
      <c r="G29" s="10">
        <f t="shared" si="3"/>
        <v>30.934659995063953</v>
      </c>
    </row>
    <row r="30" spans="1:10">
      <c r="A30" s="10">
        <v>12.5</v>
      </c>
      <c r="B30" s="10">
        <v>57374.64</v>
      </c>
      <c r="C30" s="10">
        <f t="shared" si="0"/>
        <v>57.374639999999999</v>
      </c>
      <c r="D30" s="10">
        <f t="shared" si="1"/>
        <v>4.0162247999999998</v>
      </c>
      <c r="E30" s="10">
        <f t="shared" si="2"/>
        <v>0.17929575</v>
      </c>
      <c r="F30" s="10">
        <f>E30/Calculation!K$8*1000</f>
        <v>0.13801895924348836</v>
      </c>
      <c r="G30" s="10">
        <f t="shared" si="3"/>
        <v>35.290467171693933</v>
      </c>
    </row>
    <row r="31" spans="1:10">
      <c r="A31" s="10">
        <v>13</v>
      </c>
      <c r="B31" s="10">
        <v>58285.56</v>
      </c>
      <c r="C31" s="10">
        <f t="shared" si="0"/>
        <v>58.285559999999997</v>
      </c>
      <c r="D31" s="10">
        <f t="shared" si="1"/>
        <v>4.0799892</v>
      </c>
      <c r="E31" s="10">
        <f t="shared" si="2"/>
        <v>0.18214237500000002</v>
      </c>
      <c r="F31" s="10">
        <f>E31/Calculation!K$8*1000</f>
        <v>0.14021024498147433</v>
      </c>
      <c r="G31" s="10">
        <f t="shared" si="3"/>
        <v>39.463905235068374</v>
      </c>
    </row>
    <row r="32" spans="1:10">
      <c r="A32" s="10">
        <v>13.5</v>
      </c>
      <c r="B32" s="10">
        <v>56949.63</v>
      </c>
      <c r="C32" s="10">
        <f t="shared" si="0"/>
        <v>56.949629999999999</v>
      </c>
      <c r="D32" s="10">
        <f t="shared" si="1"/>
        <v>3.9864741000000001</v>
      </c>
      <c r="E32" s="10">
        <f t="shared" si="2"/>
        <v>0.17796759375000001</v>
      </c>
      <c r="F32" s="10">
        <f>E32/Calculation!K$8*1000</f>
        <v>0.13699656611181774</v>
      </c>
      <c r="G32" s="10">
        <f t="shared" si="3"/>
        <v>43.622007401467755</v>
      </c>
    </row>
    <row r="33" spans="1:7">
      <c r="A33" s="10">
        <v>14</v>
      </c>
      <c r="B33" s="10">
        <v>55257.72</v>
      </c>
      <c r="C33" s="10">
        <f t="shared" si="0"/>
        <v>55.257719999999999</v>
      </c>
      <c r="D33" s="10">
        <f t="shared" si="1"/>
        <v>3.8680403999999999</v>
      </c>
      <c r="E33" s="10">
        <f t="shared" si="2"/>
        <v>0.172680375</v>
      </c>
      <c r="F33" s="10">
        <f>E33/Calculation!K$8*1000</f>
        <v>0.13292655090416411</v>
      </c>
      <c r="G33" s="10">
        <f t="shared" si="3"/>
        <v>47.670854156707485</v>
      </c>
    </row>
    <row r="34" spans="1:7">
      <c r="A34" s="10">
        <v>14.5</v>
      </c>
      <c r="B34" s="10">
        <v>50822.21</v>
      </c>
      <c r="C34" s="10">
        <f t="shared" si="0"/>
        <v>50.822209999999998</v>
      </c>
      <c r="D34" s="10">
        <f t="shared" si="1"/>
        <v>3.5575546999999998</v>
      </c>
      <c r="E34" s="10">
        <f t="shared" si="2"/>
        <v>0.15881940625000002</v>
      </c>
      <c r="F34" s="10">
        <f>E34/Calculation!K$8*1000</f>
        <v>0.12225660205718078</v>
      </c>
      <c r="G34" s="10">
        <f t="shared" si="3"/>
        <v>51.498601451127655</v>
      </c>
    </row>
    <row r="35" spans="1:7">
      <c r="A35" s="10">
        <v>15</v>
      </c>
      <c r="B35" s="10">
        <v>46910.52</v>
      </c>
      <c r="C35" s="10">
        <f t="shared" si="0"/>
        <v>46.910519999999998</v>
      </c>
      <c r="D35" s="10">
        <f t="shared" si="1"/>
        <v>3.2837364</v>
      </c>
      <c r="E35" s="10">
        <f t="shared" si="2"/>
        <v>0.146595375</v>
      </c>
      <c r="F35" s="10">
        <f>E35/Calculation!K$9*1000</f>
        <v>0.1166887125307519</v>
      </c>
      <c r="G35" s="10">
        <f t="shared" si="3"/>
        <v>55.082781169946642</v>
      </c>
    </row>
    <row r="36" spans="1:7">
      <c r="A36" s="10">
        <v>15.5</v>
      </c>
      <c r="B36" s="10">
        <v>42843.17</v>
      </c>
      <c r="C36" s="10">
        <f t="shared" si="0"/>
        <v>42.843170000000001</v>
      </c>
      <c r="D36" s="10">
        <f t="shared" si="1"/>
        <v>2.9990218999999998</v>
      </c>
      <c r="E36" s="10">
        <f t="shared" si="2"/>
        <v>0.13388490624999999</v>
      </c>
      <c r="F36" s="10">
        <f>E36/Calculation!K$9*1000</f>
        <v>0.10657128396863078</v>
      </c>
      <c r="G36" s="10">
        <f t="shared" si="3"/>
        <v>58.431681117437385</v>
      </c>
    </row>
    <row r="37" spans="1:7">
      <c r="A37" s="10">
        <v>16</v>
      </c>
      <c r="B37" s="10">
        <v>37908.22</v>
      </c>
      <c r="C37" s="10">
        <f t="shared" si="0"/>
        <v>37.90822</v>
      </c>
      <c r="D37" s="10">
        <f t="shared" si="1"/>
        <v>2.6535753999999998</v>
      </c>
      <c r="E37" s="10">
        <f t="shared" si="2"/>
        <v>0.1184631875</v>
      </c>
      <c r="F37" s="10">
        <f>E37/Calculation!K$9*1000</f>
        <v>9.4295722710652091E-2</v>
      </c>
      <c r="G37" s="10">
        <f t="shared" si="3"/>
        <v>61.444686217626625</v>
      </c>
    </row>
    <row r="38" spans="1:7">
      <c r="A38" s="10">
        <v>16.5</v>
      </c>
      <c r="B38" s="10">
        <v>35447.51</v>
      </c>
      <c r="C38" s="10">
        <f t="shared" si="0"/>
        <v>35.447510000000001</v>
      </c>
      <c r="D38" s="10">
        <f t="shared" si="1"/>
        <v>2.4813257000000002</v>
      </c>
      <c r="E38" s="10">
        <f t="shared" si="2"/>
        <v>0.11077346875000002</v>
      </c>
      <c r="F38" s="10">
        <f>E38/Calculation!K$9*1000</f>
        <v>8.8174769845249079E-2</v>
      </c>
      <c r="G38" s="10">
        <f t="shared" si="3"/>
        <v>64.181743605965138</v>
      </c>
    </row>
    <row r="39" spans="1:7">
      <c r="A39" s="10">
        <v>17</v>
      </c>
      <c r="B39" s="10">
        <v>31703.65</v>
      </c>
      <c r="C39" s="10">
        <f t="shared" si="0"/>
        <v>31.703650000000003</v>
      </c>
      <c r="D39" s="10">
        <f t="shared" si="1"/>
        <v>2.2192555</v>
      </c>
      <c r="E39" s="10">
        <f t="shared" si="2"/>
        <v>9.907390625000001E-2</v>
      </c>
      <c r="F39" s="10">
        <f>E39/Calculation!K$9*1000</f>
        <v>7.8862014341891176E-2</v>
      </c>
      <c r="G39" s="10">
        <f t="shared" si="3"/>
        <v>66.68729536877224</v>
      </c>
    </row>
    <row r="40" spans="1:7">
      <c r="A40" s="10">
        <v>17.5</v>
      </c>
      <c r="B40" s="10">
        <v>27629.54</v>
      </c>
      <c r="C40" s="10">
        <f t="shared" si="0"/>
        <v>27.629540000000002</v>
      </c>
      <c r="D40" s="10">
        <f t="shared" si="1"/>
        <v>1.9340678</v>
      </c>
      <c r="E40" s="10">
        <f t="shared" si="2"/>
        <v>8.6342312500000004E-2</v>
      </c>
      <c r="F40" s="10">
        <f>E40/Calculation!K$9*1000</f>
        <v>6.8727770453555215E-2</v>
      </c>
      <c r="G40" s="10">
        <f t="shared" si="3"/>
        <v>68.901142140703939</v>
      </c>
    </row>
    <row r="41" spans="1:7">
      <c r="A41" s="10">
        <v>18</v>
      </c>
      <c r="B41" s="10">
        <v>24111.72</v>
      </c>
      <c r="C41" s="10">
        <f t="shared" si="0"/>
        <v>24.111720000000002</v>
      </c>
      <c r="D41" s="10">
        <f t="shared" si="1"/>
        <v>1.6878204000000001</v>
      </c>
      <c r="E41" s="10">
        <f t="shared" si="2"/>
        <v>7.5349125000000003E-2</v>
      </c>
      <c r="F41" s="10">
        <f>E41/Calculation!K$10*1000</f>
        <v>6.2433355860288954E-2</v>
      </c>
      <c r="G41" s="10">
        <f t="shared" si="3"/>
        <v>70.868559035411607</v>
      </c>
    </row>
    <row r="42" spans="1:7">
      <c r="A42" s="10">
        <v>18.5</v>
      </c>
      <c r="B42" s="10">
        <v>20007.830000000002</v>
      </c>
      <c r="C42" s="10">
        <f t="shared" si="0"/>
        <v>20.007830000000002</v>
      </c>
      <c r="D42" s="10">
        <f t="shared" si="1"/>
        <v>1.4005481</v>
      </c>
      <c r="E42" s="10">
        <f t="shared" si="2"/>
        <v>6.2524468750000006E-2</v>
      </c>
      <c r="F42" s="10">
        <f>E42/Calculation!K$10*1000</f>
        <v>5.1807003829762673E-2</v>
      </c>
      <c r="G42" s="10">
        <f t="shared" si="3"/>
        <v>72.582164430762376</v>
      </c>
    </row>
    <row r="43" spans="1:7">
      <c r="A43" s="10">
        <v>19</v>
      </c>
      <c r="B43" s="10">
        <v>16050.12</v>
      </c>
      <c r="C43" s="10">
        <f t="shared" si="0"/>
        <v>16.05012</v>
      </c>
      <c r="D43" s="10">
        <f t="shared" si="1"/>
        <v>1.1235084</v>
      </c>
      <c r="E43" s="10">
        <f t="shared" si="2"/>
        <v>5.0156625000000003E-2</v>
      </c>
      <c r="F43" s="10">
        <f>E43/Calculation!K$10*1000</f>
        <v>4.1559161003874502E-2</v>
      </c>
      <c r="G43" s="10">
        <f t="shared" si="3"/>
        <v>73.982656903266928</v>
      </c>
    </row>
    <row r="44" spans="1:7">
      <c r="A44" s="10">
        <v>19.5</v>
      </c>
      <c r="B44" s="10">
        <v>12687.96</v>
      </c>
      <c r="C44" s="10">
        <f t="shared" si="0"/>
        <v>12.687959999999999</v>
      </c>
      <c r="D44" s="10">
        <f t="shared" si="1"/>
        <v>0.88815719999999987</v>
      </c>
      <c r="E44" s="10">
        <f t="shared" si="2"/>
        <v>3.9649874999999994E-2</v>
      </c>
      <c r="F44" s="10">
        <f>E44/Calculation!K$10*1000</f>
        <v>3.2853397510468424E-2</v>
      </c>
      <c r="G44" s="10">
        <f t="shared" si="3"/>
        <v>75.098845280982076</v>
      </c>
    </row>
    <row r="45" spans="1:7">
      <c r="A45" s="10">
        <v>20</v>
      </c>
      <c r="B45" s="10">
        <v>9344.75</v>
      </c>
      <c r="C45" s="10">
        <f t="shared" si="0"/>
        <v>9.3447499999999994</v>
      </c>
      <c r="D45" s="10">
        <f t="shared" si="1"/>
        <v>0.65413249999999989</v>
      </c>
      <c r="E45" s="10">
        <f t="shared" si="2"/>
        <v>2.9202343749999998E-2</v>
      </c>
      <c r="F45" s="10">
        <f>E45/Calculation!K$10*1000</f>
        <v>2.419670194309801E-2</v>
      </c>
      <c r="G45" s="10">
        <f t="shared" si="3"/>
        <v>75.954596772785578</v>
      </c>
    </row>
    <row r="46" spans="1:7">
      <c r="A46" s="10">
        <v>20.5</v>
      </c>
      <c r="B46" s="10">
        <v>7022.1</v>
      </c>
      <c r="C46" s="10">
        <f t="shared" si="0"/>
        <v>7.0221</v>
      </c>
      <c r="D46" s="10">
        <f t="shared" si="1"/>
        <v>0.49154700000000001</v>
      </c>
      <c r="E46" s="10">
        <f t="shared" si="2"/>
        <v>2.1944062500000003E-2</v>
      </c>
      <c r="F46" s="10">
        <f>E46/Calculation!K$10*1000</f>
        <v>1.8182579599735529E-2</v>
      </c>
      <c r="G46" s="10">
        <f t="shared" si="3"/>
        <v>76.590285995928085</v>
      </c>
    </row>
    <row r="47" spans="1:7">
      <c r="A47" s="10">
        <v>21</v>
      </c>
      <c r="B47" s="10">
        <v>5553.52</v>
      </c>
      <c r="C47" s="10">
        <f t="shared" si="0"/>
        <v>5.5535200000000007</v>
      </c>
      <c r="D47" s="10">
        <f t="shared" si="1"/>
        <v>0.38874640000000005</v>
      </c>
      <c r="E47" s="10">
        <f t="shared" si="2"/>
        <v>1.7354750000000002E-2</v>
      </c>
      <c r="F47" s="10">
        <f>E47/Calculation!K$11*1000</f>
        <v>1.5026357965906116E-2</v>
      </c>
      <c r="G47" s="10">
        <f t="shared" si="3"/>
        <v>77.088420059412712</v>
      </c>
    </row>
    <row r="48" spans="1:7">
      <c r="A48" s="10">
        <v>21.5</v>
      </c>
      <c r="B48" s="10">
        <v>4573.57</v>
      </c>
      <c r="C48" s="10">
        <f t="shared" si="0"/>
        <v>4.5735700000000001</v>
      </c>
      <c r="D48" s="10">
        <f t="shared" si="1"/>
        <v>0.32014989999999999</v>
      </c>
      <c r="E48" s="10">
        <f t="shared" si="2"/>
        <v>1.429240625E-2</v>
      </c>
      <c r="F48" s="10">
        <f>E48/Calculation!K$11*1000</f>
        <v>1.237487215354032E-2</v>
      </c>
      <c r="G48" s="10">
        <f t="shared" si="3"/>
        <v>77.499438511204403</v>
      </c>
    </row>
    <row r="49" spans="1:7">
      <c r="A49" s="10">
        <v>22</v>
      </c>
      <c r="B49" s="10">
        <v>3973.95</v>
      </c>
      <c r="C49" s="10">
        <f t="shared" si="0"/>
        <v>3.9739499999999999</v>
      </c>
      <c r="D49" s="10">
        <f t="shared" si="1"/>
        <v>0.27817649999999999</v>
      </c>
      <c r="E49" s="10">
        <f t="shared" si="2"/>
        <v>1.241859375E-2</v>
      </c>
      <c r="F49" s="10">
        <f>E49/Calculation!K$11*1000</f>
        <v>1.0752458843870662E-2</v>
      </c>
      <c r="G49" s="10">
        <f t="shared" si="3"/>
        <v>77.846348476165574</v>
      </c>
    </row>
    <row r="50" spans="1:7">
      <c r="A50" s="10">
        <v>22.5</v>
      </c>
      <c r="B50" s="10">
        <v>3440.66</v>
      </c>
      <c r="C50" s="10">
        <f t="shared" si="0"/>
        <v>3.4406599999999998</v>
      </c>
      <c r="D50" s="10">
        <f t="shared" si="1"/>
        <v>0.24084619999999998</v>
      </c>
      <c r="E50" s="10">
        <f t="shared" si="2"/>
        <v>1.0752062499999999E-2</v>
      </c>
      <c r="F50" s="10">
        <f>E50/Calculation!K$11*1000</f>
        <v>9.3095169908408593E-3</v>
      </c>
      <c r="G50" s="10">
        <f t="shared" si="3"/>
        <v>78.147278113686241</v>
      </c>
    </row>
    <row r="51" spans="1:7">
      <c r="A51" s="10">
        <v>23</v>
      </c>
      <c r="B51" s="10">
        <v>2903.31</v>
      </c>
      <c r="C51" s="10">
        <f t="shared" si="0"/>
        <v>2.9033099999999998</v>
      </c>
      <c r="D51" s="10">
        <f t="shared" si="1"/>
        <v>0.20323169999999999</v>
      </c>
      <c r="E51" s="10">
        <f t="shared" si="2"/>
        <v>9.0728437500000002E-3</v>
      </c>
      <c r="F51" s="10">
        <f>E51/Calculation!K$11*1000</f>
        <v>7.8555898504002655E-3</v>
      </c>
      <c r="G51" s="10">
        <f t="shared" si="3"/>
        <v>78.404754716304865</v>
      </c>
    </row>
    <row r="52" spans="1:7">
      <c r="A52" s="10">
        <v>23.5</v>
      </c>
      <c r="B52" s="10">
        <v>2479.66</v>
      </c>
      <c r="C52" s="10">
        <f t="shared" si="0"/>
        <v>2.47966</v>
      </c>
      <c r="D52" s="10">
        <f t="shared" si="1"/>
        <v>0.17357619999999999</v>
      </c>
      <c r="E52" s="10">
        <f t="shared" si="2"/>
        <v>7.7489374999999997E-3</v>
      </c>
      <c r="F52" s="10">
        <f>E52/Calculation!K$11*1000</f>
        <v>6.7093048721781423E-3</v>
      </c>
      <c r="G52" s="10">
        <f t="shared" si="3"/>
        <v>78.623228137143542</v>
      </c>
    </row>
    <row r="53" spans="1:7">
      <c r="A53" s="10">
        <v>24</v>
      </c>
      <c r="B53" s="10">
        <v>2005.93</v>
      </c>
      <c r="C53" s="10">
        <f t="shared" si="0"/>
        <v>2.0059300000000002</v>
      </c>
      <c r="D53" s="10">
        <f t="shared" si="1"/>
        <v>0.14041510000000001</v>
      </c>
      <c r="E53" s="10">
        <f t="shared" si="2"/>
        <v>6.2685312500000007E-3</v>
      </c>
      <c r="F53" s="10">
        <f>E53/Calculation!K$12*1000</f>
        <v>5.6599889481387796E-3</v>
      </c>
      <c r="G53" s="10">
        <f t="shared" si="3"/>
        <v>78.808767544448301</v>
      </c>
    </row>
    <row r="54" spans="1:7">
      <c r="A54" s="10">
        <v>24.5</v>
      </c>
      <c r="B54" s="10">
        <v>1476.7</v>
      </c>
      <c r="C54" s="10">
        <f t="shared" si="0"/>
        <v>1.4767000000000001</v>
      </c>
      <c r="D54" s="10">
        <f t="shared" si="1"/>
        <v>0.103369</v>
      </c>
      <c r="E54" s="10">
        <f t="shared" si="2"/>
        <v>4.6146875000000007E-3</v>
      </c>
      <c r="F54" s="10">
        <f>E54/Calculation!K$12*1000</f>
        <v>4.1666985785727998E-3</v>
      </c>
      <c r="G54" s="10">
        <f t="shared" si="3"/>
        <v>78.956167857348973</v>
      </c>
    </row>
    <row r="55" spans="1:7">
      <c r="A55" s="10">
        <v>25</v>
      </c>
      <c r="B55" s="10">
        <v>553.59</v>
      </c>
      <c r="C55" s="10">
        <f t="shared" si="0"/>
        <v>0.55359000000000003</v>
      </c>
      <c r="D55" s="10">
        <f t="shared" si="1"/>
        <v>3.8751300000000002E-2</v>
      </c>
      <c r="E55" s="10">
        <f t="shared" si="2"/>
        <v>1.7299687500000002E-3</v>
      </c>
      <c r="F55" s="10">
        <f>E55/Calculation!K$12*1000</f>
        <v>1.5620252360751107E-3</v>
      </c>
      <c r="G55" s="10">
        <f t="shared" si="3"/>
        <v>79.042098714568695</v>
      </c>
    </row>
    <row r="56" spans="1:7">
      <c r="A56" s="10">
        <v>25.5</v>
      </c>
      <c r="B56" s="10">
        <v>165.13</v>
      </c>
      <c r="C56" s="10">
        <f t="shared" si="0"/>
        <v>0.16513</v>
      </c>
      <c r="D56" s="10">
        <f t="shared" si="1"/>
        <v>1.1559099999999999E-2</v>
      </c>
      <c r="E56" s="10">
        <f t="shared" si="2"/>
        <v>5.1603125E-4</v>
      </c>
      <c r="F56" s="10">
        <f>E56/Calculation!K$12*1000</f>
        <v>4.65935488778849E-4</v>
      </c>
      <c r="G56" s="10">
        <f t="shared" si="3"/>
        <v>79.072518125441505</v>
      </c>
    </row>
    <row r="57" spans="1:7">
      <c r="A57" s="10">
        <v>26</v>
      </c>
      <c r="B57" s="10">
        <v>46.02</v>
      </c>
      <c r="C57" s="10">
        <f t="shared" si="0"/>
        <v>4.6020000000000005E-2</v>
      </c>
      <c r="D57" s="10">
        <f t="shared" si="1"/>
        <v>3.2214000000000001E-3</v>
      </c>
      <c r="E57" s="10">
        <f t="shared" si="2"/>
        <v>1.4381250000000001E-4</v>
      </c>
      <c r="F57" s="10">
        <f>E57/Calculation!K$12*1000</f>
        <v>1.2985133648399827E-4</v>
      </c>
      <c r="G57" s="10">
        <f t="shared" si="3"/>
        <v>79.081454927820445</v>
      </c>
    </row>
    <row r="58" spans="1:7">
      <c r="A58" s="10">
        <v>26.5</v>
      </c>
      <c r="B58" s="10">
        <v>58.2</v>
      </c>
      <c r="C58" s="10">
        <f t="shared" si="0"/>
        <v>5.8200000000000002E-2</v>
      </c>
      <c r="D58" s="10">
        <f t="shared" si="1"/>
        <v>4.0739999999999995E-3</v>
      </c>
      <c r="E58" s="10">
        <f t="shared" si="2"/>
        <v>1.8187499999999999E-4</v>
      </c>
      <c r="F58" s="10">
        <f>E58/Calculation!K$12*1000</f>
        <v>1.642187697385636E-4</v>
      </c>
      <c r="G58" s="10">
        <f t="shared" si="3"/>
        <v>79.085865979413782</v>
      </c>
    </row>
    <row r="59" spans="1:7">
      <c r="A59" s="10">
        <v>27</v>
      </c>
      <c r="B59" s="10">
        <v>23.01</v>
      </c>
      <c r="C59" s="10">
        <f t="shared" si="0"/>
        <v>2.3010000000000003E-2</v>
      </c>
      <c r="D59" s="10">
        <f t="shared" si="1"/>
        <v>1.6107000000000001E-3</v>
      </c>
      <c r="E59" s="10">
        <f t="shared" si="2"/>
        <v>7.1906250000000003E-5</v>
      </c>
      <c r="F59" s="10">
        <f>E59/Calculation!K$13*1000</f>
        <v>6.812164461854239E-5</v>
      </c>
      <c r="G59" s="10">
        <f t="shared" si="3"/>
        <v>79.089351085629133</v>
      </c>
    </row>
    <row r="60" spans="1:7">
      <c r="A60" s="10">
        <v>27.5</v>
      </c>
      <c r="B60" s="10">
        <v>56.85</v>
      </c>
      <c r="C60" s="10">
        <f t="shared" si="0"/>
        <v>5.6850000000000005E-2</v>
      </c>
      <c r="D60" s="10">
        <f t="shared" si="1"/>
        <v>3.9795000000000004E-3</v>
      </c>
      <c r="E60" s="10">
        <f t="shared" si="2"/>
        <v>1.7765625000000003E-4</v>
      </c>
      <c r="F60" s="10">
        <f>E60/Calculation!K$13*1000</f>
        <v>1.6830575821660736E-4</v>
      </c>
      <c r="G60" s="10">
        <f t="shared" si="3"/>
        <v>79.092897496671654</v>
      </c>
    </row>
    <row r="61" spans="1:7">
      <c r="A61" s="10">
        <v>28</v>
      </c>
      <c r="B61" s="10">
        <v>70.38</v>
      </c>
      <c r="C61" s="10">
        <f t="shared" si="0"/>
        <v>7.0379999999999998E-2</v>
      </c>
      <c r="D61" s="10">
        <f t="shared" si="1"/>
        <v>4.9265999999999997E-3</v>
      </c>
      <c r="E61" s="10">
        <f t="shared" si="2"/>
        <v>2.199375E-4</v>
      </c>
      <c r="F61" s="10">
        <f>E61/Calculation!K$13*1000</f>
        <v>2.0836164051512445E-4</v>
      </c>
      <c r="G61" s="10">
        <f t="shared" si="3"/>
        <v>79.098547507652626</v>
      </c>
    </row>
    <row r="62" spans="1:7">
      <c r="A62" s="10">
        <v>28.5</v>
      </c>
      <c r="B62" s="10">
        <v>131.29</v>
      </c>
      <c r="C62" s="10">
        <f t="shared" si="0"/>
        <v>0.13128999999999999</v>
      </c>
      <c r="D62" s="10">
        <f t="shared" si="1"/>
        <v>9.1903000000000002E-3</v>
      </c>
      <c r="E62" s="10">
        <f t="shared" si="2"/>
        <v>4.1028125000000006E-4</v>
      </c>
      <c r="F62" s="10">
        <f>E62/Calculation!K$13*1000</f>
        <v>3.886871239447384E-4</v>
      </c>
      <c r="G62" s="10">
        <f t="shared" si="3"/>
        <v>79.107503239119524</v>
      </c>
    </row>
    <row r="63" spans="1:7">
      <c r="A63" s="10">
        <v>29</v>
      </c>
      <c r="B63" s="10">
        <v>163.78</v>
      </c>
      <c r="C63" s="10">
        <f t="shared" si="0"/>
        <v>0.16378000000000001</v>
      </c>
      <c r="D63" s="10">
        <f t="shared" si="1"/>
        <v>1.14646E-2</v>
      </c>
      <c r="E63" s="10">
        <f t="shared" si="2"/>
        <v>5.1181250000000001E-4</v>
      </c>
      <c r="F63" s="10">
        <f>E63/Calculation!K$13*1000</f>
        <v>4.84874530883306E-4</v>
      </c>
      <c r="G63" s="10">
        <f t="shared" si="3"/>
        <v>79.120606663941942</v>
      </c>
    </row>
    <row r="64" spans="1:7">
      <c r="A64" s="10">
        <v>29.5</v>
      </c>
      <c r="B64" s="10">
        <v>117.76</v>
      </c>
      <c r="C64" s="10">
        <f t="shared" si="0"/>
        <v>0.11776</v>
      </c>
      <c r="D64" s="10">
        <f t="shared" si="1"/>
        <v>8.2431999999999991E-3</v>
      </c>
      <c r="E64" s="10">
        <f t="shared" si="2"/>
        <v>3.68E-4</v>
      </c>
      <c r="F64" s="10">
        <f>E64/Calculation!K$13*1000</f>
        <v>3.4863124164622133E-4</v>
      </c>
      <c r="G64" s="10">
        <f t="shared" si="3"/>
        <v>79.133109250529884</v>
      </c>
    </row>
    <row r="65" spans="1:7">
      <c r="A65" s="10">
        <v>30</v>
      </c>
      <c r="B65" s="10">
        <v>157.01</v>
      </c>
      <c r="C65" s="10">
        <f t="shared" si="0"/>
        <v>0.15700999999999998</v>
      </c>
      <c r="D65" s="10">
        <f t="shared" si="1"/>
        <v>1.0990699999999999E-2</v>
      </c>
      <c r="E65" s="10">
        <f t="shared" si="2"/>
        <v>4.9065624999999999E-4</v>
      </c>
      <c r="F65" s="10">
        <f>E65/Calculation!K$14*1000</f>
        <v>4.8976529293914665E-4</v>
      </c>
      <c r="G65" s="10">
        <f t="shared" si="3"/>
        <v>79.145685198548662</v>
      </c>
    </row>
    <row r="66" spans="1:7">
      <c r="A66" s="10">
        <v>30.5</v>
      </c>
      <c r="B66" s="10">
        <v>148.88999999999999</v>
      </c>
      <c r="C66" s="10">
        <f t="shared" si="0"/>
        <v>0.14888999999999999</v>
      </c>
      <c r="D66" s="10">
        <f t="shared" si="1"/>
        <v>1.0422299999999999E-2</v>
      </c>
      <c r="E66" s="10">
        <f t="shared" si="2"/>
        <v>4.6528124999999998E-4</v>
      </c>
      <c r="F66" s="10">
        <f>E66/Calculation!K$14*1000</f>
        <v>4.6443637007648902E-4</v>
      </c>
      <c r="G66" s="10">
        <f t="shared" si="3"/>
        <v>79.159998223493901</v>
      </c>
    </row>
    <row r="67" spans="1:7">
      <c r="A67" s="10">
        <v>31</v>
      </c>
      <c r="B67" s="10">
        <v>161.07</v>
      </c>
      <c r="C67" s="10">
        <f t="shared" si="0"/>
        <v>0.16106999999999999</v>
      </c>
      <c r="D67" s="10">
        <f t="shared" si="1"/>
        <v>1.1274900000000001E-2</v>
      </c>
      <c r="E67" s="10">
        <f t="shared" si="2"/>
        <v>5.033437500000001E-4</v>
      </c>
      <c r="F67" s="10">
        <f>E67/Calculation!K$14*1000</f>
        <v>5.0242975437047557E-4</v>
      </c>
      <c r="G67" s="10">
        <f t="shared" si="3"/>
        <v>79.174501215360607</v>
      </c>
    </row>
    <row r="68" spans="1:7">
      <c r="A68" s="10">
        <v>31.5</v>
      </c>
      <c r="B68" s="10">
        <v>101.51</v>
      </c>
      <c r="C68" s="10">
        <f t="shared" si="0"/>
        <v>0.10151</v>
      </c>
      <c r="D68" s="10">
        <f t="shared" si="1"/>
        <v>7.1057000000000004E-3</v>
      </c>
      <c r="E68" s="10">
        <f t="shared" si="2"/>
        <v>3.1721875000000006E-4</v>
      </c>
      <c r="F68" s="10">
        <f>E68/Calculation!K$14*1000</f>
        <v>3.1664272903797713E-4</v>
      </c>
      <c r="G68" s="10">
        <f t="shared" si="3"/>
        <v>79.186787302611734</v>
      </c>
    </row>
    <row r="69" spans="1:7">
      <c r="A69" s="10">
        <v>32</v>
      </c>
      <c r="B69" s="10">
        <v>62.26</v>
      </c>
      <c r="C69" s="10">
        <f t="shared" si="0"/>
        <v>6.2259999999999996E-2</v>
      </c>
      <c r="D69" s="10">
        <f t="shared" si="1"/>
        <v>4.3581999999999996E-3</v>
      </c>
      <c r="E69" s="10">
        <f t="shared" si="2"/>
        <v>1.9456249999999999E-4</v>
      </c>
      <c r="F69" s="10">
        <f>E69/Calculation!K$14*1000</f>
        <v>1.9420920411687963E-4</v>
      </c>
      <c r="G69" s="10">
        <f t="shared" si="3"/>
        <v>79.194450081609062</v>
      </c>
    </row>
    <row r="70" spans="1:7">
      <c r="A70" s="10">
        <v>32.5</v>
      </c>
      <c r="B70" s="10">
        <v>66.319999999999993</v>
      </c>
      <c r="C70" s="10">
        <f t="shared" ref="C70:C101" si="4">B70/1000</f>
        <v>6.631999999999999E-2</v>
      </c>
      <c r="D70" s="10">
        <f t="shared" ref="D70:D101" si="5">C70/1000*$B$1</f>
        <v>4.6423999999999988E-3</v>
      </c>
      <c r="E70" s="10">
        <f t="shared" ref="E70:E101" si="6">D70/22.4</f>
        <v>2.0724999999999997E-4</v>
      </c>
      <c r="F70" s="10">
        <f>E70/Calculation!K$14*1000</f>
        <v>2.0687366554820842E-4</v>
      </c>
      <c r="G70" s="10">
        <f t="shared" si="3"/>
        <v>79.200466324654045</v>
      </c>
    </row>
    <row r="71" spans="1:7">
      <c r="A71" s="10">
        <v>33</v>
      </c>
      <c r="B71" s="10">
        <v>89.33</v>
      </c>
      <c r="C71" s="10">
        <f t="shared" si="4"/>
        <v>8.9329999999999993E-2</v>
      </c>
      <c r="D71" s="10">
        <f t="shared" si="5"/>
        <v>6.2530999999999993E-3</v>
      </c>
      <c r="E71" s="10">
        <f t="shared" si="6"/>
        <v>2.7915625E-4</v>
      </c>
      <c r="F71" s="10">
        <f>E71/Calculation!K$14*1000</f>
        <v>2.7864934474399069E-4</v>
      </c>
      <c r="G71" s="10">
        <f t="shared" ref="G71:G101" si="7">G70+(F71+F70)/2*30</f>
        <v>79.207749169808423</v>
      </c>
    </row>
    <row r="72" spans="1:7">
      <c r="A72" s="10">
        <v>33.5</v>
      </c>
      <c r="B72" s="10">
        <v>75.8</v>
      </c>
      <c r="C72" s="10">
        <f t="shared" si="4"/>
        <v>7.5799999999999992E-2</v>
      </c>
      <c r="D72" s="10">
        <f t="shared" si="5"/>
        <v>5.3059999999999991E-3</v>
      </c>
      <c r="E72" s="10">
        <f t="shared" si="6"/>
        <v>2.3687499999999997E-4</v>
      </c>
      <c r="F72" s="10">
        <f>E72/Calculation!K$14*1000</f>
        <v>2.3644487105781359E-4</v>
      </c>
      <c r="G72" s="10">
        <f t="shared" si="7"/>
        <v>79.215475583045446</v>
      </c>
    </row>
    <row r="73" spans="1:7">
      <c r="A73" s="10">
        <v>34</v>
      </c>
      <c r="B73" s="10">
        <v>0</v>
      </c>
      <c r="C73" s="10">
        <f t="shared" si="4"/>
        <v>0</v>
      </c>
      <c r="D73" s="10">
        <f t="shared" si="5"/>
        <v>0</v>
      </c>
      <c r="E73" s="10">
        <f t="shared" si="6"/>
        <v>0</v>
      </c>
      <c r="F73" s="10">
        <f>E73/Calculation!K$14*1000</f>
        <v>0</v>
      </c>
      <c r="G73" s="10">
        <f t="shared" si="7"/>
        <v>79.219022256111316</v>
      </c>
    </row>
    <row r="74" spans="1:7">
      <c r="A74" s="10">
        <v>34.5</v>
      </c>
      <c r="B74" s="10">
        <v>117.76</v>
      </c>
      <c r="C74" s="10">
        <f t="shared" si="4"/>
        <v>0.11776</v>
      </c>
      <c r="D74" s="10">
        <f t="shared" si="5"/>
        <v>8.2431999999999991E-3</v>
      </c>
      <c r="E74" s="10">
        <f t="shared" si="6"/>
        <v>3.68E-4</v>
      </c>
      <c r="F74" s="10">
        <f>E74/Calculation!K$14*1000</f>
        <v>3.6733176801804926E-4</v>
      </c>
      <c r="G74" s="10">
        <f t="shared" si="7"/>
        <v>79.224532232631589</v>
      </c>
    </row>
    <row r="75" spans="1:7">
      <c r="A75" s="10">
        <v>35</v>
      </c>
      <c r="B75" s="10">
        <v>151.59</v>
      </c>
      <c r="C75" s="10">
        <f t="shared" si="4"/>
        <v>0.15159</v>
      </c>
      <c r="D75" s="10">
        <f t="shared" si="5"/>
        <v>1.0611300000000001E-2</v>
      </c>
      <c r="E75" s="10">
        <f t="shared" si="6"/>
        <v>4.7371875000000007E-4</v>
      </c>
      <c r="F75" s="10">
        <f>E75/Calculation!K$14*1000</f>
        <v>4.7285854886087037E-4</v>
      </c>
      <c r="G75" s="10">
        <f t="shared" si="7"/>
        <v>79.237135087384772</v>
      </c>
    </row>
    <row r="76" spans="1:7">
      <c r="A76" s="10">
        <v>35.5</v>
      </c>
      <c r="B76" s="10">
        <v>121.82</v>
      </c>
      <c r="C76" s="10">
        <f t="shared" si="4"/>
        <v>0.12182</v>
      </c>
      <c r="D76" s="10">
        <f t="shared" si="5"/>
        <v>8.5273999999999992E-3</v>
      </c>
      <c r="E76" s="10">
        <f t="shared" si="6"/>
        <v>3.806875E-4</v>
      </c>
      <c r="F76" s="10">
        <f>E76/Calculation!K$14*1000</f>
        <v>3.7999622944937808E-4</v>
      </c>
      <c r="G76" s="10">
        <f t="shared" si="7"/>
        <v>79.249927909059423</v>
      </c>
    </row>
    <row r="77" spans="1:7">
      <c r="A77" s="10">
        <v>36</v>
      </c>
      <c r="B77" s="10">
        <v>135.35</v>
      </c>
      <c r="C77" s="10">
        <f t="shared" si="4"/>
        <v>0.13535</v>
      </c>
      <c r="D77" s="10">
        <f t="shared" si="5"/>
        <v>9.4745000000000003E-3</v>
      </c>
      <c r="E77" s="10">
        <f t="shared" si="6"/>
        <v>4.2296875000000006E-4</v>
      </c>
      <c r="F77" s="10">
        <f>E77/Calculation!K$14*1000</f>
        <v>4.2220070313555517E-4</v>
      </c>
      <c r="G77" s="10">
        <f t="shared" si="7"/>
        <v>79.261960863048202</v>
      </c>
    </row>
    <row r="78" spans="1:7">
      <c r="A78" s="10">
        <v>36.5</v>
      </c>
      <c r="B78" s="10">
        <v>93.39</v>
      </c>
      <c r="C78" s="10">
        <f t="shared" si="4"/>
        <v>9.3390000000000001E-2</v>
      </c>
      <c r="D78" s="10">
        <f t="shared" si="5"/>
        <v>6.5373000000000002E-3</v>
      </c>
      <c r="E78" s="10">
        <f t="shared" si="6"/>
        <v>2.9184375E-4</v>
      </c>
      <c r="F78" s="10">
        <f>E78/Calculation!K$14*1000</f>
        <v>2.913138061753195E-4</v>
      </c>
      <c r="G78" s="10">
        <f t="shared" si="7"/>
        <v>79.272663580687862</v>
      </c>
    </row>
    <row r="79" spans="1:7">
      <c r="A79" s="10">
        <v>37</v>
      </c>
      <c r="B79" s="10">
        <v>128.59</v>
      </c>
      <c r="C79" s="10">
        <f t="shared" si="4"/>
        <v>0.12859000000000001</v>
      </c>
      <c r="D79" s="10">
        <f t="shared" si="5"/>
        <v>9.0013000000000003E-3</v>
      </c>
      <c r="E79" s="10">
        <f t="shared" si="6"/>
        <v>4.0184375000000002E-4</v>
      </c>
      <c r="F79" s="10">
        <f>E79/Calculation!K$14*1000</f>
        <v>4.0111406291984506E-4</v>
      </c>
      <c r="G79" s="10">
        <f t="shared" si="7"/>
        <v>79.283049998724294</v>
      </c>
    </row>
    <row r="80" spans="1:7">
      <c r="A80" s="10">
        <v>37.5</v>
      </c>
      <c r="B80" s="10">
        <v>161.07</v>
      </c>
      <c r="C80" s="10">
        <f t="shared" si="4"/>
        <v>0.16106999999999999</v>
      </c>
      <c r="D80" s="10">
        <f t="shared" si="5"/>
        <v>1.1274900000000001E-2</v>
      </c>
      <c r="E80" s="10">
        <f t="shared" si="6"/>
        <v>5.033437500000001E-4</v>
      </c>
      <c r="F80" s="10">
        <f>E80/Calculation!K$14*1000</f>
        <v>5.0242975437047557E-4</v>
      </c>
      <c r="G80" s="10">
        <f t="shared" si="7"/>
        <v>79.296603155983647</v>
      </c>
    </row>
    <row r="81" spans="1:7">
      <c r="A81" s="10">
        <v>38</v>
      </c>
      <c r="B81" s="10">
        <v>162.41999999999999</v>
      </c>
      <c r="C81" s="10">
        <f t="shared" si="4"/>
        <v>0.16241999999999998</v>
      </c>
      <c r="D81" s="10">
        <f t="shared" si="5"/>
        <v>1.1369399999999998E-2</v>
      </c>
      <c r="E81" s="10">
        <f t="shared" si="6"/>
        <v>5.0756249999999998E-4</v>
      </c>
      <c r="F81" s="10">
        <f>E81/Calculation!K$14*1000</f>
        <v>5.0664084376266611E-4</v>
      </c>
      <c r="G81" s="10">
        <f t="shared" si="7"/>
        <v>79.311739214955651</v>
      </c>
    </row>
    <row r="82" spans="1:7">
      <c r="A82" s="10">
        <v>38.5</v>
      </c>
      <c r="B82" s="10">
        <v>0</v>
      </c>
      <c r="C82" s="10">
        <f t="shared" si="4"/>
        <v>0</v>
      </c>
      <c r="D82" s="10">
        <f t="shared" si="5"/>
        <v>0</v>
      </c>
      <c r="E82" s="10">
        <f t="shared" si="6"/>
        <v>0</v>
      </c>
      <c r="F82" s="10">
        <f>E82/Calculation!K$14*1000</f>
        <v>0</v>
      </c>
      <c r="G82" s="10">
        <f t="shared" si="7"/>
        <v>79.319338827612086</v>
      </c>
    </row>
    <row r="83" spans="1:7">
      <c r="A83" s="10">
        <v>39</v>
      </c>
      <c r="B83" s="10">
        <v>178.67</v>
      </c>
      <c r="C83" s="10">
        <f t="shared" si="4"/>
        <v>0.17867</v>
      </c>
      <c r="D83" s="10">
        <f t="shared" si="5"/>
        <v>1.25069E-2</v>
      </c>
      <c r="E83" s="10">
        <f t="shared" si="6"/>
        <v>5.5834375000000003E-4</v>
      </c>
      <c r="F83" s="10">
        <f>E83/Calculation!K$14*1000</f>
        <v>5.5732988274273835E-4</v>
      </c>
      <c r="G83" s="10">
        <f t="shared" si="7"/>
        <v>79.327698775853221</v>
      </c>
    </row>
    <row r="84" spans="1:7">
      <c r="A84" s="10">
        <v>39.5</v>
      </c>
      <c r="B84" s="10">
        <v>166.48</v>
      </c>
      <c r="C84" s="10">
        <f t="shared" si="4"/>
        <v>0.16647999999999999</v>
      </c>
      <c r="D84" s="10">
        <f t="shared" si="5"/>
        <v>1.16536E-2</v>
      </c>
      <c r="E84" s="10">
        <f t="shared" si="6"/>
        <v>5.2024999999999999E-4</v>
      </c>
      <c r="F84" s="10">
        <f>E84/Calculation!K$14*1000</f>
        <v>5.1930530519399493E-4</v>
      </c>
      <c r="G84" s="10">
        <f t="shared" si="7"/>
        <v>79.343848303672274</v>
      </c>
    </row>
    <row r="85" spans="1:7">
      <c r="A85" s="10">
        <v>40</v>
      </c>
      <c r="B85" s="10">
        <v>197.61</v>
      </c>
      <c r="C85" s="10">
        <f t="shared" si="4"/>
        <v>0.19761000000000001</v>
      </c>
      <c r="D85" s="10">
        <f t="shared" si="5"/>
        <v>1.38327E-2</v>
      </c>
      <c r="E85" s="10">
        <f t="shared" si="6"/>
        <v>6.1753125000000002E-4</v>
      </c>
      <c r="F85" s="10">
        <f>E85/Calculation!K$14*1000</f>
        <v>6.164099072524348E-4</v>
      </c>
      <c r="G85" s="10">
        <f t="shared" si="7"/>
        <v>79.360884031858973</v>
      </c>
    </row>
    <row r="86" spans="1:7">
      <c r="A86" s="10">
        <v>40.5</v>
      </c>
      <c r="B86" s="10">
        <v>188.14</v>
      </c>
      <c r="C86" s="10">
        <f t="shared" si="4"/>
        <v>0.18813999999999997</v>
      </c>
      <c r="D86" s="10">
        <f t="shared" si="5"/>
        <v>1.3169799999999997E-2</v>
      </c>
      <c r="E86" s="10">
        <f t="shared" si="6"/>
        <v>5.8793749999999992E-4</v>
      </c>
      <c r="F86" s="10">
        <f>E86/Calculation!K$14*1000</f>
        <v>5.8686989499758641E-4</v>
      </c>
      <c r="G86" s="10">
        <f t="shared" si="7"/>
        <v>79.37893322889272</v>
      </c>
    </row>
    <row r="87" spans="1:7">
      <c r="A87" s="10">
        <v>41</v>
      </c>
      <c r="B87" s="10">
        <v>170.54</v>
      </c>
      <c r="C87" s="10">
        <f t="shared" si="4"/>
        <v>0.17054</v>
      </c>
      <c r="D87" s="10">
        <f t="shared" si="5"/>
        <v>1.19378E-2</v>
      </c>
      <c r="E87" s="10">
        <f t="shared" si="6"/>
        <v>5.3293749999999999E-4</v>
      </c>
      <c r="F87" s="10">
        <f>E87/Calculation!K$14*1000</f>
        <v>5.3196976662532374E-4</v>
      </c>
      <c r="G87" s="10">
        <f t="shared" si="7"/>
        <v>79.395715823817071</v>
      </c>
    </row>
    <row r="88" spans="1:7">
      <c r="A88" s="10">
        <v>41.5</v>
      </c>
      <c r="B88" s="10">
        <v>112.34</v>
      </c>
      <c r="C88" s="10">
        <f t="shared" si="4"/>
        <v>0.11234000000000001</v>
      </c>
      <c r="D88" s="10">
        <f t="shared" si="5"/>
        <v>7.8638000000000007E-3</v>
      </c>
      <c r="E88" s="10">
        <f t="shared" si="6"/>
        <v>3.5106250000000003E-4</v>
      </c>
      <c r="F88" s="10">
        <f>E88/Calculation!K$14*1000</f>
        <v>3.5042502393977287E-4</v>
      </c>
      <c r="G88" s="10">
        <f t="shared" si="7"/>
        <v>79.408951745675552</v>
      </c>
    </row>
    <row r="89" spans="1:7">
      <c r="A89" s="10">
        <v>42</v>
      </c>
      <c r="B89" s="10">
        <v>205.74</v>
      </c>
      <c r="C89" s="10">
        <f t="shared" si="4"/>
        <v>0.20574000000000001</v>
      </c>
      <c r="D89" s="10">
        <f t="shared" si="5"/>
        <v>1.4401800000000001E-2</v>
      </c>
      <c r="E89" s="10">
        <f t="shared" si="6"/>
        <v>6.4293750000000006E-4</v>
      </c>
      <c r="F89" s="10">
        <f>E89/Calculation!K$14*1000</f>
        <v>6.417700233698493E-4</v>
      </c>
      <c r="G89" s="10">
        <f t="shared" si="7"/>
        <v>79.423834671385194</v>
      </c>
    </row>
    <row r="90" spans="1:7">
      <c r="A90" s="10">
        <v>42.5</v>
      </c>
      <c r="B90" s="10">
        <v>85.27</v>
      </c>
      <c r="C90" s="10">
        <f t="shared" si="4"/>
        <v>8.5269999999999999E-2</v>
      </c>
      <c r="D90" s="10">
        <f t="shared" si="5"/>
        <v>5.9689000000000001E-3</v>
      </c>
      <c r="E90" s="10">
        <f t="shared" si="6"/>
        <v>2.6646875E-4</v>
      </c>
      <c r="F90" s="10">
        <f>E90/Calculation!K$14*1000</f>
        <v>2.6598488331266187E-4</v>
      </c>
      <c r="G90" s="10">
        <f t="shared" si="7"/>
        <v>79.437450994985426</v>
      </c>
    </row>
    <row r="91" spans="1:7">
      <c r="A91" s="10">
        <v>43</v>
      </c>
      <c r="B91" s="10">
        <v>224.69</v>
      </c>
      <c r="C91" s="10">
        <f t="shared" si="4"/>
        <v>0.22469</v>
      </c>
      <c r="D91" s="10">
        <f t="shared" si="5"/>
        <v>1.5728300000000001E-2</v>
      </c>
      <c r="E91" s="10">
        <f t="shared" si="6"/>
        <v>7.0215625000000009E-4</v>
      </c>
      <c r="F91" s="10">
        <f>E91/Calculation!K$14*1000</f>
        <v>7.0088124113430272E-4</v>
      </c>
      <c r="G91" s="10">
        <f t="shared" si="7"/>
        <v>79.451953986852132</v>
      </c>
    </row>
    <row r="92" spans="1:7">
      <c r="A92" s="10">
        <v>43.5</v>
      </c>
      <c r="B92" s="10">
        <v>216.56</v>
      </c>
      <c r="C92" s="10">
        <f t="shared" si="4"/>
        <v>0.21656</v>
      </c>
      <c r="D92" s="10">
        <f t="shared" si="5"/>
        <v>1.5159199999999999E-2</v>
      </c>
      <c r="E92" s="10">
        <f t="shared" si="6"/>
        <v>6.7675000000000005E-4</v>
      </c>
      <c r="F92" s="10">
        <f>E92/Calculation!K$14*1000</f>
        <v>6.7552112501688812E-4</v>
      </c>
      <c r="G92" s="10">
        <f t="shared" si="7"/>
        <v>79.472600022344395</v>
      </c>
    </row>
    <row r="93" spans="1:7">
      <c r="A93" s="10">
        <v>44</v>
      </c>
      <c r="B93" s="10">
        <v>207.09</v>
      </c>
      <c r="C93" s="10">
        <f t="shared" si="4"/>
        <v>0.20709</v>
      </c>
      <c r="D93" s="10">
        <f t="shared" si="5"/>
        <v>1.44963E-2</v>
      </c>
      <c r="E93" s="10">
        <f t="shared" si="6"/>
        <v>6.4715625000000005E-4</v>
      </c>
      <c r="F93" s="10">
        <f>E93/Calculation!K$14*1000</f>
        <v>6.4598111276203995E-4</v>
      </c>
      <c r="G93" s="10">
        <f t="shared" si="7"/>
        <v>79.492422555911077</v>
      </c>
    </row>
    <row r="94" spans="1:7">
      <c r="A94" s="10">
        <v>44.5</v>
      </c>
      <c r="B94" s="10">
        <v>189.49</v>
      </c>
      <c r="C94" s="10">
        <f t="shared" si="4"/>
        <v>0.18949000000000002</v>
      </c>
      <c r="D94" s="10">
        <f t="shared" si="5"/>
        <v>1.3264300000000001E-2</v>
      </c>
      <c r="E94" s="10">
        <f t="shared" si="6"/>
        <v>5.9215625000000013E-4</v>
      </c>
      <c r="F94" s="10">
        <f>E94/Calculation!K$14*1000</f>
        <v>5.9108098438977728E-4</v>
      </c>
      <c r="G94" s="10">
        <f t="shared" si="7"/>
        <v>79.510978487368348</v>
      </c>
    </row>
    <row r="95" spans="1:7">
      <c r="A95" s="10">
        <v>45</v>
      </c>
      <c r="B95" s="10">
        <v>204.38</v>
      </c>
      <c r="C95" s="10">
        <f t="shared" si="4"/>
        <v>0.20438000000000001</v>
      </c>
      <c r="D95" s="10">
        <f t="shared" si="5"/>
        <v>1.4306600000000001E-2</v>
      </c>
      <c r="E95" s="10">
        <f t="shared" si="6"/>
        <v>6.3868750000000004E-4</v>
      </c>
      <c r="F95" s="10">
        <f>E95/Calculation!K$14*1000</f>
        <v>6.3752774072290167E-4</v>
      </c>
      <c r="G95" s="10">
        <f t="shared" si="7"/>
        <v>79.529407618245045</v>
      </c>
    </row>
    <row r="96" spans="1:7">
      <c r="A96" s="10">
        <v>45.5</v>
      </c>
      <c r="B96" s="10">
        <v>228.75</v>
      </c>
      <c r="C96" s="10">
        <f t="shared" si="4"/>
        <v>0.22875000000000001</v>
      </c>
      <c r="D96" s="10">
        <f t="shared" si="5"/>
        <v>1.6012499999999999E-2</v>
      </c>
      <c r="E96" s="10">
        <f t="shared" si="6"/>
        <v>7.1484374999999998E-4</v>
      </c>
      <c r="F96" s="10">
        <f>E96/Calculation!K$14*1000</f>
        <v>7.1354570256563143E-4</v>
      </c>
      <c r="G96" s="10">
        <f t="shared" si="7"/>
        <v>79.549673719894372</v>
      </c>
    </row>
    <row r="97" spans="1:7">
      <c r="A97" s="10">
        <v>46</v>
      </c>
      <c r="B97" s="10">
        <v>251.76</v>
      </c>
      <c r="C97" s="10">
        <f t="shared" si="4"/>
        <v>0.25175999999999998</v>
      </c>
      <c r="D97" s="10">
        <f t="shared" si="5"/>
        <v>1.7623199999999999E-2</v>
      </c>
      <c r="E97" s="10">
        <f t="shared" si="6"/>
        <v>7.8675000000000001E-4</v>
      </c>
      <c r="F97" s="10">
        <f>E97/Calculation!K$14*1000</f>
        <v>7.8532138176141378E-4</v>
      </c>
      <c r="G97" s="10">
        <f t="shared" si="7"/>
        <v>79.572156726159278</v>
      </c>
    </row>
    <row r="98" spans="1:7">
      <c r="A98" s="10">
        <v>46.5</v>
      </c>
      <c r="B98" s="10">
        <v>198.97</v>
      </c>
      <c r="C98" s="10">
        <f t="shared" si="4"/>
        <v>0.19897000000000001</v>
      </c>
      <c r="D98" s="10">
        <f t="shared" si="5"/>
        <v>1.39279E-2</v>
      </c>
      <c r="E98" s="10">
        <f t="shared" si="6"/>
        <v>6.2178125000000005E-4</v>
      </c>
      <c r="F98" s="10">
        <f>E98/Calculation!K$14*1000</f>
        <v>6.2065218989938243E-4</v>
      </c>
      <c r="G98" s="10">
        <f t="shared" si="7"/>
        <v>79.593246329734185</v>
      </c>
    </row>
    <row r="99" spans="1:7">
      <c r="A99" s="10">
        <v>47</v>
      </c>
      <c r="B99" s="10">
        <v>211.15</v>
      </c>
      <c r="C99" s="10">
        <f t="shared" si="4"/>
        <v>0.21115</v>
      </c>
      <c r="D99" s="10">
        <f t="shared" si="5"/>
        <v>1.47805E-2</v>
      </c>
      <c r="E99" s="10">
        <f t="shared" si="6"/>
        <v>6.5984375000000006E-4</v>
      </c>
      <c r="F99" s="10">
        <f>E99/Calculation!K$14*1000</f>
        <v>6.5864557419336876E-4</v>
      </c>
      <c r="G99" s="10">
        <f t="shared" si="7"/>
        <v>79.612435796195584</v>
      </c>
    </row>
    <row r="100" spans="1:7">
      <c r="A100" s="10">
        <v>47.5</v>
      </c>
      <c r="B100" s="10">
        <v>208.44</v>
      </c>
      <c r="C100" s="10">
        <f t="shared" si="4"/>
        <v>0.20843999999999999</v>
      </c>
      <c r="D100" s="10">
        <f t="shared" si="5"/>
        <v>1.4590799999999998E-2</v>
      </c>
      <c r="E100" s="10">
        <f t="shared" si="6"/>
        <v>6.5137499999999994E-4</v>
      </c>
      <c r="F100" s="10">
        <f>E100/Calculation!K$14*1000</f>
        <v>6.5019220215423038E-4</v>
      </c>
      <c r="G100" s="10">
        <f t="shared" si="7"/>
        <v>79.632068362840798</v>
      </c>
    </row>
    <row r="101" spans="1:7">
      <c r="A101" s="10">
        <v>48</v>
      </c>
      <c r="B101" s="10">
        <v>235.51</v>
      </c>
      <c r="C101" s="10">
        <f t="shared" si="4"/>
        <v>0.23551</v>
      </c>
      <c r="D101" s="10">
        <f t="shared" si="5"/>
        <v>1.6485699999999999E-2</v>
      </c>
      <c r="E101" s="10">
        <f t="shared" si="6"/>
        <v>7.3596874999999997E-4</v>
      </c>
      <c r="F101" s="10">
        <f>E101/Calculation!K$15*1000</f>
        <v>7.7697212391231879E-4</v>
      </c>
      <c r="G101" s="10">
        <f t="shared" si="7"/>
        <v>79.653475827731796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B76" zoomScale="98" zoomScaleNormal="98" zoomScalePageLayoutView="98" workbookViewId="0">
      <selection activeCell="F5" sqref="F5:F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6" t="s">
        <v>49</v>
      </c>
      <c r="B1" s="10">
        <v>70</v>
      </c>
      <c r="C1" s="7" t="s">
        <v>50</v>
      </c>
    </row>
    <row r="3" spans="1:12">
      <c r="A3" s="88" t="s">
        <v>5</v>
      </c>
      <c r="B3" s="88" t="s">
        <v>36</v>
      </c>
      <c r="C3" s="88"/>
      <c r="D3" s="88" t="s">
        <v>51</v>
      </c>
      <c r="E3" s="88"/>
      <c r="F3" s="88"/>
      <c r="G3" s="6" t="s">
        <v>52</v>
      </c>
    </row>
    <row r="4" spans="1:12">
      <c r="A4" s="88"/>
      <c r="B4" s="6" t="s">
        <v>53</v>
      </c>
      <c r="C4" s="6" t="s">
        <v>54</v>
      </c>
      <c r="D4" s="6" t="s">
        <v>55</v>
      </c>
      <c r="E4" s="6" t="s">
        <v>56</v>
      </c>
      <c r="F4" s="6" t="s">
        <v>57</v>
      </c>
      <c r="G4" s="6" t="s">
        <v>58</v>
      </c>
    </row>
    <row r="5" spans="1:12">
      <c r="A5" s="30">
        <v>0</v>
      </c>
      <c r="B5" s="10">
        <v>0</v>
      </c>
      <c r="C5" s="31">
        <f>B5/1000</f>
        <v>0</v>
      </c>
      <c r="D5" s="10">
        <f>C5/1000*$B$1</f>
        <v>0</v>
      </c>
      <c r="E5" s="10">
        <f>D5/22.4</f>
        <v>0</v>
      </c>
      <c r="F5" s="10">
        <f>E5/Calculation!K$4*1000</f>
        <v>0</v>
      </c>
      <c r="G5" s="10">
        <f>(0+F5)/2*30</f>
        <v>0</v>
      </c>
    </row>
    <row r="6" spans="1:12">
      <c r="A6" s="30">
        <v>0.5</v>
      </c>
      <c r="B6" s="10">
        <v>1446.12</v>
      </c>
      <c r="C6" s="31">
        <f t="shared" ref="C6:C69" si="0">B6/1000</f>
        <v>1.4461199999999999</v>
      </c>
      <c r="D6" s="10">
        <f t="shared" ref="D6:D69" si="1">C6/1000*$B$1</f>
        <v>0.1012284</v>
      </c>
      <c r="E6" s="10">
        <f t="shared" ref="E6:E69" si="2">D6/22.4</f>
        <v>4.5191249999999997E-3</v>
      </c>
      <c r="F6" s="10">
        <f>E6/Calculation!K$4*1000</f>
        <v>3.0309356136820923E-3</v>
      </c>
      <c r="G6" s="10">
        <f>G5+(F6+F5)/2*30</f>
        <v>4.5464034205231388E-2</v>
      </c>
    </row>
    <row r="7" spans="1:12">
      <c r="A7" s="30">
        <v>1</v>
      </c>
      <c r="B7" s="10">
        <v>2041.83</v>
      </c>
      <c r="C7" s="31">
        <f t="shared" si="0"/>
        <v>2.04183</v>
      </c>
      <c r="D7" s="10">
        <f t="shared" si="1"/>
        <v>0.1429281</v>
      </c>
      <c r="E7" s="10">
        <f t="shared" si="2"/>
        <v>6.3807187500000001E-3</v>
      </c>
      <c r="F7" s="10">
        <f>E7/Calculation!K$4*1000</f>
        <v>4.2794894366197187E-3</v>
      </c>
      <c r="G7" s="10">
        <f>G6+(F7+F6)/2*30</f>
        <v>0.15512040995975857</v>
      </c>
    </row>
    <row r="8" spans="1:12">
      <c r="A8" s="30">
        <v>1.5</v>
      </c>
      <c r="B8" s="10">
        <v>2290.35</v>
      </c>
      <c r="C8" s="31">
        <f t="shared" si="0"/>
        <v>2.2903500000000001</v>
      </c>
      <c r="D8" s="10">
        <f t="shared" si="1"/>
        <v>0.16032450000000001</v>
      </c>
      <c r="E8" s="10">
        <f t="shared" si="2"/>
        <v>7.1573437500000005E-3</v>
      </c>
      <c r="F8" s="10">
        <f>E8/Calculation!K$4*1000</f>
        <v>4.8003646881287733E-3</v>
      </c>
      <c r="G8" s="10">
        <f t="shared" ref="G8:G70" si="3">G7+(F8+F7)/2*30</f>
        <v>0.29131822183098594</v>
      </c>
      <c r="K8" s="2">
        <f>0.001977/44.01</f>
        <v>4.492160872528971E-5</v>
      </c>
      <c r="L8" s="2">
        <f>1/K8</f>
        <v>22261.001517450681</v>
      </c>
    </row>
    <row r="9" spans="1:12">
      <c r="A9" s="30">
        <v>2</v>
      </c>
      <c r="B9" s="10">
        <v>2484.85</v>
      </c>
      <c r="C9" s="31">
        <f t="shared" si="0"/>
        <v>2.4848499999999998</v>
      </c>
      <c r="D9" s="10">
        <f t="shared" si="1"/>
        <v>0.1739395</v>
      </c>
      <c r="E9" s="10">
        <f t="shared" si="2"/>
        <v>7.7651562500000004E-3</v>
      </c>
      <c r="F9" s="10">
        <f>E9/Calculation!K$4*1000</f>
        <v>5.2080189470154262E-3</v>
      </c>
      <c r="G9" s="10">
        <f t="shared" si="3"/>
        <v>0.44144397635814892</v>
      </c>
    </row>
    <row r="10" spans="1:12">
      <c r="A10" s="30">
        <v>2.5</v>
      </c>
      <c r="B10" s="10">
        <v>2706.11</v>
      </c>
      <c r="C10" s="31">
        <f t="shared" si="0"/>
        <v>2.7061100000000002</v>
      </c>
      <c r="D10" s="10">
        <f t="shared" si="1"/>
        <v>0.18942770000000003</v>
      </c>
      <c r="E10" s="10">
        <f t="shared" si="2"/>
        <v>8.4565937500000014E-3</v>
      </c>
      <c r="F10" s="10">
        <f>E10/Calculation!K$4*1000</f>
        <v>5.6717597250167682E-3</v>
      </c>
      <c r="G10" s="10">
        <f t="shared" si="3"/>
        <v>0.60464065643863185</v>
      </c>
    </row>
    <row r="11" spans="1:12">
      <c r="A11" s="30">
        <v>3</v>
      </c>
      <c r="B11" s="10">
        <v>2824.85</v>
      </c>
      <c r="C11" s="31">
        <f t="shared" si="0"/>
        <v>2.8248500000000001</v>
      </c>
      <c r="D11" s="10">
        <f t="shared" si="1"/>
        <v>0.19773950000000001</v>
      </c>
      <c r="E11" s="10">
        <f t="shared" si="2"/>
        <v>8.8276562500000013E-3</v>
      </c>
      <c r="F11" s="10">
        <f>E11/Calculation!K$5*1000</f>
        <v>6.126062630117975E-3</v>
      </c>
      <c r="G11" s="10">
        <f t="shared" si="3"/>
        <v>0.78160799176565299</v>
      </c>
    </row>
    <row r="12" spans="1:12">
      <c r="A12" s="30">
        <v>3.5</v>
      </c>
      <c r="B12" s="10">
        <v>2972.86</v>
      </c>
      <c r="C12" s="31">
        <f t="shared" si="0"/>
        <v>2.9728600000000003</v>
      </c>
      <c r="D12" s="10">
        <f t="shared" si="1"/>
        <v>0.20810020000000001</v>
      </c>
      <c r="E12" s="10">
        <f t="shared" si="2"/>
        <v>9.2901875000000016E-3</v>
      </c>
      <c r="F12" s="10">
        <f>E12/Calculation!K$5*1000</f>
        <v>6.4470419847328262E-3</v>
      </c>
      <c r="G12" s="10">
        <f t="shared" si="3"/>
        <v>0.97020456098841501</v>
      </c>
    </row>
    <row r="13" spans="1:12">
      <c r="A13" s="30">
        <v>4</v>
      </c>
      <c r="B13" s="10">
        <v>3080.56</v>
      </c>
      <c r="C13" s="31">
        <f t="shared" si="0"/>
        <v>3.0805599999999997</v>
      </c>
      <c r="D13" s="10">
        <f t="shared" si="1"/>
        <v>0.21563919999999998</v>
      </c>
      <c r="E13" s="10">
        <f t="shared" si="2"/>
        <v>9.6267499999999999E-3</v>
      </c>
      <c r="F13" s="10">
        <f>E13/Calculation!K$5*1000</f>
        <v>6.6806037473976405E-3</v>
      </c>
      <c r="G13" s="10">
        <f t="shared" si="3"/>
        <v>1.1671192469703719</v>
      </c>
    </row>
    <row r="14" spans="1:12">
      <c r="A14" s="30">
        <v>4.5</v>
      </c>
      <c r="B14" s="10">
        <v>3221.54</v>
      </c>
      <c r="C14" s="31">
        <f t="shared" si="0"/>
        <v>3.2215400000000001</v>
      </c>
      <c r="D14" s="10">
        <f t="shared" si="1"/>
        <v>0.22550780000000001</v>
      </c>
      <c r="E14" s="10">
        <f t="shared" si="2"/>
        <v>1.0067312500000002E-2</v>
      </c>
      <c r="F14" s="10">
        <f>E14/Calculation!K$5*1000</f>
        <v>6.9863376127689116E-3</v>
      </c>
      <c r="G14" s="10">
        <f t="shared" si="3"/>
        <v>1.3721233673728701</v>
      </c>
    </row>
    <row r="15" spans="1:12">
      <c r="A15" s="30">
        <v>5</v>
      </c>
      <c r="B15" s="10">
        <v>3351.49</v>
      </c>
      <c r="C15" s="31">
        <f t="shared" si="0"/>
        <v>3.3514899999999996</v>
      </c>
      <c r="D15" s="10">
        <f t="shared" si="1"/>
        <v>0.23460429999999996</v>
      </c>
      <c r="E15" s="10">
        <f t="shared" si="2"/>
        <v>1.0473406249999999E-2</v>
      </c>
      <c r="F15" s="10">
        <f>E15/Calculation!K$5*1000</f>
        <v>7.2681514573213037E-3</v>
      </c>
      <c r="G15" s="10">
        <f t="shared" si="3"/>
        <v>1.5859407034242232</v>
      </c>
    </row>
    <row r="16" spans="1:12">
      <c r="A16" s="30">
        <v>5.5</v>
      </c>
      <c r="B16" s="10">
        <v>3417.71</v>
      </c>
      <c r="C16" s="31">
        <f t="shared" si="0"/>
        <v>3.41771</v>
      </c>
      <c r="D16" s="10">
        <f t="shared" si="1"/>
        <v>0.2392397</v>
      </c>
      <c r="E16" s="10">
        <f t="shared" si="2"/>
        <v>1.0680343750000001E-2</v>
      </c>
      <c r="F16" s="10">
        <f>E16/Calculation!K$5*1000</f>
        <v>7.4117583275503133E-3</v>
      </c>
      <c r="G16" s="10">
        <f t="shared" si="3"/>
        <v>1.8061393501972975</v>
      </c>
    </row>
    <row r="17" spans="1:7">
      <c r="A17" s="30">
        <v>6</v>
      </c>
      <c r="B17" s="10">
        <v>3670.58</v>
      </c>
      <c r="C17" s="31">
        <f t="shared" si="0"/>
        <v>3.6705799999999997</v>
      </c>
      <c r="D17" s="10">
        <f t="shared" si="1"/>
        <v>0.25694059999999996</v>
      </c>
      <c r="E17" s="10">
        <f t="shared" si="2"/>
        <v>1.14705625E-2</v>
      </c>
      <c r="F17" s="10">
        <f>E17/Calculation!K$6*1000</f>
        <v>8.2462706685837526E-3</v>
      </c>
      <c r="G17" s="10">
        <f t="shared" si="3"/>
        <v>2.0410097851393085</v>
      </c>
    </row>
    <row r="18" spans="1:7">
      <c r="A18" s="30">
        <v>6.5</v>
      </c>
      <c r="B18" s="10">
        <v>3812.73</v>
      </c>
      <c r="C18" s="31">
        <f t="shared" si="0"/>
        <v>3.8127300000000002</v>
      </c>
      <c r="D18" s="10">
        <f t="shared" si="1"/>
        <v>0.26689110000000005</v>
      </c>
      <c r="E18" s="10">
        <f t="shared" si="2"/>
        <v>1.1914781250000003E-2</v>
      </c>
      <c r="F18" s="10">
        <f>E18/Calculation!K$6*1000</f>
        <v>8.5656227534148116E-3</v>
      </c>
      <c r="G18" s="10">
        <f t="shared" si="3"/>
        <v>2.2931881864692869</v>
      </c>
    </row>
    <row r="19" spans="1:7">
      <c r="A19" s="30">
        <v>7</v>
      </c>
      <c r="B19" s="10">
        <v>4087.34</v>
      </c>
      <c r="C19" s="31">
        <f t="shared" si="0"/>
        <v>4.0873400000000002</v>
      </c>
      <c r="D19" s="10">
        <f t="shared" si="1"/>
        <v>0.28611380000000003</v>
      </c>
      <c r="E19" s="10">
        <f t="shared" si="2"/>
        <v>1.2772937500000001E-2</v>
      </c>
      <c r="F19" s="10">
        <f>E19/Calculation!K$6*1000</f>
        <v>9.182557512580878E-3</v>
      </c>
      <c r="G19" s="10">
        <f t="shared" si="3"/>
        <v>2.5594108904592221</v>
      </c>
    </row>
    <row r="20" spans="1:7">
      <c r="A20" s="30">
        <v>7.5</v>
      </c>
      <c r="B20" s="10">
        <v>4406.1000000000004</v>
      </c>
      <c r="C20" s="31">
        <f t="shared" si="0"/>
        <v>4.4061000000000003</v>
      </c>
      <c r="D20" s="10">
        <f t="shared" si="1"/>
        <v>0.30842700000000001</v>
      </c>
      <c r="E20" s="10">
        <f t="shared" si="2"/>
        <v>1.3769062500000002E-2</v>
      </c>
      <c r="F20" s="10">
        <f>E20/Calculation!K$6*1000</f>
        <v>9.8986790079079803E-3</v>
      </c>
      <c r="G20" s="10">
        <f t="shared" si="3"/>
        <v>2.8456294382665548</v>
      </c>
    </row>
    <row r="21" spans="1:7">
      <c r="A21" s="30">
        <v>8</v>
      </c>
      <c r="B21" s="10">
        <v>4898.79</v>
      </c>
      <c r="C21" s="31">
        <f t="shared" si="0"/>
        <v>4.89879</v>
      </c>
      <c r="D21" s="10">
        <f t="shared" si="1"/>
        <v>0.34291530000000003</v>
      </c>
      <c r="E21" s="10">
        <f t="shared" si="2"/>
        <v>1.5308718750000002E-2</v>
      </c>
      <c r="F21" s="10">
        <f>E21/Calculation!K$6*1000</f>
        <v>1.1005549065420561E-2</v>
      </c>
      <c r="G21" s="10">
        <f t="shared" si="3"/>
        <v>3.1591928593664829</v>
      </c>
    </row>
    <row r="22" spans="1:7">
      <c r="A22" s="30">
        <v>8.5</v>
      </c>
      <c r="B22" s="10">
        <v>5332.27</v>
      </c>
      <c r="C22" s="31">
        <f t="shared" si="0"/>
        <v>5.3322700000000003</v>
      </c>
      <c r="D22" s="10">
        <f t="shared" si="1"/>
        <v>0.3732589</v>
      </c>
      <c r="E22" s="10">
        <f t="shared" si="2"/>
        <v>1.666334375E-2</v>
      </c>
      <c r="F22" s="10">
        <f>E22/Calculation!K$6*1000</f>
        <v>1.197939881380302E-2</v>
      </c>
      <c r="G22" s="10">
        <f t="shared" si="3"/>
        <v>3.5039670775548366</v>
      </c>
    </row>
    <row r="23" spans="1:7">
      <c r="A23" s="30">
        <v>9</v>
      </c>
      <c r="B23" s="10">
        <v>5969.29</v>
      </c>
      <c r="C23" s="31">
        <f t="shared" si="0"/>
        <v>5.96929</v>
      </c>
      <c r="D23" s="10">
        <f t="shared" si="1"/>
        <v>0.41785030000000001</v>
      </c>
      <c r="E23" s="10">
        <f t="shared" si="2"/>
        <v>1.8654031250000001E-2</v>
      </c>
      <c r="F23" s="10">
        <f>E23/Calculation!K$7*1000</f>
        <v>1.3879138861347111E-2</v>
      </c>
      <c r="G23" s="10">
        <f t="shared" si="3"/>
        <v>3.8918451426820884</v>
      </c>
    </row>
    <row r="24" spans="1:7">
      <c r="A24" s="30">
        <v>9.5</v>
      </c>
      <c r="B24" s="10">
        <v>7184.46</v>
      </c>
      <c r="C24" s="31">
        <f t="shared" si="0"/>
        <v>7.1844599999999996</v>
      </c>
      <c r="D24" s="10">
        <f t="shared" si="1"/>
        <v>0.50291219999999992</v>
      </c>
      <c r="E24" s="10">
        <f t="shared" si="2"/>
        <v>2.2451437499999997E-2</v>
      </c>
      <c r="F24" s="10">
        <f>E24/Calculation!K$7*1000</f>
        <v>1.6704518960176811E-2</v>
      </c>
      <c r="G24" s="10">
        <f t="shared" si="3"/>
        <v>4.3506000100049471</v>
      </c>
    </row>
    <row r="25" spans="1:7">
      <c r="A25" s="30">
        <v>10</v>
      </c>
      <c r="B25" s="10">
        <v>8493.7800000000007</v>
      </c>
      <c r="C25" s="31">
        <f t="shared" si="0"/>
        <v>8.493780000000001</v>
      </c>
      <c r="D25" s="10">
        <f t="shared" si="1"/>
        <v>0.59456460000000011</v>
      </c>
      <c r="E25" s="10">
        <f t="shared" si="2"/>
        <v>2.6543062500000006E-2</v>
      </c>
      <c r="F25" s="10">
        <f>E25/Calculation!K$7*1000</f>
        <v>1.974880631996986E-2</v>
      </c>
      <c r="G25" s="10">
        <f t="shared" si="3"/>
        <v>4.8973998892071471</v>
      </c>
    </row>
    <row r="26" spans="1:7">
      <c r="A26" s="30">
        <v>10.5</v>
      </c>
      <c r="B26" s="10">
        <v>8823.07</v>
      </c>
      <c r="C26" s="31">
        <f t="shared" si="0"/>
        <v>8.8230699999999995</v>
      </c>
      <c r="D26" s="10">
        <f t="shared" si="1"/>
        <v>0.61761489999999997</v>
      </c>
      <c r="E26" s="10">
        <f t="shared" si="2"/>
        <v>2.7572093750000002E-2</v>
      </c>
      <c r="F26" s="10">
        <f>E26/Calculation!K$7*1000</f>
        <v>2.0514435337098021E-2</v>
      </c>
      <c r="G26" s="10">
        <f t="shared" si="3"/>
        <v>5.5013485140631655</v>
      </c>
    </row>
    <row r="27" spans="1:7">
      <c r="A27" s="30">
        <v>11</v>
      </c>
      <c r="B27" s="10">
        <v>9224.61</v>
      </c>
      <c r="C27" s="31">
        <f t="shared" si="0"/>
        <v>9.2246100000000002</v>
      </c>
      <c r="D27" s="10">
        <f t="shared" si="1"/>
        <v>0.64572269999999998</v>
      </c>
      <c r="E27" s="10">
        <f t="shared" si="2"/>
        <v>2.8826906250000003E-2</v>
      </c>
      <c r="F27" s="10">
        <f>E27/Calculation!K$7*1000</f>
        <v>2.1448052135475272E-2</v>
      </c>
      <c r="G27" s="10">
        <f t="shared" si="3"/>
        <v>6.1307858261517651</v>
      </c>
    </row>
    <row r="28" spans="1:7">
      <c r="A28" s="30">
        <v>11.5</v>
      </c>
      <c r="B28" s="10">
        <v>10266.85</v>
      </c>
      <c r="C28" s="31">
        <f t="shared" si="0"/>
        <v>10.26685</v>
      </c>
      <c r="D28" s="10">
        <f t="shared" si="1"/>
        <v>0.71867949999999992</v>
      </c>
      <c r="E28" s="10">
        <f t="shared" si="2"/>
        <v>3.2083906249999995E-2</v>
      </c>
      <c r="F28" s="10">
        <f>E28/Calculation!K$7*1000</f>
        <v>2.3871354351794192E-2</v>
      </c>
      <c r="G28" s="10">
        <f t="shared" si="3"/>
        <v>6.8105769234608076</v>
      </c>
    </row>
    <row r="29" spans="1:7">
      <c r="A29" s="30">
        <v>12</v>
      </c>
      <c r="B29" s="10">
        <v>11798.27</v>
      </c>
      <c r="C29" s="31">
        <f t="shared" si="0"/>
        <v>11.79827</v>
      </c>
      <c r="D29" s="10">
        <f t="shared" si="1"/>
        <v>0.82587890000000008</v>
      </c>
      <c r="E29" s="10">
        <f t="shared" si="2"/>
        <v>3.6869593750000006E-2</v>
      </c>
      <c r="F29" s="10">
        <f>E29/Calculation!K$8*1000</f>
        <v>2.8381615052812038E-2</v>
      </c>
      <c r="G29" s="10">
        <f t="shared" si="3"/>
        <v>7.5943714645299014</v>
      </c>
    </row>
    <row r="30" spans="1:7">
      <c r="A30" s="30">
        <v>12.5</v>
      </c>
      <c r="B30" s="10">
        <v>13420.66</v>
      </c>
      <c r="C30" s="31">
        <f t="shared" si="0"/>
        <v>13.42066</v>
      </c>
      <c r="D30" s="10">
        <f t="shared" si="1"/>
        <v>0.9394461999999999</v>
      </c>
      <c r="E30" s="10">
        <f t="shared" si="2"/>
        <v>4.1939562499999999E-2</v>
      </c>
      <c r="F30" s="10">
        <f>E30/Calculation!K$8*1000</f>
        <v>3.2284394735386822E-2</v>
      </c>
      <c r="G30" s="10">
        <f t="shared" si="3"/>
        <v>8.5043616113528842</v>
      </c>
    </row>
    <row r="31" spans="1:7">
      <c r="A31" s="30">
        <v>13</v>
      </c>
      <c r="B31" s="10">
        <v>15141.56</v>
      </c>
      <c r="C31" s="31">
        <f t="shared" si="0"/>
        <v>15.14156</v>
      </c>
      <c r="D31" s="10">
        <f t="shared" si="1"/>
        <v>1.0599092000000001</v>
      </c>
      <c r="E31" s="10">
        <f t="shared" si="2"/>
        <v>4.7317375000000009E-2</v>
      </c>
      <c r="F31" s="10">
        <f>E31/Calculation!K$8*1000</f>
        <v>3.6424147541890183E-2</v>
      </c>
      <c r="G31" s="10">
        <f t="shared" si="3"/>
        <v>9.5349897455120391</v>
      </c>
    </row>
    <row r="32" spans="1:7">
      <c r="A32" s="30">
        <v>13.5</v>
      </c>
      <c r="B32" s="10">
        <v>16930.689999999999</v>
      </c>
      <c r="C32" s="31">
        <f t="shared" si="0"/>
        <v>16.930689999999998</v>
      </c>
      <c r="D32" s="10">
        <f t="shared" si="1"/>
        <v>1.1851482999999998</v>
      </c>
      <c r="E32" s="10">
        <f t="shared" si="2"/>
        <v>5.2908406249999998E-2</v>
      </c>
      <c r="F32" s="10">
        <f>E32/Calculation!K$8*1000</f>
        <v>4.0728032682630096E-2</v>
      </c>
      <c r="G32" s="10">
        <f t="shared" si="3"/>
        <v>10.692272448879843</v>
      </c>
    </row>
    <row r="33" spans="1:7">
      <c r="A33" s="30">
        <v>14</v>
      </c>
      <c r="B33" s="10">
        <v>18382.84</v>
      </c>
      <c r="C33" s="31">
        <f t="shared" si="0"/>
        <v>18.382840000000002</v>
      </c>
      <c r="D33" s="10">
        <f t="shared" si="1"/>
        <v>1.2867988000000001</v>
      </c>
      <c r="E33" s="10">
        <f t="shared" si="2"/>
        <v>5.7446375000000008E-2</v>
      </c>
      <c r="F33" s="10">
        <f>E33/Calculation!K$8*1000</f>
        <v>4.4221287397002713E-2</v>
      </c>
      <c r="G33" s="10">
        <f t="shared" si="3"/>
        <v>11.966512250074334</v>
      </c>
    </row>
    <row r="34" spans="1:7">
      <c r="A34" s="30">
        <v>14.5</v>
      </c>
      <c r="B34" s="10">
        <v>18988.240000000002</v>
      </c>
      <c r="C34" s="31">
        <f t="shared" si="0"/>
        <v>18.988240000000001</v>
      </c>
      <c r="D34" s="10">
        <f t="shared" si="1"/>
        <v>1.3291767999999999</v>
      </c>
      <c r="E34" s="10">
        <f t="shared" si="2"/>
        <v>5.9338250000000002E-2</v>
      </c>
      <c r="F34" s="10">
        <f>E34/Calculation!K$8*1000</f>
        <v>4.5677622075982964E-2</v>
      </c>
      <c r="G34" s="10">
        <f t="shared" si="3"/>
        <v>13.314995892169119</v>
      </c>
    </row>
    <row r="35" spans="1:7">
      <c r="A35" s="30">
        <v>15</v>
      </c>
      <c r="B35" s="10">
        <v>19623.419999999998</v>
      </c>
      <c r="C35" s="31">
        <f t="shared" si="0"/>
        <v>19.623419999999999</v>
      </c>
      <c r="D35" s="10">
        <f t="shared" si="1"/>
        <v>1.3736393999999998</v>
      </c>
      <c r="E35" s="10">
        <f t="shared" si="2"/>
        <v>6.1323187499999994E-2</v>
      </c>
      <c r="F35" s="10">
        <f>E35/Calculation!K$9*1000</f>
        <v>4.8812752773795882E-2</v>
      </c>
      <c r="G35" s="10">
        <f t="shared" si="3"/>
        <v>14.732351514915802</v>
      </c>
    </row>
    <row r="36" spans="1:7">
      <c r="A36" s="30">
        <v>15.5</v>
      </c>
      <c r="B36" s="10">
        <v>20486.04</v>
      </c>
      <c r="C36" s="31">
        <f t="shared" si="0"/>
        <v>20.486039999999999</v>
      </c>
      <c r="D36" s="10">
        <f t="shared" si="1"/>
        <v>1.4340227999999999</v>
      </c>
      <c r="E36" s="10">
        <f t="shared" si="2"/>
        <v>6.4018875000000003E-2</v>
      </c>
      <c r="F36" s="10">
        <f>E36/Calculation!K$9*1000</f>
        <v>5.095849784767862E-2</v>
      </c>
      <c r="G36" s="10">
        <f t="shared" si="3"/>
        <v>16.228920274237918</v>
      </c>
    </row>
    <row r="37" spans="1:7">
      <c r="A37" s="30">
        <v>16</v>
      </c>
      <c r="B37" s="10">
        <v>21544.67</v>
      </c>
      <c r="C37" s="31">
        <f t="shared" si="0"/>
        <v>21.54467</v>
      </c>
      <c r="D37" s="10">
        <f t="shared" si="1"/>
        <v>1.5081268999999999</v>
      </c>
      <c r="E37" s="10">
        <f t="shared" si="2"/>
        <v>6.7327093749999997E-2</v>
      </c>
      <c r="F37" s="10">
        <f>E37/Calculation!K$9*1000</f>
        <v>5.3591812757563001E-2</v>
      </c>
      <c r="G37" s="10">
        <f t="shared" si="3"/>
        <v>17.797174933316541</v>
      </c>
    </row>
    <row r="38" spans="1:7">
      <c r="A38" s="30">
        <v>16.5</v>
      </c>
      <c r="B38" s="10">
        <v>22999.99</v>
      </c>
      <c r="C38" s="31">
        <f t="shared" si="0"/>
        <v>22.99999</v>
      </c>
      <c r="D38" s="10">
        <f t="shared" si="1"/>
        <v>1.6099993000000001</v>
      </c>
      <c r="E38" s="10">
        <f t="shared" si="2"/>
        <v>7.1874968750000004E-2</v>
      </c>
      <c r="F38" s="10">
        <f>E38/Calculation!K$9*1000</f>
        <v>5.7211883844394996E-2</v>
      </c>
      <c r="G38" s="10">
        <f t="shared" si="3"/>
        <v>19.459230382345911</v>
      </c>
    </row>
    <row r="39" spans="1:7">
      <c r="A39" s="30">
        <v>17</v>
      </c>
      <c r="B39" s="10">
        <v>24424.71</v>
      </c>
      <c r="C39" s="31">
        <f t="shared" si="0"/>
        <v>24.424709999999997</v>
      </c>
      <c r="D39" s="10">
        <f t="shared" si="1"/>
        <v>1.7097297</v>
      </c>
      <c r="E39" s="10">
        <f t="shared" si="2"/>
        <v>7.6327218750000009E-2</v>
      </c>
      <c r="F39" s="10">
        <f>E39/Calculation!K$9*1000</f>
        <v>6.0755838217887617E-2</v>
      </c>
      <c r="G39" s="10">
        <f t="shared" si="3"/>
        <v>21.22874621328015</v>
      </c>
    </row>
    <row r="40" spans="1:7">
      <c r="A40" s="30">
        <v>17.5</v>
      </c>
      <c r="B40" s="10">
        <v>25407.74</v>
      </c>
      <c r="C40" s="31">
        <f t="shared" si="0"/>
        <v>25.40774</v>
      </c>
      <c r="D40" s="10">
        <f t="shared" si="1"/>
        <v>1.7785418000000002</v>
      </c>
      <c r="E40" s="10">
        <f t="shared" si="2"/>
        <v>7.939918750000001E-2</v>
      </c>
      <c r="F40" s="10">
        <f>E40/Calculation!K$9*1000</f>
        <v>6.3201100071286501E-2</v>
      </c>
      <c r="G40" s="10">
        <f t="shared" si="3"/>
        <v>23.088100287617763</v>
      </c>
    </row>
    <row r="41" spans="1:7">
      <c r="A41" s="30">
        <v>18</v>
      </c>
      <c r="B41" s="10">
        <v>26845.34</v>
      </c>
      <c r="C41" s="31">
        <f t="shared" si="0"/>
        <v>26.84534</v>
      </c>
      <c r="D41" s="10">
        <f t="shared" si="1"/>
        <v>1.8791738</v>
      </c>
      <c r="E41" s="10">
        <f t="shared" si="2"/>
        <v>8.3891687500000006E-2</v>
      </c>
      <c r="F41" s="10">
        <f>E41/Calculation!K$10*1000</f>
        <v>6.9511617811190959E-2</v>
      </c>
      <c r="G41" s="10">
        <f t="shared" si="3"/>
        <v>25.078791055854925</v>
      </c>
    </row>
    <row r="42" spans="1:7">
      <c r="A42" s="30">
        <v>18.5</v>
      </c>
      <c r="B42" s="10">
        <v>28367.05</v>
      </c>
      <c r="C42" s="31">
        <f t="shared" si="0"/>
        <v>28.367049999999999</v>
      </c>
      <c r="D42" s="10">
        <f t="shared" si="1"/>
        <v>1.9856934999999998</v>
      </c>
      <c r="E42" s="10">
        <f t="shared" si="2"/>
        <v>8.8647031249999994E-2</v>
      </c>
      <c r="F42" s="10">
        <f>E42/Calculation!K$10*1000</f>
        <v>7.3451837005265891E-2</v>
      </c>
      <c r="G42" s="10">
        <f t="shared" si="3"/>
        <v>27.223242878101779</v>
      </c>
    </row>
    <row r="43" spans="1:7">
      <c r="A43" s="30">
        <v>19</v>
      </c>
      <c r="B43" s="10">
        <v>29878.23</v>
      </c>
      <c r="C43" s="31">
        <f t="shared" si="0"/>
        <v>29.878229999999999</v>
      </c>
      <c r="D43" s="10">
        <f t="shared" si="1"/>
        <v>2.0914760999999999</v>
      </c>
      <c r="E43" s="10">
        <f t="shared" si="2"/>
        <v>9.3369468750000004E-2</v>
      </c>
      <c r="F43" s="10">
        <f>E43/Calculation!K$10*1000</f>
        <v>7.7364790486351087E-2</v>
      </c>
      <c r="G43" s="10">
        <f t="shared" si="3"/>
        <v>29.485492290476031</v>
      </c>
    </row>
    <row r="44" spans="1:7">
      <c r="A44" s="30">
        <v>19.5</v>
      </c>
      <c r="B44" s="10">
        <v>31965.72</v>
      </c>
      <c r="C44" s="31">
        <f t="shared" si="0"/>
        <v>31.965720000000001</v>
      </c>
      <c r="D44" s="10">
        <f t="shared" si="1"/>
        <v>2.2376004000000003</v>
      </c>
      <c r="E44" s="10">
        <f t="shared" si="2"/>
        <v>9.989287500000002E-2</v>
      </c>
      <c r="F44" s="10">
        <f>E44/Calculation!K$10*1000</f>
        <v>8.2770004466307515E-2</v>
      </c>
      <c r="G44" s="10">
        <f t="shared" si="3"/>
        <v>31.887514214765911</v>
      </c>
    </row>
    <row r="45" spans="1:7">
      <c r="A45" s="30">
        <v>20</v>
      </c>
      <c r="B45" s="10">
        <v>33391.61</v>
      </c>
      <c r="C45" s="31">
        <f t="shared" si="0"/>
        <v>33.39161</v>
      </c>
      <c r="D45" s="10">
        <f t="shared" si="1"/>
        <v>2.3374127000000002</v>
      </c>
      <c r="E45" s="10">
        <f t="shared" si="2"/>
        <v>0.10434878125000002</v>
      </c>
      <c r="F45" s="10">
        <f>E45/Calculation!K$10*1000</f>
        <v>8.6462113440185256E-2</v>
      </c>
      <c r="G45" s="10">
        <f t="shared" si="3"/>
        <v>34.4259959833633</v>
      </c>
    </row>
    <row r="46" spans="1:7">
      <c r="A46" s="30">
        <v>20.5</v>
      </c>
      <c r="B46" s="10">
        <v>34079.300000000003</v>
      </c>
      <c r="C46" s="31">
        <f t="shared" si="0"/>
        <v>34.079300000000003</v>
      </c>
      <c r="D46" s="10">
        <f t="shared" si="1"/>
        <v>2.3855510000000004</v>
      </c>
      <c r="E46" s="10">
        <f t="shared" si="2"/>
        <v>0.10649781250000002</v>
      </c>
      <c r="F46" s="10">
        <f>E46/Calculation!K$10*1000</f>
        <v>8.8242774234668683E-2</v>
      </c>
      <c r="G46" s="10">
        <f t="shared" si="3"/>
        <v>37.046569298486112</v>
      </c>
    </row>
    <row r="47" spans="1:7">
      <c r="A47" s="30">
        <v>21</v>
      </c>
      <c r="B47" s="10">
        <v>35597.5</v>
      </c>
      <c r="C47" s="31">
        <f t="shared" si="0"/>
        <v>35.597499999999997</v>
      </c>
      <c r="D47" s="10">
        <f t="shared" si="1"/>
        <v>2.491825</v>
      </c>
      <c r="E47" s="10">
        <f t="shared" si="2"/>
        <v>0.11124218750000001</v>
      </c>
      <c r="F47" s="10">
        <f>E47/Calculation!K$11*1000</f>
        <v>9.6317430691046937E-2</v>
      </c>
      <c r="G47" s="10">
        <f t="shared" si="3"/>
        <v>39.814972372371848</v>
      </c>
    </row>
    <row r="48" spans="1:7">
      <c r="A48" s="30">
        <v>21.5</v>
      </c>
      <c r="B48" s="10">
        <v>36533.040000000001</v>
      </c>
      <c r="C48" s="31">
        <f t="shared" si="0"/>
        <v>36.53304</v>
      </c>
      <c r="D48" s="10">
        <f t="shared" si="1"/>
        <v>2.5573128000000001</v>
      </c>
      <c r="E48" s="10">
        <f t="shared" si="2"/>
        <v>0.11416575000000001</v>
      </c>
      <c r="F48" s="10">
        <f>E48/Calculation!K$11*1000</f>
        <v>9.8848754775847883E-2</v>
      </c>
      <c r="G48" s="10">
        <f t="shared" si="3"/>
        <v>42.742465154375267</v>
      </c>
    </row>
    <row r="49" spans="1:7">
      <c r="A49" s="30">
        <v>22</v>
      </c>
      <c r="B49" s="10">
        <v>38084.36</v>
      </c>
      <c r="C49" s="31">
        <f t="shared" si="0"/>
        <v>38.084360000000004</v>
      </c>
      <c r="D49" s="10">
        <f t="shared" si="1"/>
        <v>2.6659052000000005</v>
      </c>
      <c r="E49" s="10">
        <f t="shared" si="2"/>
        <v>0.11901362500000003</v>
      </c>
      <c r="F49" s="10">
        <f>E49/Calculation!K$11*1000</f>
        <v>0.10304621686109645</v>
      </c>
      <c r="G49" s="10">
        <f t="shared" si="3"/>
        <v>45.770889728929433</v>
      </c>
    </row>
    <row r="50" spans="1:7">
      <c r="A50" s="30">
        <v>22.5</v>
      </c>
      <c r="B50" s="10">
        <v>38480.21</v>
      </c>
      <c r="C50" s="31">
        <f t="shared" si="0"/>
        <v>38.48021</v>
      </c>
      <c r="D50" s="10">
        <f t="shared" si="1"/>
        <v>2.6936146999999999</v>
      </c>
      <c r="E50" s="10">
        <f t="shared" si="2"/>
        <v>0.12025065625</v>
      </c>
      <c r="F50" s="10">
        <f>E50/Calculation!K$11*1000</f>
        <v>0.1041172823836486</v>
      </c>
      <c r="G50" s="10">
        <f t="shared" si="3"/>
        <v>48.878342217600611</v>
      </c>
    </row>
    <row r="51" spans="1:7">
      <c r="A51" s="30">
        <v>23</v>
      </c>
      <c r="B51" s="10">
        <v>38739.269999999997</v>
      </c>
      <c r="C51" s="31">
        <f t="shared" si="0"/>
        <v>38.739269999999998</v>
      </c>
      <c r="D51" s="10">
        <f t="shared" si="1"/>
        <v>2.7117488999999999</v>
      </c>
      <c r="E51" s="10">
        <f t="shared" si="2"/>
        <v>0.12106021875</v>
      </c>
      <c r="F51" s="10">
        <f>E51/Calculation!K$11*1000</f>
        <v>0.10481823030400318</v>
      </c>
      <c r="G51" s="10">
        <f t="shared" si="3"/>
        <v>52.012374907915387</v>
      </c>
    </row>
    <row r="52" spans="1:7">
      <c r="A52" s="30">
        <v>23.5</v>
      </c>
      <c r="B52" s="10">
        <v>39523.46</v>
      </c>
      <c r="C52" s="31">
        <f t="shared" si="0"/>
        <v>39.52346</v>
      </c>
      <c r="D52" s="10">
        <f t="shared" si="1"/>
        <v>2.7666422000000002</v>
      </c>
      <c r="E52" s="10">
        <f t="shared" si="2"/>
        <v>0.12351081250000001</v>
      </c>
      <c r="F52" s="10">
        <f>E52/Calculation!K$11*1000</f>
        <v>0.10694004127313339</v>
      </c>
      <c r="G52" s="10">
        <f t="shared" si="3"/>
        <v>55.188748981572438</v>
      </c>
    </row>
    <row r="53" spans="1:7">
      <c r="A53" s="30">
        <v>24</v>
      </c>
      <c r="B53" s="10">
        <v>38572.03</v>
      </c>
      <c r="C53" s="31">
        <f t="shared" si="0"/>
        <v>38.572029999999998</v>
      </c>
      <c r="D53" s="10">
        <f t="shared" si="1"/>
        <v>2.7000421000000001</v>
      </c>
      <c r="E53" s="10">
        <f t="shared" si="2"/>
        <v>0.12053759375000002</v>
      </c>
      <c r="F53" s="10">
        <f>E53/Calculation!K$12*1000</f>
        <v>0.10883593321166614</v>
      </c>
      <c r="G53" s="10">
        <f t="shared" si="3"/>
        <v>58.425388598844428</v>
      </c>
    </row>
    <row r="54" spans="1:7">
      <c r="A54" s="30">
        <v>24.5</v>
      </c>
      <c r="B54" s="10">
        <v>38120.15</v>
      </c>
      <c r="C54" s="31">
        <f t="shared" si="0"/>
        <v>38.120150000000002</v>
      </c>
      <c r="D54" s="10">
        <f t="shared" si="1"/>
        <v>2.6684105000000002</v>
      </c>
      <c r="E54" s="10">
        <f t="shared" si="2"/>
        <v>0.11912546875000002</v>
      </c>
      <c r="F54" s="10">
        <f>E54/Calculation!K$12*1000</f>
        <v>0.10756089579466507</v>
      </c>
      <c r="G54" s="10">
        <f t="shared" si="3"/>
        <v>61.671341033939399</v>
      </c>
    </row>
    <row r="55" spans="1:7">
      <c r="A55" s="30">
        <v>25</v>
      </c>
      <c r="B55" s="10">
        <v>36882.910000000003</v>
      </c>
      <c r="C55" s="31">
        <f t="shared" si="0"/>
        <v>36.882910000000003</v>
      </c>
      <c r="D55" s="10">
        <f t="shared" si="1"/>
        <v>2.5818037000000005</v>
      </c>
      <c r="E55" s="10">
        <f t="shared" si="2"/>
        <v>0.11525909375000003</v>
      </c>
      <c r="F55" s="10">
        <f>E55/Calculation!K$12*1000</f>
        <v>0.10406986433983105</v>
      </c>
      <c r="G55" s="10">
        <f t="shared" si="3"/>
        <v>64.845802435956841</v>
      </c>
    </row>
    <row r="56" spans="1:7">
      <c r="A56" s="30">
        <v>25.5</v>
      </c>
      <c r="B56" s="10">
        <v>30584.82</v>
      </c>
      <c r="C56" s="31">
        <f t="shared" si="0"/>
        <v>30.584820000000001</v>
      </c>
      <c r="D56" s="10">
        <f t="shared" si="1"/>
        <v>2.1409374000000003</v>
      </c>
      <c r="E56" s="10">
        <f t="shared" si="2"/>
        <v>9.5577562500000018E-2</v>
      </c>
      <c r="F56" s="10">
        <f>E56/Calculation!K$12*1000</f>
        <v>8.6298995070024337E-2</v>
      </c>
      <c r="G56" s="10">
        <f t="shared" si="3"/>
        <v>67.701335327104673</v>
      </c>
    </row>
    <row r="57" spans="1:7">
      <c r="A57" s="30">
        <v>26</v>
      </c>
      <c r="B57" s="10">
        <v>26120.02</v>
      </c>
      <c r="C57" s="31">
        <f t="shared" si="0"/>
        <v>26.12002</v>
      </c>
      <c r="D57" s="10">
        <f t="shared" si="1"/>
        <v>1.8284014</v>
      </c>
      <c r="E57" s="10">
        <f t="shared" si="2"/>
        <v>8.1625062499999998E-2</v>
      </c>
      <c r="F57" s="10">
        <f>E57/Calculation!K$12*1000</f>
        <v>7.3700988830698907E-2</v>
      </c>
      <c r="G57" s="10">
        <f t="shared" si="3"/>
        <v>70.101335085615517</v>
      </c>
    </row>
    <row r="58" spans="1:7">
      <c r="A58" s="30">
        <v>26.5</v>
      </c>
      <c r="B58" s="10">
        <v>22403.78</v>
      </c>
      <c r="C58" s="31">
        <f t="shared" si="0"/>
        <v>22.403779999999998</v>
      </c>
      <c r="D58" s="10">
        <f t="shared" si="1"/>
        <v>1.5682645999999998</v>
      </c>
      <c r="E58" s="10">
        <f t="shared" si="2"/>
        <v>7.0011812499999992E-2</v>
      </c>
      <c r="F58" s="10">
        <f>E58/Calculation!K$12*1000</f>
        <v>6.32151407060728E-2</v>
      </c>
      <c r="G58" s="10">
        <f t="shared" si="3"/>
        <v>72.155077028667094</v>
      </c>
    </row>
    <row r="59" spans="1:7">
      <c r="A59" s="30">
        <v>27</v>
      </c>
      <c r="B59" s="10">
        <v>16800.91</v>
      </c>
      <c r="C59" s="31">
        <f t="shared" si="0"/>
        <v>16.800909999999998</v>
      </c>
      <c r="D59" s="10">
        <f t="shared" si="1"/>
        <v>1.1760636999999998</v>
      </c>
      <c r="E59" s="10">
        <f t="shared" si="2"/>
        <v>5.2502843749999993E-2</v>
      </c>
      <c r="F59" s="10">
        <f>E59/Calculation!K$13*1000</f>
        <v>4.9739488061195783E-2</v>
      </c>
      <c r="G59" s="10">
        <f t="shared" si="3"/>
        <v>73.849396460176123</v>
      </c>
    </row>
    <row r="60" spans="1:7">
      <c r="A60" s="30">
        <v>27.5</v>
      </c>
      <c r="B60" s="10">
        <v>15662.68</v>
      </c>
      <c r="C60" s="31">
        <f t="shared" si="0"/>
        <v>15.66268</v>
      </c>
      <c r="D60" s="10">
        <f t="shared" si="1"/>
        <v>1.0963875999999999</v>
      </c>
      <c r="E60" s="10">
        <f t="shared" si="2"/>
        <v>4.8945875E-2</v>
      </c>
      <c r="F60" s="10">
        <f>E60/Calculation!K$13*1000</f>
        <v>4.6369731453018315E-2</v>
      </c>
      <c r="G60" s="10">
        <f t="shared" si="3"/>
        <v>75.291034752889331</v>
      </c>
    </row>
    <row r="61" spans="1:7">
      <c r="A61" s="30">
        <v>28</v>
      </c>
      <c r="B61" s="10">
        <v>13944.46</v>
      </c>
      <c r="C61" s="31">
        <f t="shared" si="0"/>
        <v>13.944459999999999</v>
      </c>
      <c r="D61" s="10">
        <f t="shared" si="1"/>
        <v>0.97611219999999987</v>
      </c>
      <c r="E61" s="10">
        <f t="shared" si="2"/>
        <v>4.3576437499999995E-2</v>
      </c>
      <c r="F61" s="10">
        <f>E61/Calculation!K$13*1000</f>
        <v>4.1282900848217272E-2</v>
      </c>
      <c r="G61" s="10">
        <f t="shared" si="3"/>
        <v>76.605824237407859</v>
      </c>
    </row>
    <row r="62" spans="1:7">
      <c r="A62" s="30">
        <v>28.5</v>
      </c>
      <c r="B62" s="10">
        <v>11299.06</v>
      </c>
      <c r="C62" s="31">
        <f t="shared" si="0"/>
        <v>11.299059999999999</v>
      </c>
      <c r="D62" s="10">
        <f t="shared" si="1"/>
        <v>0.79093419999999992</v>
      </c>
      <c r="E62" s="10">
        <f t="shared" si="2"/>
        <v>3.5309562499999995E-2</v>
      </c>
      <c r="F62" s="10">
        <f>E62/Calculation!K$13*1000</f>
        <v>3.3451132109673508E-2</v>
      </c>
      <c r="G62" s="10">
        <f t="shared" si="3"/>
        <v>77.726834731776222</v>
      </c>
    </row>
    <row r="63" spans="1:7">
      <c r="A63" s="30">
        <v>29</v>
      </c>
      <c r="B63" s="10">
        <v>9412.76</v>
      </c>
      <c r="C63" s="31">
        <f t="shared" si="0"/>
        <v>9.4127600000000005</v>
      </c>
      <c r="D63" s="10">
        <f t="shared" si="1"/>
        <v>0.65889320000000007</v>
      </c>
      <c r="E63" s="10">
        <f t="shared" si="2"/>
        <v>2.9414875000000004E-2</v>
      </c>
      <c r="F63" s="10">
        <f>E63/Calculation!K$13*1000</f>
        <v>2.7866696723147809E-2</v>
      </c>
      <c r="G63" s="10">
        <f t="shared" si="3"/>
        <v>78.646602164268543</v>
      </c>
    </row>
    <row r="64" spans="1:7">
      <c r="A64" s="30">
        <v>29.5</v>
      </c>
      <c r="B64" s="10">
        <v>7791.03</v>
      </c>
      <c r="C64" s="31">
        <f t="shared" si="0"/>
        <v>7.7910300000000001</v>
      </c>
      <c r="D64" s="10">
        <f t="shared" si="1"/>
        <v>0.54537210000000003</v>
      </c>
      <c r="E64" s="10">
        <f t="shared" si="2"/>
        <v>2.4346968750000003E-2</v>
      </c>
      <c r="F64" s="10">
        <f>E64/Calculation!K$13*1000</f>
        <v>2.3065527026180026E-2</v>
      </c>
      <c r="G64" s="10">
        <f t="shared" si="3"/>
        <v>79.410585520508462</v>
      </c>
    </row>
    <row r="65" spans="1:7">
      <c r="A65" s="30">
        <v>30</v>
      </c>
      <c r="B65" s="10">
        <v>6149.41</v>
      </c>
      <c r="C65" s="31">
        <f t="shared" si="0"/>
        <v>6.1494099999999996</v>
      </c>
      <c r="D65" s="10">
        <f t="shared" si="1"/>
        <v>0.43045869999999997</v>
      </c>
      <c r="E65" s="10">
        <f t="shared" si="2"/>
        <v>1.9216906249999999E-2</v>
      </c>
      <c r="F65" s="10">
        <f>E65/Calculation!K$14*1000</f>
        <v>1.9182011273504346E-2</v>
      </c>
      <c r="G65" s="10">
        <f t="shared" si="3"/>
        <v>80.044298595003724</v>
      </c>
    </row>
    <row r="66" spans="1:7">
      <c r="A66" s="30">
        <v>30.5</v>
      </c>
      <c r="B66" s="10">
        <v>4981.24</v>
      </c>
      <c r="C66" s="31">
        <f t="shared" si="0"/>
        <v>4.9812399999999997</v>
      </c>
      <c r="D66" s="10">
        <f t="shared" si="1"/>
        <v>0.34868679999999996</v>
      </c>
      <c r="E66" s="10">
        <f t="shared" si="2"/>
        <v>1.5566374999999999E-2</v>
      </c>
      <c r="F66" s="10">
        <f>E66/Calculation!K$14*1000</f>
        <v>1.5538108832559676E-2</v>
      </c>
      <c r="G66" s="10">
        <f t="shared" si="3"/>
        <v>80.565100396594687</v>
      </c>
    </row>
    <row r="67" spans="1:7">
      <c r="A67" s="30">
        <v>31</v>
      </c>
      <c r="B67" s="10">
        <v>4112.76</v>
      </c>
      <c r="C67" s="31">
        <f t="shared" si="0"/>
        <v>4.1127600000000006</v>
      </c>
      <c r="D67" s="10">
        <f t="shared" si="1"/>
        <v>0.28789320000000007</v>
      </c>
      <c r="E67" s="10">
        <f t="shared" si="2"/>
        <v>1.2852375000000004E-2</v>
      </c>
      <c r="F67" s="10">
        <f>E67/Calculation!K$14*1000</f>
        <v>1.2829037043426569E-2</v>
      </c>
      <c r="G67" s="10">
        <f t="shared" si="3"/>
        <v>80.990607584734477</v>
      </c>
    </row>
    <row r="68" spans="1:7">
      <c r="A68" s="30">
        <v>31.5</v>
      </c>
      <c r="B68" s="10">
        <v>3408.85</v>
      </c>
      <c r="C68" s="31">
        <f t="shared" si="0"/>
        <v>3.4088499999999997</v>
      </c>
      <c r="D68" s="10">
        <f t="shared" si="1"/>
        <v>0.23861949999999998</v>
      </c>
      <c r="E68" s="10">
        <f t="shared" si="2"/>
        <v>1.065265625E-2</v>
      </c>
      <c r="F68" s="10">
        <f>E68/Calculation!K$14*1000</f>
        <v>1.0633312647828866E-2</v>
      </c>
      <c r="G68" s="10">
        <f t="shared" si="3"/>
        <v>81.342542830103312</v>
      </c>
    </row>
    <row r="69" spans="1:7">
      <c r="A69" s="30">
        <v>32</v>
      </c>
      <c r="B69" s="10">
        <v>2805.95</v>
      </c>
      <c r="C69" s="31">
        <f t="shared" si="0"/>
        <v>2.8059499999999997</v>
      </c>
      <c r="D69" s="10">
        <f t="shared" si="1"/>
        <v>0.19641649999999999</v>
      </c>
      <c r="E69" s="10">
        <f t="shared" si="2"/>
        <v>8.7685937499999995E-3</v>
      </c>
      <c r="F69" s="10">
        <f>E69/Calculation!K$14*1000</f>
        <v>8.7526713185312934E-3</v>
      </c>
      <c r="G69" s="10">
        <f t="shared" si="3"/>
        <v>81.633332589598709</v>
      </c>
    </row>
    <row r="70" spans="1:7">
      <c r="A70" s="30">
        <v>32.5</v>
      </c>
      <c r="B70" s="10">
        <v>2349.2199999999998</v>
      </c>
      <c r="C70" s="31">
        <f t="shared" ref="C70:C101" si="4">B70/1000</f>
        <v>2.3492199999999999</v>
      </c>
      <c r="D70" s="10">
        <f t="shared" ref="D70:D101" si="5">C70/1000*$B$1</f>
        <v>0.16444539999999999</v>
      </c>
      <c r="E70" s="10">
        <f t="shared" ref="E70:E101" si="6">D70/22.4</f>
        <v>7.3413124999999997E-3</v>
      </c>
      <c r="F70" s="10">
        <f>E70/Calculation!K$14*1000</f>
        <v>7.3279817940163179E-3</v>
      </c>
      <c r="G70" s="10">
        <f t="shared" si="3"/>
        <v>81.874542386286919</v>
      </c>
    </row>
    <row r="71" spans="1:7">
      <c r="A71" s="30">
        <v>33</v>
      </c>
      <c r="B71" s="10">
        <v>1927.61</v>
      </c>
      <c r="C71" s="31">
        <f t="shared" si="4"/>
        <v>1.9276099999999998</v>
      </c>
      <c r="D71" s="10">
        <f t="shared" si="5"/>
        <v>0.13493269999999999</v>
      </c>
      <c r="E71" s="10">
        <f t="shared" si="6"/>
        <v>6.0237812499999996E-3</v>
      </c>
      <c r="F71" s="10">
        <f>E71/Calculation!K$14*1000</f>
        <v>6.0128429802078116E-3</v>
      </c>
      <c r="G71" s="10">
        <f t="shared" ref="G71:G101" si="7">G70+(F71+F70)/2*30</f>
        <v>82.074654757900277</v>
      </c>
    </row>
    <row r="72" spans="1:7">
      <c r="A72" s="30">
        <v>33.5</v>
      </c>
      <c r="B72" s="10">
        <v>1607.01</v>
      </c>
      <c r="C72" s="31">
        <f t="shared" si="4"/>
        <v>1.60701</v>
      </c>
      <c r="D72" s="10">
        <f t="shared" si="5"/>
        <v>0.1124907</v>
      </c>
      <c r="E72" s="10">
        <f t="shared" si="6"/>
        <v>5.0219062500000003E-3</v>
      </c>
      <c r="F72" s="10">
        <f>E72/Calculation!K$14*1000</f>
        <v>5.0127872326994338E-3</v>
      </c>
      <c r="G72" s="10">
        <f t="shared" si="7"/>
        <v>82.240039211093887</v>
      </c>
    </row>
    <row r="73" spans="1:7">
      <c r="A73" s="30">
        <v>34</v>
      </c>
      <c r="B73" s="10">
        <v>1316.01</v>
      </c>
      <c r="C73" s="31">
        <f t="shared" si="4"/>
        <v>1.3160099999999999</v>
      </c>
      <c r="D73" s="10">
        <f t="shared" si="5"/>
        <v>9.2120699999999986E-2</v>
      </c>
      <c r="E73" s="10">
        <f t="shared" si="6"/>
        <v>4.1125312499999999E-3</v>
      </c>
      <c r="F73" s="10">
        <f>E73/Calculation!K$14*1000</f>
        <v>4.1050635192716794E-3</v>
      </c>
      <c r="G73" s="10">
        <f t="shared" si="7"/>
        <v>82.376806972373458</v>
      </c>
    </row>
    <row r="74" spans="1:7">
      <c r="A74" s="30">
        <v>34.5</v>
      </c>
      <c r="B74" s="10">
        <v>1087.9000000000001</v>
      </c>
      <c r="C74" s="31">
        <f t="shared" si="4"/>
        <v>1.0879000000000001</v>
      </c>
      <c r="D74" s="10">
        <f t="shared" si="5"/>
        <v>7.6153000000000012E-2</v>
      </c>
      <c r="E74" s="10">
        <f t="shared" si="6"/>
        <v>3.3996875000000008E-3</v>
      </c>
      <c r="F74" s="10">
        <f>E74/Calculation!K$14*1000</f>
        <v>3.393514185010495E-3</v>
      </c>
      <c r="G74" s="10">
        <f t="shared" si="7"/>
        <v>82.489285637937698</v>
      </c>
    </row>
    <row r="75" spans="1:7">
      <c r="A75" s="30">
        <v>35</v>
      </c>
      <c r="B75" s="10">
        <v>927.01</v>
      </c>
      <c r="C75" s="31">
        <f t="shared" si="4"/>
        <v>0.92701</v>
      </c>
      <c r="D75" s="10">
        <f t="shared" si="5"/>
        <v>6.4890699999999996E-2</v>
      </c>
      <c r="E75" s="10">
        <f t="shared" si="6"/>
        <v>2.8969062500000002E-3</v>
      </c>
      <c r="F75" s="10">
        <f>E75/Calculation!K$14*1000</f>
        <v>2.891645909225644E-3</v>
      </c>
      <c r="G75" s="10">
        <f t="shared" si="7"/>
        <v>82.583563039351233</v>
      </c>
    </row>
    <row r="76" spans="1:7">
      <c r="A76" s="30">
        <v>35.5</v>
      </c>
      <c r="B76" s="10">
        <v>765.96</v>
      </c>
      <c r="C76" s="31">
        <f t="shared" si="4"/>
        <v>0.76596000000000009</v>
      </c>
      <c r="D76" s="10">
        <f t="shared" si="5"/>
        <v>5.3617200000000004E-2</v>
      </c>
      <c r="E76" s="10">
        <f t="shared" si="6"/>
        <v>2.3936250000000004E-3</v>
      </c>
      <c r="F76" s="10">
        <f>E76/Calculation!K$14*1000</f>
        <v>2.389278541364683E-3</v>
      </c>
      <c r="G76" s="10">
        <f t="shared" si="7"/>
        <v>82.662776906110082</v>
      </c>
    </row>
    <row r="77" spans="1:7">
      <c r="A77" s="30">
        <v>36</v>
      </c>
      <c r="B77" s="10">
        <v>625.80999999999995</v>
      </c>
      <c r="C77" s="31">
        <f t="shared" si="4"/>
        <v>0.62580999999999998</v>
      </c>
      <c r="D77" s="10">
        <f t="shared" si="5"/>
        <v>4.3806699999999997E-2</v>
      </c>
      <c r="E77" s="10">
        <f t="shared" si="6"/>
        <v>1.9556562499999999E-3</v>
      </c>
      <c r="F77" s="10">
        <f>E77/Calculation!K$14*1000</f>
        <v>1.9521050759457829E-3</v>
      </c>
      <c r="G77" s="10">
        <f t="shared" si="7"/>
        <v>82.727897660369734</v>
      </c>
    </row>
    <row r="78" spans="1:7">
      <c r="A78" s="30">
        <v>36.5</v>
      </c>
      <c r="B78" s="10">
        <v>519.11</v>
      </c>
      <c r="C78" s="31">
        <f t="shared" si="4"/>
        <v>0.51910999999999996</v>
      </c>
      <c r="D78" s="10">
        <f t="shared" si="5"/>
        <v>3.6337699999999994E-2</v>
      </c>
      <c r="E78" s="10">
        <f t="shared" si="6"/>
        <v>1.6222187499999997E-3</v>
      </c>
      <c r="F78" s="10">
        <f>E78/Calculation!K$14*1000</f>
        <v>1.6192730476889397E-3</v>
      </c>
      <c r="G78" s="10">
        <f t="shared" si="7"/>
        <v>82.78146833222425</v>
      </c>
    </row>
    <row r="79" spans="1:7">
      <c r="A79" s="30">
        <v>37</v>
      </c>
      <c r="B79" s="10">
        <v>437.5</v>
      </c>
      <c r="C79" s="31">
        <f t="shared" si="4"/>
        <v>0.4375</v>
      </c>
      <c r="D79" s="10">
        <f t="shared" si="5"/>
        <v>3.0624999999999999E-2</v>
      </c>
      <c r="E79" s="10">
        <f t="shared" si="6"/>
        <v>1.3671875000000001E-3</v>
      </c>
      <c r="F79" s="10">
        <f>E79/Calculation!K$14*1000</f>
        <v>1.3647048956173281E-3</v>
      </c>
      <c r="G79" s="10">
        <f t="shared" si="7"/>
        <v>82.826228001373849</v>
      </c>
    </row>
    <row r="80" spans="1:7">
      <c r="A80" s="30">
        <v>37.5</v>
      </c>
      <c r="B80" s="10">
        <v>371.27</v>
      </c>
      <c r="C80" s="31">
        <f t="shared" si="4"/>
        <v>0.37126999999999999</v>
      </c>
      <c r="D80" s="10">
        <f t="shared" si="5"/>
        <v>2.5988899999999999E-2</v>
      </c>
      <c r="E80" s="10">
        <f t="shared" si="6"/>
        <v>1.16021875E-3</v>
      </c>
      <c r="F80" s="10">
        <f>E80/Calculation!K$14*1000</f>
        <v>1.1581119693619324E-3</v>
      </c>
      <c r="G80" s="10">
        <f t="shared" si="7"/>
        <v>82.864070254348533</v>
      </c>
    </row>
    <row r="81" spans="1:7">
      <c r="A81" s="30">
        <v>38</v>
      </c>
      <c r="B81" s="10">
        <v>310.39999999999998</v>
      </c>
      <c r="C81" s="31">
        <f t="shared" si="4"/>
        <v>0.31039999999999995</v>
      </c>
      <c r="D81" s="10">
        <f t="shared" si="5"/>
        <v>2.1727999999999997E-2</v>
      </c>
      <c r="E81" s="10">
        <f t="shared" si="6"/>
        <v>9.6999999999999994E-4</v>
      </c>
      <c r="F81" s="10">
        <f>E81/Calculation!K$14*1000</f>
        <v>9.682386276562711E-4</v>
      </c>
      <c r="G81" s="10">
        <f t="shared" si="7"/>
        <v>82.895965513303807</v>
      </c>
    </row>
    <row r="82" spans="1:7">
      <c r="A82" s="30">
        <v>38.5</v>
      </c>
      <c r="B82" s="10">
        <v>268.58999999999997</v>
      </c>
      <c r="C82" s="31">
        <f t="shared" si="4"/>
        <v>0.26859</v>
      </c>
      <c r="D82" s="10">
        <f t="shared" si="5"/>
        <v>1.88013E-2</v>
      </c>
      <c r="E82" s="10">
        <f t="shared" si="6"/>
        <v>8.3934375000000003E-4</v>
      </c>
      <c r="F82" s="10">
        <f>E82/Calculation!K$14*1000</f>
        <v>8.378196295173901E-4</v>
      </c>
      <c r="G82" s="10">
        <f t="shared" si="7"/>
        <v>82.923056387161409</v>
      </c>
    </row>
    <row r="83" spans="1:7">
      <c r="A83" s="30">
        <v>39</v>
      </c>
      <c r="B83" s="10">
        <v>233.97</v>
      </c>
      <c r="C83" s="31">
        <f t="shared" si="4"/>
        <v>0.23397000000000001</v>
      </c>
      <c r="D83" s="10">
        <f t="shared" si="5"/>
        <v>1.6377900000000001E-2</v>
      </c>
      <c r="E83" s="10">
        <f t="shared" si="6"/>
        <v>7.3115625000000004E-4</v>
      </c>
      <c r="F83" s="10">
        <f>E83/Calculation!K$14*1000</f>
        <v>7.2982858154876863E-4</v>
      </c>
      <c r="G83" s="10">
        <f t="shared" si="7"/>
        <v>82.946571110327397</v>
      </c>
    </row>
    <row r="84" spans="1:7">
      <c r="A84" s="30">
        <v>39.5</v>
      </c>
      <c r="B84" s="10">
        <v>203.36</v>
      </c>
      <c r="C84" s="31">
        <f t="shared" si="4"/>
        <v>0.20336000000000001</v>
      </c>
      <c r="D84" s="10">
        <f t="shared" si="5"/>
        <v>1.42352E-2</v>
      </c>
      <c r="E84" s="10">
        <f t="shared" si="6"/>
        <v>6.355E-4</v>
      </c>
      <c r="F84" s="10">
        <f>E84/Calculation!K$14*1000</f>
        <v>6.3434602873769109E-4</v>
      </c>
      <c r="G84" s="10">
        <f t="shared" si="7"/>
        <v>82.967033729481699</v>
      </c>
    </row>
    <row r="85" spans="1:7">
      <c r="A85" s="30">
        <v>40</v>
      </c>
      <c r="B85" s="10">
        <v>172.26</v>
      </c>
      <c r="C85" s="31">
        <f t="shared" si="4"/>
        <v>0.17226</v>
      </c>
      <c r="D85" s="10">
        <f t="shared" si="5"/>
        <v>1.20582E-2</v>
      </c>
      <c r="E85" s="10">
        <f t="shared" si="6"/>
        <v>5.3831250000000005E-4</v>
      </c>
      <c r="F85" s="10">
        <f>E85/Calculation!K$14*1000</f>
        <v>5.3733500644352215E-4</v>
      </c>
      <c r="G85" s="10">
        <f t="shared" si="7"/>
        <v>82.984608945009413</v>
      </c>
    </row>
    <row r="86" spans="1:7">
      <c r="A86" s="30">
        <v>40.5</v>
      </c>
      <c r="B86" s="10">
        <v>156.37</v>
      </c>
      <c r="C86" s="31">
        <f t="shared" si="4"/>
        <v>0.15637000000000001</v>
      </c>
      <c r="D86" s="10">
        <f t="shared" si="5"/>
        <v>1.0945900000000001E-2</v>
      </c>
      <c r="E86" s="10">
        <f t="shared" si="6"/>
        <v>4.8865625000000005E-4</v>
      </c>
      <c r="F86" s="10">
        <f>E86/Calculation!K$14*1000</f>
        <v>4.8776892463470081E-4</v>
      </c>
      <c r="G86" s="10">
        <f t="shared" si="7"/>
        <v>82.99998550397558</v>
      </c>
    </row>
    <row r="87" spans="1:7">
      <c r="A87" s="30">
        <v>41</v>
      </c>
      <c r="B87" s="10">
        <v>0</v>
      </c>
      <c r="C87" s="31">
        <f t="shared" si="4"/>
        <v>0</v>
      </c>
      <c r="D87" s="10">
        <f t="shared" si="5"/>
        <v>0</v>
      </c>
      <c r="E87" s="10">
        <f t="shared" si="6"/>
        <v>0</v>
      </c>
      <c r="F87" s="10">
        <f>E87/Calculation!K$14*1000</f>
        <v>0</v>
      </c>
      <c r="G87" s="10">
        <f t="shared" si="7"/>
        <v>83.007302037845108</v>
      </c>
    </row>
    <row r="88" spans="1:7">
      <c r="A88" s="30">
        <v>41.5</v>
      </c>
      <c r="B88" s="10">
        <v>0</v>
      </c>
      <c r="C88" s="31">
        <f t="shared" si="4"/>
        <v>0</v>
      </c>
      <c r="D88" s="10">
        <f t="shared" si="5"/>
        <v>0</v>
      </c>
      <c r="E88" s="10">
        <f t="shared" si="6"/>
        <v>0</v>
      </c>
      <c r="F88" s="10">
        <f>E88/Calculation!K$14*1000</f>
        <v>0</v>
      </c>
      <c r="G88" s="10">
        <f t="shared" si="7"/>
        <v>83.007302037845108</v>
      </c>
    </row>
    <row r="89" spans="1:7">
      <c r="A89" s="30">
        <v>42</v>
      </c>
      <c r="B89" s="10">
        <v>0</v>
      </c>
      <c r="C89" s="31">
        <f t="shared" si="4"/>
        <v>0</v>
      </c>
      <c r="D89" s="10">
        <f t="shared" si="5"/>
        <v>0</v>
      </c>
      <c r="E89" s="10">
        <f t="shared" si="6"/>
        <v>0</v>
      </c>
      <c r="F89" s="10">
        <f>E89/Calculation!K$14*1000</f>
        <v>0</v>
      </c>
      <c r="G89" s="10">
        <f t="shared" si="7"/>
        <v>83.007302037845108</v>
      </c>
    </row>
    <row r="90" spans="1:7">
      <c r="A90" s="30">
        <v>42.5</v>
      </c>
      <c r="B90" s="10">
        <v>0</v>
      </c>
      <c r="C90" s="31">
        <f t="shared" si="4"/>
        <v>0</v>
      </c>
      <c r="D90" s="10">
        <f t="shared" si="5"/>
        <v>0</v>
      </c>
      <c r="E90" s="10">
        <f t="shared" si="6"/>
        <v>0</v>
      </c>
      <c r="F90" s="10">
        <f>E90/Calculation!K$14*1000</f>
        <v>0</v>
      </c>
      <c r="G90" s="10">
        <f t="shared" si="7"/>
        <v>83.007302037845108</v>
      </c>
    </row>
    <row r="91" spans="1:7">
      <c r="A91" s="30">
        <v>43</v>
      </c>
      <c r="B91" s="10">
        <v>0</v>
      </c>
      <c r="C91" s="31">
        <f t="shared" si="4"/>
        <v>0</v>
      </c>
      <c r="D91" s="10">
        <f t="shared" si="5"/>
        <v>0</v>
      </c>
      <c r="E91" s="10">
        <f t="shared" si="6"/>
        <v>0</v>
      </c>
      <c r="F91" s="10">
        <f>E91/Calculation!K$14*1000</f>
        <v>0</v>
      </c>
      <c r="G91" s="10">
        <f t="shared" si="7"/>
        <v>83.007302037845108</v>
      </c>
    </row>
    <row r="92" spans="1:7">
      <c r="A92" s="30">
        <v>43.5</v>
      </c>
      <c r="B92" s="10">
        <v>0</v>
      </c>
      <c r="C92" s="31">
        <f t="shared" si="4"/>
        <v>0</v>
      </c>
      <c r="D92" s="10">
        <f t="shared" si="5"/>
        <v>0</v>
      </c>
      <c r="E92" s="10">
        <f t="shared" si="6"/>
        <v>0</v>
      </c>
      <c r="F92" s="10">
        <f>E92/Calculation!K$14*1000</f>
        <v>0</v>
      </c>
      <c r="G92" s="10">
        <f t="shared" si="7"/>
        <v>83.007302037845108</v>
      </c>
    </row>
    <row r="93" spans="1:7">
      <c r="A93" s="30">
        <v>44</v>
      </c>
      <c r="B93" s="10">
        <v>0</v>
      </c>
      <c r="C93" s="31">
        <f t="shared" si="4"/>
        <v>0</v>
      </c>
      <c r="D93" s="10">
        <f t="shared" si="5"/>
        <v>0</v>
      </c>
      <c r="E93" s="10">
        <f t="shared" si="6"/>
        <v>0</v>
      </c>
      <c r="F93" s="10">
        <f>E93/Calculation!K$14*1000</f>
        <v>0</v>
      </c>
      <c r="G93" s="10">
        <f t="shared" si="7"/>
        <v>83.007302037845108</v>
      </c>
    </row>
    <row r="94" spans="1:7">
      <c r="A94" s="30">
        <v>44.5</v>
      </c>
      <c r="B94" s="10">
        <v>0</v>
      </c>
      <c r="C94" s="31">
        <f t="shared" si="4"/>
        <v>0</v>
      </c>
      <c r="D94" s="10">
        <f t="shared" si="5"/>
        <v>0</v>
      </c>
      <c r="E94" s="10">
        <f t="shared" si="6"/>
        <v>0</v>
      </c>
      <c r="F94" s="10">
        <f>E94/Calculation!K$14*1000</f>
        <v>0</v>
      </c>
      <c r="G94" s="10">
        <f t="shared" si="7"/>
        <v>83.007302037845108</v>
      </c>
    </row>
    <row r="95" spans="1:7">
      <c r="A95" s="30">
        <v>45</v>
      </c>
      <c r="B95" s="10">
        <v>0</v>
      </c>
      <c r="C95" s="31">
        <f t="shared" si="4"/>
        <v>0</v>
      </c>
      <c r="D95" s="10">
        <f t="shared" si="5"/>
        <v>0</v>
      </c>
      <c r="E95" s="10">
        <f t="shared" si="6"/>
        <v>0</v>
      </c>
      <c r="F95" s="10">
        <f>E95/Calculation!K$14*1000</f>
        <v>0</v>
      </c>
      <c r="G95" s="10">
        <f t="shared" si="7"/>
        <v>83.007302037845108</v>
      </c>
    </row>
    <row r="96" spans="1:7">
      <c r="A96" s="30">
        <v>45.5</v>
      </c>
      <c r="B96" s="10">
        <v>0</v>
      </c>
      <c r="C96" s="31">
        <f t="shared" si="4"/>
        <v>0</v>
      </c>
      <c r="D96" s="10">
        <f t="shared" si="5"/>
        <v>0</v>
      </c>
      <c r="E96" s="10">
        <f t="shared" si="6"/>
        <v>0</v>
      </c>
      <c r="F96" s="10">
        <f>E96/Calculation!K$14*1000</f>
        <v>0</v>
      </c>
      <c r="G96" s="10">
        <f t="shared" si="7"/>
        <v>83.007302037845108</v>
      </c>
    </row>
    <row r="97" spans="1:7">
      <c r="A97" s="30">
        <v>46</v>
      </c>
      <c r="B97" s="10">
        <v>0</v>
      </c>
      <c r="C97" s="31">
        <f t="shared" si="4"/>
        <v>0</v>
      </c>
      <c r="D97" s="10">
        <f t="shared" si="5"/>
        <v>0</v>
      </c>
      <c r="E97" s="10">
        <f t="shared" si="6"/>
        <v>0</v>
      </c>
      <c r="F97" s="10">
        <f>E97/Calculation!K$14*1000</f>
        <v>0</v>
      </c>
      <c r="G97" s="10">
        <f t="shared" si="7"/>
        <v>83.007302037845108</v>
      </c>
    </row>
    <row r="98" spans="1:7">
      <c r="A98" s="30">
        <v>46.5</v>
      </c>
      <c r="B98" s="10">
        <v>0</v>
      </c>
      <c r="C98" s="31">
        <f t="shared" si="4"/>
        <v>0</v>
      </c>
      <c r="D98" s="10">
        <f t="shared" si="5"/>
        <v>0</v>
      </c>
      <c r="E98" s="10">
        <f t="shared" si="6"/>
        <v>0</v>
      </c>
      <c r="F98" s="10">
        <f>E98/Calculation!K$14*1000</f>
        <v>0</v>
      </c>
      <c r="G98" s="10">
        <f t="shared" si="7"/>
        <v>83.007302037845108</v>
      </c>
    </row>
    <row r="99" spans="1:7">
      <c r="A99" s="30">
        <v>47</v>
      </c>
      <c r="B99" s="10">
        <v>0</v>
      </c>
      <c r="C99" s="31">
        <f t="shared" si="4"/>
        <v>0</v>
      </c>
      <c r="D99" s="10">
        <f t="shared" si="5"/>
        <v>0</v>
      </c>
      <c r="E99" s="10">
        <f t="shared" si="6"/>
        <v>0</v>
      </c>
      <c r="F99" s="10">
        <f>E99/Calculation!K$14*1000</f>
        <v>0</v>
      </c>
      <c r="G99" s="10">
        <f t="shared" si="7"/>
        <v>83.007302037845108</v>
      </c>
    </row>
    <row r="100" spans="1:7">
      <c r="A100" s="30">
        <v>47.5</v>
      </c>
      <c r="B100" s="10">
        <v>0</v>
      </c>
      <c r="C100" s="31">
        <f t="shared" si="4"/>
        <v>0</v>
      </c>
      <c r="D100" s="10">
        <f t="shared" si="5"/>
        <v>0</v>
      </c>
      <c r="E100" s="10">
        <f t="shared" si="6"/>
        <v>0</v>
      </c>
      <c r="F100" s="10">
        <f>E100/Calculation!K$14*1000</f>
        <v>0</v>
      </c>
      <c r="G100" s="10">
        <f t="shared" si="7"/>
        <v>83.007302037845108</v>
      </c>
    </row>
    <row r="101" spans="1:7">
      <c r="A101" s="30">
        <v>48</v>
      </c>
      <c r="B101" s="10">
        <v>0</v>
      </c>
      <c r="C101" s="31">
        <f t="shared" si="4"/>
        <v>0</v>
      </c>
      <c r="D101" s="10">
        <f t="shared" si="5"/>
        <v>0</v>
      </c>
      <c r="E101" s="10">
        <f t="shared" si="6"/>
        <v>0</v>
      </c>
      <c r="F101" s="10">
        <f>E101/Calculation!K$15*1000</f>
        <v>0</v>
      </c>
      <c r="G101" s="10">
        <f t="shared" si="7"/>
        <v>83.007302037845108</v>
      </c>
    </row>
    <row r="102" spans="1:7">
      <c r="B102" s="8"/>
    </row>
    <row r="103" spans="1:7">
      <c r="B103" s="8"/>
    </row>
    <row r="104" spans="1:7">
      <c r="B104" s="8"/>
    </row>
    <row r="105" spans="1:7">
      <c r="B105" s="8"/>
    </row>
    <row r="106" spans="1:7">
      <c r="B106" s="8"/>
    </row>
    <row r="107" spans="1:7">
      <c r="B107" s="8"/>
    </row>
    <row r="108" spans="1:7">
      <c r="B108" s="8"/>
    </row>
    <row r="109" spans="1:7">
      <c r="B109" s="8"/>
    </row>
    <row r="110" spans="1:7">
      <c r="B110" s="8"/>
    </row>
    <row r="111" spans="1:7">
      <c r="B111" s="8"/>
    </row>
    <row r="112" spans="1:7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P4" sqref="P4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88" t="s">
        <v>40</v>
      </c>
      <c r="B1" s="88"/>
      <c r="D1" s="99" t="s">
        <v>4</v>
      </c>
      <c r="E1" s="99" t="s">
        <v>5</v>
      </c>
      <c r="F1" s="88" t="s">
        <v>129</v>
      </c>
      <c r="G1" s="88"/>
      <c r="H1" s="88"/>
      <c r="I1" s="88"/>
      <c r="J1" s="88" t="s">
        <v>41</v>
      </c>
      <c r="K1" s="88"/>
      <c r="L1" s="88"/>
      <c r="M1" s="88"/>
      <c r="N1" s="79" t="s">
        <v>42</v>
      </c>
      <c r="O1" s="80"/>
      <c r="P1" s="80"/>
      <c r="Q1" s="81"/>
      <c r="R1" s="88" t="s">
        <v>64</v>
      </c>
      <c r="S1" s="88"/>
      <c r="T1" s="88"/>
      <c r="U1" s="88"/>
    </row>
    <row r="2" spans="1:21">
      <c r="A2" s="88" t="s">
        <v>34</v>
      </c>
      <c r="B2" s="88"/>
      <c r="D2" s="99"/>
      <c r="E2" s="99"/>
      <c r="F2" s="12" t="s">
        <v>47</v>
      </c>
      <c r="G2" s="12" t="s">
        <v>23</v>
      </c>
      <c r="H2" s="12" t="s">
        <v>47</v>
      </c>
      <c r="I2" s="12" t="s">
        <v>23</v>
      </c>
      <c r="J2" s="12" t="s">
        <v>47</v>
      </c>
      <c r="K2" s="12" t="s">
        <v>23</v>
      </c>
      <c r="L2" s="12" t="s">
        <v>47</v>
      </c>
      <c r="M2" s="12" t="s">
        <v>23</v>
      </c>
      <c r="N2" s="12" t="s">
        <v>47</v>
      </c>
      <c r="O2" s="12" t="s">
        <v>23</v>
      </c>
      <c r="P2" s="12" t="s">
        <v>47</v>
      </c>
      <c r="Q2" s="12" t="s">
        <v>23</v>
      </c>
      <c r="R2" s="12" t="s">
        <v>47</v>
      </c>
      <c r="S2" s="12" t="s">
        <v>23</v>
      </c>
      <c r="T2" s="12" t="s">
        <v>47</v>
      </c>
      <c r="U2" s="12" t="s">
        <v>23</v>
      </c>
    </row>
    <row r="3" spans="1:21">
      <c r="A3" s="88" t="s">
        <v>35</v>
      </c>
      <c r="B3" s="12" t="s">
        <v>37</v>
      </c>
      <c r="D3" s="47" t="s">
        <v>6</v>
      </c>
      <c r="E3" s="59">
        <v>0</v>
      </c>
      <c r="F3" s="11">
        <v>0</v>
      </c>
      <c r="G3" s="11">
        <v>0</v>
      </c>
      <c r="H3" s="11">
        <f>F3*Calculation!I3/Calculation!F18</f>
        <v>0</v>
      </c>
      <c r="I3" s="11">
        <f>G3*Calculation!I3/Calculation!F18</f>
        <v>0</v>
      </c>
      <c r="J3" s="11">
        <v>0</v>
      </c>
      <c r="K3" s="11">
        <v>0</v>
      </c>
      <c r="L3" s="11">
        <f>J3*Calculation!I3/Calculation!F18</f>
        <v>0</v>
      </c>
      <c r="M3" s="11">
        <f>K3*Calculation!I3/Calculation!F18</f>
        <v>0</v>
      </c>
      <c r="N3" s="11">
        <v>51.212878157091311</v>
      </c>
      <c r="O3" s="11">
        <v>0.20075649536525297</v>
      </c>
      <c r="P3" s="11">
        <f>N3*Calculation!I3/Calculation!F18</f>
        <v>51.212878157091311</v>
      </c>
      <c r="Q3" s="11">
        <f>O3*Calculation!I3/Calculation!F18</f>
        <v>0.20075649536525297</v>
      </c>
      <c r="R3" s="11">
        <v>140.40118763125497</v>
      </c>
      <c r="S3" s="11">
        <v>0.17560077707266775</v>
      </c>
      <c r="T3" s="11">
        <f>R3*Calculation!I3/Calculation!F18</f>
        <v>140.40118763125497</v>
      </c>
      <c r="U3" s="11">
        <f>S3*Calculation!I3/Calculation!F18</f>
        <v>0.17560077707266775</v>
      </c>
    </row>
    <row r="4" spans="1:21">
      <c r="A4" s="88"/>
      <c r="B4" s="12" t="s">
        <v>38</v>
      </c>
      <c r="D4" s="49">
        <v>0</v>
      </c>
      <c r="E4" s="69">
        <v>0</v>
      </c>
      <c r="F4" s="11">
        <v>0</v>
      </c>
      <c r="G4" s="11">
        <v>0</v>
      </c>
      <c r="H4" s="11">
        <f>F4*Calculation!I4/Calculation!K3</f>
        <v>0</v>
      </c>
      <c r="I4" s="11">
        <f>G4*Calculation!I4/Calculation!K3</f>
        <v>0</v>
      </c>
      <c r="J4" s="11">
        <v>0</v>
      </c>
      <c r="K4" s="11">
        <v>0</v>
      </c>
      <c r="L4" s="11">
        <f>J4*Calculation!I4/Calculation!K3</f>
        <v>0</v>
      </c>
      <c r="M4" s="11">
        <f>K4*Calculation!I4/Calculation!K3</f>
        <v>0</v>
      </c>
      <c r="N4" s="11">
        <v>51.446017207882328</v>
      </c>
      <c r="O4" s="11">
        <v>0.13866218147984247</v>
      </c>
      <c r="P4" s="11">
        <f>N4*Calculation!I4/Calculation!K3</f>
        <v>51.446017207882321</v>
      </c>
      <c r="Q4" s="11">
        <f>O4*Calculation!I4/Calculation!K3</f>
        <v>0.13866218147984247</v>
      </c>
      <c r="R4" s="11">
        <v>140.31428778332972</v>
      </c>
      <c r="S4" s="11">
        <v>0.39425469154367337</v>
      </c>
      <c r="T4" s="11">
        <f>R4*Calculation!I4/Calculation!K3</f>
        <v>140.31428778332972</v>
      </c>
      <c r="U4" s="11">
        <f>S4*Calculation!I4/Calculation!K3</f>
        <v>0.39425469154367343</v>
      </c>
    </row>
    <row r="5" spans="1:21">
      <c r="A5" s="13" t="s">
        <v>39</v>
      </c>
      <c r="B5" s="13">
        <v>180.16</v>
      </c>
      <c r="D5" s="49">
        <v>1</v>
      </c>
      <c r="E5" s="69">
        <v>3</v>
      </c>
      <c r="F5" s="11">
        <v>0</v>
      </c>
      <c r="G5" s="11">
        <v>0</v>
      </c>
      <c r="H5" s="11">
        <f>F5*Calculation!I5/Calculation!K4</f>
        <v>0</v>
      </c>
      <c r="I5" s="11">
        <f>G5*Calculation!I5/Calculation!K4</f>
        <v>0</v>
      </c>
      <c r="J5" s="11">
        <v>0</v>
      </c>
      <c r="K5" s="11">
        <v>0</v>
      </c>
      <c r="L5" s="11">
        <f>J5*Calculation!I5/Calculation!K4</f>
        <v>0</v>
      </c>
      <c r="M5" s="11">
        <f>K5*Calculation!I5/Calculation!K4</f>
        <v>0</v>
      </c>
      <c r="N5" s="11">
        <v>51.656952539550382</v>
      </c>
      <c r="O5" s="11">
        <v>0.17306086337074347</v>
      </c>
      <c r="P5" s="11">
        <f>N5*Calculation!I5/Calculation!K4</f>
        <v>51.656952539550382</v>
      </c>
      <c r="Q5" s="11">
        <f>O5*Calculation!I5/Calculation!K4</f>
        <v>0.17306086337074347</v>
      </c>
      <c r="R5" s="11">
        <v>139.4308059960895</v>
      </c>
      <c r="S5" s="11">
        <v>0.55473149401711486</v>
      </c>
      <c r="T5" s="11">
        <f>R5*Calculation!I5/Calculation!K4</f>
        <v>139.4308059960895</v>
      </c>
      <c r="U5" s="11">
        <f>S5*Calculation!I5/Calculation!K4</f>
        <v>0.55473149401711486</v>
      </c>
    </row>
    <row r="6" spans="1:21">
      <c r="A6" s="13" t="s">
        <v>39</v>
      </c>
      <c r="B6" s="13">
        <v>180.16</v>
      </c>
      <c r="D6" s="49">
        <v>2</v>
      </c>
      <c r="E6" s="69">
        <v>6</v>
      </c>
      <c r="F6" s="11">
        <v>0</v>
      </c>
      <c r="G6" s="11">
        <v>0</v>
      </c>
      <c r="H6" s="11">
        <f>F6*Calculation!I6/Calculation!K5</f>
        <v>0</v>
      </c>
      <c r="I6" s="11">
        <f>G6*Calculation!I6/Calculation!K5</f>
        <v>0</v>
      </c>
      <c r="J6" s="11">
        <v>0</v>
      </c>
      <c r="K6" s="11">
        <v>0</v>
      </c>
      <c r="L6" s="11">
        <f>J6*Calculation!I6/Calculation!K5</f>
        <v>0</v>
      </c>
      <c r="M6" s="11">
        <f>K6*Calculation!I6/Calculation!K5</f>
        <v>0</v>
      </c>
      <c r="N6" s="11">
        <v>52.545101304468496</v>
      </c>
      <c r="O6" s="11">
        <v>0.17091095551863028</v>
      </c>
      <c r="P6" s="11">
        <f>N6*Calculation!I6/Calculation!K5</f>
        <v>52.545101304468496</v>
      </c>
      <c r="Q6" s="11">
        <f>O6*Calculation!I6/Calculation!K5</f>
        <v>0.17091095551863028</v>
      </c>
      <c r="R6" s="11">
        <v>137.37417626185822</v>
      </c>
      <c r="S6" s="11">
        <v>0.38943673429643871</v>
      </c>
      <c r="T6" s="11">
        <f>R6*Calculation!I6/Calculation!K5</f>
        <v>137.37417626185822</v>
      </c>
      <c r="U6" s="11">
        <f>S6*Calculation!I6/Calculation!K5</f>
        <v>0.38943673429643871</v>
      </c>
    </row>
    <row r="7" spans="1:21">
      <c r="A7" s="28" t="s">
        <v>102</v>
      </c>
      <c r="B7" s="28">
        <v>46.03</v>
      </c>
      <c r="D7" s="49">
        <v>3</v>
      </c>
      <c r="E7" s="69">
        <v>9</v>
      </c>
      <c r="F7" s="11">
        <v>0</v>
      </c>
      <c r="G7" s="11">
        <v>0</v>
      </c>
      <c r="H7" s="11">
        <f>F7*Calculation!I7/Calculation!K6</f>
        <v>0</v>
      </c>
      <c r="I7" s="11">
        <f>G7*Calculation!I7/Calculation!K6</f>
        <v>0</v>
      </c>
      <c r="J7" s="11">
        <v>0</v>
      </c>
      <c r="K7" s="11">
        <v>0</v>
      </c>
      <c r="L7" s="11">
        <f>J7*Calculation!I7/Calculation!K6</f>
        <v>0</v>
      </c>
      <c r="M7" s="11">
        <f>K7*Calculation!I7/Calculation!K6</f>
        <v>0</v>
      </c>
      <c r="N7" s="11">
        <v>56.452955870108248</v>
      </c>
      <c r="O7" s="11">
        <v>0.38409867092991934</v>
      </c>
      <c r="P7" s="11">
        <f>N7*Calculation!I7/Calculation!K6</f>
        <v>56.493540309986109</v>
      </c>
      <c r="Q7" s="11">
        <f>O7*Calculation!I7/Calculation!K6</f>
        <v>0.38437480225337722</v>
      </c>
      <c r="R7" s="11">
        <v>134.08646534868564</v>
      </c>
      <c r="S7" s="11">
        <v>1.034619239608138</v>
      </c>
      <c r="T7" s="11">
        <f>R7*Calculation!I7/Calculation!K6</f>
        <v>134.18286108222171</v>
      </c>
      <c r="U7" s="11">
        <f>S7*Calculation!I7/Calculation!K6</f>
        <v>1.0353630348918246</v>
      </c>
    </row>
    <row r="8" spans="1:21">
      <c r="A8" s="13" t="s">
        <v>42</v>
      </c>
      <c r="B8" s="13">
        <v>60.05</v>
      </c>
      <c r="D8" s="49">
        <v>4</v>
      </c>
      <c r="E8" s="69">
        <v>12</v>
      </c>
      <c r="F8" s="11">
        <v>0</v>
      </c>
      <c r="G8" s="11">
        <v>0</v>
      </c>
      <c r="H8" s="11">
        <f>F8*Calculation!I8/Calculation!K7</f>
        <v>0</v>
      </c>
      <c r="I8" s="11">
        <f>G8*Calculation!I8/Calculation!K7</f>
        <v>0</v>
      </c>
      <c r="J8" s="11">
        <v>0</v>
      </c>
      <c r="K8" s="11">
        <v>0</v>
      </c>
      <c r="L8" s="11">
        <f>J8*Calculation!I8/Calculation!K7</f>
        <v>0</v>
      </c>
      <c r="M8" s="11">
        <f>K8*Calculation!I8/Calculation!K7</f>
        <v>0</v>
      </c>
      <c r="N8" s="11">
        <v>59.095198445739669</v>
      </c>
      <c r="O8" s="11">
        <v>0.73448681241290348</v>
      </c>
      <c r="P8" s="11">
        <f>N8*Calculation!I8/Calculation!K7</f>
        <v>59.137682412990387</v>
      </c>
      <c r="Q8" s="11">
        <f>O8*Calculation!I8/Calculation!K7</f>
        <v>0.73501484031542896</v>
      </c>
      <c r="R8" s="11">
        <v>124.81714823665722</v>
      </c>
      <c r="S8" s="11">
        <v>1.4228329822010772</v>
      </c>
      <c r="T8" s="11">
        <f>R8*Calculation!I8/Calculation!K7</f>
        <v>124.9068801908173</v>
      </c>
      <c r="U8" s="11">
        <f>S8*Calculation!I8/Calculation!K7</f>
        <v>1.4238558671631196</v>
      </c>
    </row>
    <row r="9" spans="1:21">
      <c r="A9" s="28" t="s">
        <v>66</v>
      </c>
      <c r="B9" s="28">
        <v>74.08</v>
      </c>
      <c r="D9" s="49">
        <v>5</v>
      </c>
      <c r="E9" s="69">
        <v>15</v>
      </c>
      <c r="F9" s="11">
        <v>0</v>
      </c>
      <c r="G9" s="11">
        <v>0</v>
      </c>
      <c r="H9" s="11">
        <f>F9*Calculation!I9/Calculation!K8</f>
        <v>0</v>
      </c>
      <c r="I9" s="11">
        <f>G9*Calculation!I9/Calculation!K8</f>
        <v>0</v>
      </c>
      <c r="J9" s="11">
        <v>0</v>
      </c>
      <c r="K9" s="11">
        <v>0</v>
      </c>
      <c r="L9" s="11">
        <f>J9*Calculation!I9/Calculation!K8</f>
        <v>0</v>
      </c>
      <c r="M9" s="11">
        <f>K9*Calculation!I9/Calculation!K8</f>
        <v>0</v>
      </c>
      <c r="N9" s="11">
        <v>62.747710241465441</v>
      </c>
      <c r="O9" s="11">
        <v>0.25145160483832857</v>
      </c>
      <c r="P9" s="11">
        <f>N9*Calculation!I9/Calculation!K8</f>
        <v>63.082633041471311</v>
      </c>
      <c r="Q9" s="11">
        <f>O9*Calculation!I9/Calculation!K8</f>
        <v>0.25279375541616383</v>
      </c>
      <c r="R9" s="11">
        <v>107.82822796726774</v>
      </c>
      <c r="S9" s="11">
        <v>0.39425469154367082</v>
      </c>
      <c r="T9" s="11">
        <f>R9*Calculation!I9/Calculation!K8</f>
        <v>108.40377298542847</v>
      </c>
      <c r="U9" s="11">
        <f>S9*Calculation!I9/Calculation!K8</f>
        <v>0.39635906929226317</v>
      </c>
    </row>
    <row r="10" spans="1:21">
      <c r="A10" s="28" t="s">
        <v>65</v>
      </c>
      <c r="B10" s="28">
        <v>88.11</v>
      </c>
      <c r="D10" s="49">
        <v>6</v>
      </c>
      <c r="E10" s="69">
        <v>18</v>
      </c>
      <c r="F10" s="11">
        <v>0</v>
      </c>
      <c r="G10" s="11">
        <v>0</v>
      </c>
      <c r="H10" s="11">
        <f>F10*Calculation!I10/Calculation!K9</f>
        <v>0</v>
      </c>
      <c r="I10" s="11">
        <f>G10*Calculation!I10/Calculation!K9</f>
        <v>0</v>
      </c>
      <c r="J10" s="11">
        <v>0</v>
      </c>
      <c r="K10" s="11">
        <v>0</v>
      </c>
      <c r="L10" s="11">
        <f>J10*Calculation!I10/Calculation!K9</f>
        <v>0</v>
      </c>
      <c r="M10" s="11">
        <f>K10*Calculation!I10/Calculation!K9</f>
        <v>0</v>
      </c>
      <c r="N10" s="11">
        <v>68.054399111851239</v>
      </c>
      <c r="O10" s="11">
        <v>0.42172456093749933</v>
      </c>
      <c r="P10" s="11">
        <f>N10*Calculation!I10/Calculation!K9</f>
        <v>68.851012881699475</v>
      </c>
      <c r="Q10" s="11">
        <f>O10*Calculation!I10/Calculation!K9</f>
        <v>0.42666107638264872</v>
      </c>
      <c r="R10" s="11">
        <v>82.757621840828449</v>
      </c>
      <c r="S10" s="11">
        <v>0.5147181010621138</v>
      </c>
      <c r="T10" s="11">
        <f>R10*Calculation!I10/Calculation!K9</f>
        <v>83.726344832709472</v>
      </c>
      <c r="U10" s="11">
        <f>S10*Calculation!I10/Calculation!K9</f>
        <v>0.52074315649199587</v>
      </c>
    </row>
    <row r="11" spans="1:21">
      <c r="A11" s="13" t="s">
        <v>41</v>
      </c>
      <c r="B11" s="13">
        <v>90.08</v>
      </c>
      <c r="D11" s="49">
        <v>7</v>
      </c>
      <c r="E11" s="69">
        <v>21</v>
      </c>
      <c r="F11" s="11">
        <v>0</v>
      </c>
      <c r="G11" s="11">
        <v>0</v>
      </c>
      <c r="H11" s="11">
        <f>F11*Calculation!I11/Calculation!K10</f>
        <v>0</v>
      </c>
      <c r="I11" s="11">
        <f>G11*Calculation!I11/Calculation!K10</f>
        <v>0</v>
      </c>
      <c r="J11" s="11">
        <v>0</v>
      </c>
      <c r="K11" s="11">
        <v>0</v>
      </c>
      <c r="L11" s="11">
        <f>J11*Calculation!I11/Calculation!K10</f>
        <v>0</v>
      </c>
      <c r="M11" s="11">
        <f>K11*Calculation!I11/Calculation!K10</f>
        <v>0</v>
      </c>
      <c r="N11" s="11">
        <v>73.760754926450176</v>
      </c>
      <c r="O11" s="11">
        <v>3.745113224451698</v>
      </c>
      <c r="P11" s="11">
        <f>N11*Calculation!I11/Calculation!K10</f>
        <v>75.296454467958881</v>
      </c>
      <c r="Q11" s="11">
        <f>O11*Calculation!I11/Calculation!K10</f>
        <v>3.8230865134645833</v>
      </c>
      <c r="R11" s="11">
        <v>43.565790426533418</v>
      </c>
      <c r="S11" s="11">
        <v>2.2753548812170057</v>
      </c>
      <c r="T11" s="11">
        <f>R11*Calculation!I11/Calculation!K10</f>
        <v>44.472830551735562</v>
      </c>
      <c r="U11" s="11">
        <f>S11*Calculation!I11/Calculation!K10</f>
        <v>2.3227277890911022</v>
      </c>
    </row>
    <row r="12" spans="1:21">
      <c r="A12" s="13" t="s">
        <v>43</v>
      </c>
      <c r="B12" s="13">
        <v>46.07</v>
      </c>
      <c r="D12" s="49">
        <v>8</v>
      </c>
      <c r="E12" s="69">
        <v>24</v>
      </c>
      <c r="F12" s="11">
        <v>0</v>
      </c>
      <c r="G12" s="11">
        <v>0</v>
      </c>
      <c r="H12" s="11">
        <f>F12*Calculation!I12/Calculation!K11</f>
        <v>0</v>
      </c>
      <c r="I12" s="11">
        <f>G12*Calculation!I12/Calculation!K11</f>
        <v>0</v>
      </c>
      <c r="J12" s="11">
        <v>0</v>
      </c>
      <c r="K12" s="11">
        <v>0</v>
      </c>
      <c r="L12" s="11">
        <f>J12*Calculation!I12/Calculation!K11</f>
        <v>0</v>
      </c>
      <c r="M12" s="11">
        <f>K12*Calculation!I12/Calculation!K11</f>
        <v>0</v>
      </c>
      <c r="N12" s="11">
        <v>86.006106022758814</v>
      </c>
      <c r="O12" s="11">
        <v>1.6029409076638266</v>
      </c>
      <c r="P12" s="11">
        <f>N12*Calculation!I12/Calculation!K11</f>
        <v>88.839293788012839</v>
      </c>
      <c r="Q12" s="11">
        <f>O12*Calculation!I12/Calculation!K11</f>
        <v>1.655744514035874</v>
      </c>
      <c r="R12" s="11">
        <v>5.4022738793540448</v>
      </c>
      <c r="S12" s="11">
        <v>9.0448229392402116E-2</v>
      </c>
      <c r="T12" s="11">
        <f>R12*Calculation!I12/Calculation!K11</f>
        <v>5.5802339913429204</v>
      </c>
      <c r="U12" s="11">
        <f>S12*Calculation!I12/Calculation!K11</f>
        <v>9.3427748274882774E-2</v>
      </c>
    </row>
    <row r="13" spans="1:21">
      <c r="D13" s="49">
        <v>9</v>
      </c>
      <c r="E13" s="69">
        <v>27</v>
      </c>
      <c r="F13" s="11">
        <v>0</v>
      </c>
      <c r="G13" s="11">
        <v>0</v>
      </c>
      <c r="H13" s="11">
        <f>F13*Calculation!I13/Calculation!K12</f>
        <v>0</v>
      </c>
      <c r="I13" s="11">
        <f>G13*Calculation!I13/Calculation!K12</f>
        <v>0</v>
      </c>
      <c r="J13" s="11">
        <v>0</v>
      </c>
      <c r="K13" s="11">
        <v>0</v>
      </c>
      <c r="L13" s="11">
        <f>J13*Calculation!I13/Calculation!K12</f>
        <v>0</v>
      </c>
      <c r="M13" s="11">
        <f>K13*Calculation!I13/Calculation!K12</f>
        <v>0</v>
      </c>
      <c r="N13" s="11">
        <v>89.725228975853469</v>
      </c>
      <c r="O13" s="11">
        <v>0.1526253353857043</v>
      </c>
      <c r="P13" s="11">
        <f>N13*Calculation!I13/Calculation!K12</f>
        <v>93.24803459068778</v>
      </c>
      <c r="Q13" s="11">
        <f>O13*Calculation!I13/Calculation!K12</f>
        <v>0.15861773456484068</v>
      </c>
      <c r="R13" s="11">
        <v>0</v>
      </c>
      <c r="S13" s="11">
        <v>0</v>
      </c>
      <c r="T13" s="11">
        <f>R13*Calculation!I13/Calculation!K12</f>
        <v>0</v>
      </c>
      <c r="U13" s="11">
        <f>S13*Calculation!I13/Calculation!K12</f>
        <v>0</v>
      </c>
    </row>
    <row r="14" spans="1:21">
      <c r="D14" s="49">
        <v>10</v>
      </c>
      <c r="E14" s="69">
        <v>30</v>
      </c>
      <c r="F14" s="11">
        <v>0</v>
      </c>
      <c r="G14" s="11">
        <v>0</v>
      </c>
      <c r="H14" s="11">
        <f>F14*Calculation!I14/Calculation!K13</f>
        <v>0</v>
      </c>
      <c r="I14" s="11">
        <f>G14*Calculation!I14/Calculation!K13</f>
        <v>0</v>
      </c>
      <c r="J14" s="11">
        <v>0</v>
      </c>
      <c r="K14" s="11">
        <v>0</v>
      </c>
      <c r="L14" s="11">
        <f>J14*Calculation!I14/Calculation!K13</f>
        <v>0</v>
      </c>
      <c r="M14" s="11">
        <f>K14*Calculation!I14/Calculation!K13</f>
        <v>0</v>
      </c>
      <c r="N14" s="11">
        <v>90.069386622259216</v>
      </c>
      <c r="O14" s="11">
        <v>1.028885461590695</v>
      </c>
      <c r="P14" s="11">
        <f>N14*Calculation!I14/Calculation!K13</f>
        <v>93.861691037160227</v>
      </c>
      <c r="Q14" s="11">
        <f>O14*Calculation!I14/Calculation!K13</f>
        <v>1.0722059173497838</v>
      </c>
      <c r="R14" s="11">
        <v>0</v>
      </c>
      <c r="S14" s="11">
        <v>0</v>
      </c>
      <c r="T14" s="11">
        <f>R14*Calculation!I14/Calculation!K13</f>
        <v>0</v>
      </c>
      <c r="U14" s="11">
        <f>S14*Calculation!I14/Calculation!K13</f>
        <v>0</v>
      </c>
    </row>
    <row r="15" spans="1:21">
      <c r="D15" s="49">
        <v>11</v>
      </c>
      <c r="E15" s="69">
        <v>48</v>
      </c>
      <c r="F15" s="11">
        <v>0</v>
      </c>
      <c r="G15" s="11">
        <v>0</v>
      </c>
      <c r="H15" s="11">
        <f>F15*Calculation!I15/Calculation!K14</f>
        <v>0</v>
      </c>
      <c r="I15" s="11">
        <f>G15*Calculation!I15/Calculation!K14</f>
        <v>0</v>
      </c>
      <c r="J15" s="11">
        <v>0</v>
      </c>
      <c r="K15" s="11">
        <v>0</v>
      </c>
      <c r="L15" s="11">
        <f>J15*Calculation!I15/Calculation!K14</f>
        <v>0</v>
      </c>
      <c r="M15" s="11">
        <f>K15*Calculation!I15/Calculation!K14</f>
        <v>0</v>
      </c>
      <c r="N15" s="11">
        <v>90.591174021648627</v>
      </c>
      <c r="O15" s="11">
        <v>1.1279729706495318</v>
      </c>
      <c r="P15" s="11">
        <f>N15*Calculation!I15/Calculation!K14</f>
        <v>94.586301254707323</v>
      </c>
      <c r="Q15" s="11">
        <f>O15*Calculation!I15/Calculation!K14</f>
        <v>1.1777172816363746</v>
      </c>
      <c r="R15" s="11">
        <v>0</v>
      </c>
      <c r="S15" s="11">
        <v>0</v>
      </c>
      <c r="T15" s="11">
        <f>R15*Calculation!I15/Calculation!K14</f>
        <v>0</v>
      </c>
      <c r="U15" s="11">
        <f>S15*Calculation!I15/Calculation!K14</f>
        <v>0</v>
      </c>
    </row>
    <row r="16" spans="1:21">
      <c r="D16" s="67"/>
      <c r="E16" s="60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8" spans="4:17">
      <c r="D18" s="99" t="s">
        <v>4</v>
      </c>
      <c r="E18" s="99" t="s">
        <v>59</v>
      </c>
      <c r="F18" s="88" t="s">
        <v>43</v>
      </c>
      <c r="G18" s="88"/>
      <c r="H18" s="88"/>
      <c r="I18" s="88"/>
      <c r="J18" s="88" t="s">
        <v>65</v>
      </c>
      <c r="K18" s="88"/>
      <c r="L18" s="88"/>
      <c r="M18" s="88"/>
      <c r="N18" s="79" t="s">
        <v>66</v>
      </c>
      <c r="O18" s="80"/>
      <c r="P18" s="80"/>
      <c r="Q18" s="81"/>
    </row>
    <row r="19" spans="4:17">
      <c r="D19" s="99"/>
      <c r="E19" s="99"/>
      <c r="F19" s="18" t="s">
        <v>47</v>
      </c>
      <c r="G19" s="18" t="s">
        <v>23</v>
      </c>
      <c r="H19" s="18" t="s">
        <v>47</v>
      </c>
      <c r="I19" s="18" t="s">
        <v>23</v>
      </c>
      <c r="J19" s="18" t="s">
        <v>47</v>
      </c>
      <c r="K19" s="18" t="s">
        <v>23</v>
      </c>
      <c r="L19" s="18" t="s">
        <v>47</v>
      </c>
      <c r="M19" s="18" t="s">
        <v>23</v>
      </c>
      <c r="N19" s="18" t="s">
        <v>47</v>
      </c>
      <c r="O19" s="18" t="s">
        <v>23</v>
      </c>
      <c r="P19" s="18" t="s">
        <v>47</v>
      </c>
      <c r="Q19" s="18" t="s">
        <v>23</v>
      </c>
    </row>
    <row r="20" spans="4:17">
      <c r="D20" s="47" t="s">
        <v>6</v>
      </c>
      <c r="E20" s="59">
        <v>0</v>
      </c>
      <c r="F20" s="48">
        <v>0</v>
      </c>
      <c r="G20" s="59">
        <v>0</v>
      </c>
      <c r="H20" s="11">
        <f>F20*Calculation!I3/Calculation!F18</f>
        <v>0</v>
      </c>
      <c r="I20" s="11">
        <f>G20*Calculation!I3/Calculation!F18</f>
        <v>0</v>
      </c>
      <c r="J20" s="11">
        <v>0</v>
      </c>
      <c r="K20" s="11">
        <v>0</v>
      </c>
      <c r="L20" s="11">
        <f>J20*Calculation!I3/Calculation!F18</f>
        <v>0</v>
      </c>
      <c r="M20" s="11">
        <f>K20*Calculation!I3/Calculation!F18</f>
        <v>0</v>
      </c>
      <c r="N20" s="11">
        <v>0</v>
      </c>
      <c r="O20" s="11">
        <v>0</v>
      </c>
      <c r="P20" s="11">
        <f>N20*Calculation!I3/Calculation!F18</f>
        <v>0</v>
      </c>
      <c r="Q20" s="11">
        <f>O20*Calculation!I3/Calculation!F18</f>
        <v>0</v>
      </c>
    </row>
    <row r="21" spans="4:17">
      <c r="D21" s="49">
        <v>0</v>
      </c>
      <c r="E21" s="69">
        <v>0</v>
      </c>
      <c r="F21" s="50">
        <v>0</v>
      </c>
      <c r="G21" s="69">
        <v>0</v>
      </c>
      <c r="H21" s="11">
        <f>F21*Calculation!I4/Calculation!K3</f>
        <v>0</v>
      </c>
      <c r="I21" s="11">
        <f>G21*Calculation!I4/Calculation!K3</f>
        <v>0</v>
      </c>
      <c r="J21" s="11">
        <v>0</v>
      </c>
      <c r="K21" s="11">
        <v>0</v>
      </c>
      <c r="L21" s="11">
        <f>J21*Calculation!I4/Calculation!K3</f>
        <v>0</v>
      </c>
      <c r="M21" s="11">
        <f>K21*Calculation!I4/Calculation!K3</f>
        <v>0</v>
      </c>
      <c r="N21" s="11">
        <v>0</v>
      </c>
      <c r="O21" s="11">
        <v>0</v>
      </c>
      <c r="P21" s="11">
        <f>N21*Calculation!I4/Calculation!K3</f>
        <v>0</v>
      </c>
      <c r="Q21" s="11">
        <f>O21*Calculation!I4/Calculation!K3</f>
        <v>0</v>
      </c>
    </row>
    <row r="22" spans="4:17">
      <c r="D22" s="49">
        <v>1</v>
      </c>
      <c r="E22" s="69">
        <v>3</v>
      </c>
      <c r="F22" s="50">
        <v>0</v>
      </c>
      <c r="G22" s="69">
        <v>0</v>
      </c>
      <c r="H22" s="11">
        <f>F22*Calculation!I5/Calculation!K4</f>
        <v>0</v>
      </c>
      <c r="I22" s="11">
        <f>G22*Calculation!I5/Calculation!K4</f>
        <v>0</v>
      </c>
      <c r="J22" s="11">
        <v>0</v>
      </c>
      <c r="K22" s="11">
        <v>0</v>
      </c>
      <c r="L22" s="11">
        <f>J22*Calculation!I5/Calculation!K4</f>
        <v>0</v>
      </c>
      <c r="M22" s="11">
        <f>K22*Calculation!I5/Calculation!K4</f>
        <v>0</v>
      </c>
      <c r="N22" s="11">
        <v>0</v>
      </c>
      <c r="O22" s="11">
        <v>0</v>
      </c>
      <c r="P22" s="11">
        <f>N22*Calculation!I5/Calculation!K4</f>
        <v>0</v>
      </c>
      <c r="Q22" s="11">
        <f>O22*Calculation!I5/Calculation!K4</f>
        <v>0</v>
      </c>
    </row>
    <row r="23" spans="4:17">
      <c r="D23" s="49">
        <v>2</v>
      </c>
      <c r="E23" s="69">
        <v>6</v>
      </c>
      <c r="F23" s="50">
        <v>0</v>
      </c>
      <c r="G23" s="69">
        <v>0</v>
      </c>
      <c r="H23" s="11">
        <f>F23*Calculation!I6/Calculation!K5</f>
        <v>0</v>
      </c>
      <c r="I23" s="11">
        <f>G23*Calculation!I6/Calculation!K5</f>
        <v>0</v>
      </c>
      <c r="J23" s="11">
        <v>0</v>
      </c>
      <c r="K23" s="11">
        <v>0</v>
      </c>
      <c r="L23" s="11">
        <f>J23*Calculation!I6/Calculation!K5</f>
        <v>0</v>
      </c>
      <c r="M23" s="11">
        <f>K23*Calculation!I6/Calculation!K5</f>
        <v>0</v>
      </c>
      <c r="N23" s="11">
        <v>0</v>
      </c>
      <c r="O23" s="11">
        <v>0</v>
      </c>
      <c r="P23" s="11">
        <f>N23*Calculation!I6/Calculation!K5</f>
        <v>0</v>
      </c>
      <c r="Q23" s="11">
        <f>O23*Calculation!I6/Calculation!K5</f>
        <v>0</v>
      </c>
    </row>
    <row r="24" spans="4:17">
      <c r="D24" s="49">
        <v>3</v>
      </c>
      <c r="E24" s="69">
        <v>9</v>
      </c>
      <c r="F24" s="50">
        <v>0</v>
      </c>
      <c r="G24" s="69">
        <v>0</v>
      </c>
      <c r="H24" s="11">
        <f>F24*Calculation!I7/Calculation!K6</f>
        <v>0</v>
      </c>
      <c r="I24" s="11">
        <f>G24*Calculation!I7/Calculation!K6</f>
        <v>0</v>
      </c>
      <c r="J24" s="11">
        <v>0</v>
      </c>
      <c r="K24" s="11">
        <v>0</v>
      </c>
      <c r="L24" s="11">
        <f>J24*Calculation!I7/Calculation!K6</f>
        <v>0</v>
      </c>
      <c r="M24" s="11">
        <f>K24*Calculation!I7/Calculation!K6</f>
        <v>0</v>
      </c>
      <c r="N24" s="11">
        <v>0</v>
      </c>
      <c r="O24" s="11">
        <v>0</v>
      </c>
      <c r="P24" s="11">
        <f>N24*Calculation!I7/Calculation!K6</f>
        <v>0</v>
      </c>
      <c r="Q24" s="11">
        <f>O24*Calculation!I7/Calculation!K6</f>
        <v>0</v>
      </c>
    </row>
    <row r="25" spans="4:17">
      <c r="D25" s="49">
        <v>4</v>
      </c>
      <c r="E25" s="69">
        <v>12</v>
      </c>
      <c r="F25" s="50">
        <v>0</v>
      </c>
      <c r="G25" s="69">
        <v>0</v>
      </c>
      <c r="H25" s="11">
        <f>F25*Calculation!I8/Calculation!K7</f>
        <v>0</v>
      </c>
      <c r="I25" s="11">
        <f>G25*Calculation!I8/Calculation!K7</f>
        <v>0</v>
      </c>
      <c r="J25" s="11">
        <v>0</v>
      </c>
      <c r="K25" s="11">
        <v>0</v>
      </c>
      <c r="L25" s="11">
        <f>J25*Calculation!I8/Calculation!K7</f>
        <v>0</v>
      </c>
      <c r="M25" s="11">
        <f>K25*Calculation!I8/Calculation!K7</f>
        <v>0</v>
      </c>
      <c r="N25" s="11">
        <v>0</v>
      </c>
      <c r="O25" s="11">
        <v>0</v>
      </c>
      <c r="P25" s="11">
        <f>N25*Calculation!I8/Calculation!K7</f>
        <v>0</v>
      </c>
      <c r="Q25" s="11">
        <f>O25*Calculation!I8/Calculation!K7</f>
        <v>0</v>
      </c>
    </row>
    <row r="26" spans="4:17">
      <c r="D26" s="49">
        <v>5</v>
      </c>
      <c r="E26" s="69">
        <v>15</v>
      </c>
      <c r="F26" s="50">
        <v>0</v>
      </c>
      <c r="G26" s="69">
        <v>0</v>
      </c>
      <c r="H26" s="11">
        <f>F26*Calculation!I9/Calculation!K8</f>
        <v>0</v>
      </c>
      <c r="I26" s="11">
        <f>G26*Calculation!I9/Calculation!K8</f>
        <v>0</v>
      </c>
      <c r="J26" s="11">
        <v>0</v>
      </c>
      <c r="K26" s="11">
        <v>0</v>
      </c>
      <c r="L26" s="11">
        <f>J26*Calculation!I9/Calculation!K8</f>
        <v>0</v>
      </c>
      <c r="M26" s="11">
        <f>K26*Calculation!I9/Calculation!K8</f>
        <v>0</v>
      </c>
      <c r="N26" s="11">
        <v>0</v>
      </c>
      <c r="O26" s="11">
        <v>0</v>
      </c>
      <c r="P26" s="11">
        <f>N26*Calculation!I9/Calculation!K8</f>
        <v>0</v>
      </c>
      <c r="Q26" s="11">
        <f>O26*Calculation!I9/Calculation!K8</f>
        <v>0</v>
      </c>
    </row>
    <row r="27" spans="4:17">
      <c r="D27" s="49">
        <v>6</v>
      </c>
      <c r="E27" s="69">
        <v>18</v>
      </c>
      <c r="F27" s="50">
        <v>0</v>
      </c>
      <c r="G27" s="69">
        <v>0</v>
      </c>
      <c r="H27" s="11">
        <f>F27*Calculation!I10/Calculation!K9</f>
        <v>0</v>
      </c>
      <c r="I27" s="11">
        <f>G27*Calculation!I10/Calculation!K9</f>
        <v>0</v>
      </c>
      <c r="J27" s="11">
        <v>0</v>
      </c>
      <c r="K27" s="11">
        <v>0</v>
      </c>
      <c r="L27" s="11">
        <f>J27*Calculation!I10/Calculation!K9</f>
        <v>0</v>
      </c>
      <c r="M27" s="11">
        <f>K27*Calculation!I10/Calculation!K9</f>
        <v>0</v>
      </c>
      <c r="N27" s="11">
        <v>0</v>
      </c>
      <c r="O27" s="11">
        <v>0</v>
      </c>
      <c r="P27" s="11">
        <f>N27*Calculation!I10/Calculation!K9</f>
        <v>0</v>
      </c>
      <c r="Q27" s="11">
        <f>O27*Calculation!I10/Calculation!K9</f>
        <v>0</v>
      </c>
    </row>
    <row r="28" spans="4:17">
      <c r="D28" s="49">
        <v>7</v>
      </c>
      <c r="E28" s="69">
        <v>21</v>
      </c>
      <c r="F28" s="50">
        <v>0</v>
      </c>
      <c r="G28" s="69">
        <v>0</v>
      </c>
      <c r="H28" s="11">
        <f>F28*Calculation!I11/Calculation!K10</f>
        <v>0</v>
      </c>
      <c r="I28" s="11">
        <f>G28*Calculation!I11/Calculation!K10</f>
        <v>0</v>
      </c>
      <c r="J28" s="11">
        <v>0</v>
      </c>
      <c r="K28" s="11">
        <v>0</v>
      </c>
      <c r="L28" s="11">
        <f>J28*Calculation!I11/Calculation!K10</f>
        <v>0</v>
      </c>
      <c r="M28" s="11">
        <f>K28*Calculation!I11/Calculation!K10</f>
        <v>0</v>
      </c>
      <c r="N28" s="11">
        <v>0</v>
      </c>
      <c r="O28" s="11">
        <v>0</v>
      </c>
      <c r="P28" s="11">
        <f>N28*Calculation!I11/Calculation!K10</f>
        <v>0</v>
      </c>
      <c r="Q28" s="11">
        <f>O28*Calculation!I11/Calculation!K10</f>
        <v>0</v>
      </c>
    </row>
    <row r="29" spans="4:17">
      <c r="D29" s="49">
        <v>8</v>
      </c>
      <c r="E29" s="69">
        <v>24</v>
      </c>
      <c r="F29" s="50">
        <v>0</v>
      </c>
      <c r="G29" s="69">
        <v>0</v>
      </c>
      <c r="H29" s="11">
        <f>F29*Calculation!I12/Calculation!K11</f>
        <v>0</v>
      </c>
      <c r="I29" s="11">
        <f>G29*Calculation!I12/Calculation!K11</f>
        <v>0</v>
      </c>
      <c r="J29" s="11">
        <v>0</v>
      </c>
      <c r="K29" s="11">
        <v>0</v>
      </c>
      <c r="L29" s="11">
        <f>J29*Calculation!I12/Calculation!K11</f>
        <v>0</v>
      </c>
      <c r="M29" s="11">
        <f>K29*Calculation!I12/Calculation!K11</f>
        <v>0</v>
      </c>
      <c r="N29" s="11">
        <v>0</v>
      </c>
      <c r="O29" s="11">
        <v>0</v>
      </c>
      <c r="P29" s="11">
        <f>N29*Calculation!I12/Calculation!K11</f>
        <v>0</v>
      </c>
      <c r="Q29" s="11">
        <f>O29*Calculation!I12/Calculation!K11</f>
        <v>0</v>
      </c>
    </row>
    <row r="30" spans="4:17">
      <c r="D30" s="49">
        <v>9</v>
      </c>
      <c r="E30" s="69">
        <v>27</v>
      </c>
      <c r="F30" s="50">
        <v>0</v>
      </c>
      <c r="G30" s="69">
        <v>0</v>
      </c>
      <c r="H30" s="11">
        <f>F30*Calculation!I13/Calculation!K12</f>
        <v>0</v>
      </c>
      <c r="I30" s="11">
        <f>G30*Calculation!I13/Calculation!K12</f>
        <v>0</v>
      </c>
      <c r="J30" s="11">
        <v>0</v>
      </c>
      <c r="K30" s="11">
        <v>0</v>
      </c>
      <c r="L30" s="11">
        <f>J30*Calculation!I13/Calculation!K12</f>
        <v>0</v>
      </c>
      <c r="M30" s="11">
        <f>K30*Calculation!I13/Calculation!K12</f>
        <v>0</v>
      </c>
      <c r="N30" s="11">
        <v>0</v>
      </c>
      <c r="O30" s="11">
        <v>0</v>
      </c>
      <c r="P30" s="11">
        <f>N30*Calculation!I13/Calculation!K12</f>
        <v>0</v>
      </c>
      <c r="Q30" s="11">
        <f>O30*Calculation!I13/Calculation!K12</f>
        <v>0</v>
      </c>
    </row>
    <row r="31" spans="4:17">
      <c r="D31" s="49">
        <v>10</v>
      </c>
      <c r="E31" s="69">
        <v>30</v>
      </c>
      <c r="F31" s="50">
        <v>0</v>
      </c>
      <c r="G31" s="69">
        <v>0</v>
      </c>
      <c r="H31" s="11">
        <f>F31*Calculation!I14/Calculation!K13</f>
        <v>0</v>
      </c>
      <c r="I31" s="11">
        <f>G31*Calculation!I14/Calculation!K13</f>
        <v>0</v>
      </c>
      <c r="J31" s="11">
        <v>0</v>
      </c>
      <c r="K31" s="11">
        <v>0</v>
      </c>
      <c r="L31" s="11">
        <f>J31*Calculation!I14/Calculation!K13</f>
        <v>0</v>
      </c>
      <c r="M31" s="11">
        <f>K31*Calculation!I14/Calculation!K13</f>
        <v>0</v>
      </c>
      <c r="N31" s="11">
        <v>0</v>
      </c>
      <c r="O31" s="11">
        <v>0</v>
      </c>
      <c r="P31" s="11">
        <f>N31*Calculation!I14/Calculation!K13</f>
        <v>0</v>
      </c>
      <c r="Q31" s="11">
        <f>O31*Calculation!I14/Calculation!K13</f>
        <v>0</v>
      </c>
    </row>
    <row r="32" spans="4:17">
      <c r="D32" s="49">
        <v>11</v>
      </c>
      <c r="E32" s="69">
        <v>48</v>
      </c>
      <c r="F32" s="50">
        <v>0</v>
      </c>
      <c r="G32" s="69">
        <v>0</v>
      </c>
      <c r="H32" s="11">
        <f>F32*Calculation!I15/Calculation!K14</f>
        <v>0</v>
      </c>
      <c r="I32" s="11">
        <f>G32*Calculation!I15/Calculation!K14</f>
        <v>0</v>
      </c>
      <c r="J32" s="11">
        <v>0</v>
      </c>
      <c r="K32" s="11">
        <v>0</v>
      </c>
      <c r="L32" s="11">
        <f>J32*Calculation!I15/Calculation!K14</f>
        <v>0</v>
      </c>
      <c r="M32" s="11">
        <f>K32*Calculation!I15/Calculation!K14</f>
        <v>0</v>
      </c>
      <c r="N32" s="11">
        <v>0</v>
      </c>
      <c r="O32" s="11">
        <v>0</v>
      </c>
      <c r="P32" s="11">
        <f>N32*Calculation!I15/Calculation!K14</f>
        <v>0</v>
      </c>
      <c r="Q32" s="11">
        <f>O32*Calculation!I15/Calculation!K14</f>
        <v>0</v>
      </c>
    </row>
  </sheetData>
  <mergeCells count="14">
    <mergeCell ref="R1:U1"/>
    <mergeCell ref="D1:D2"/>
    <mergeCell ref="E1:E2"/>
    <mergeCell ref="F1:I1"/>
    <mergeCell ref="J1:M1"/>
    <mergeCell ref="F18:I18"/>
    <mergeCell ref="J18:M18"/>
    <mergeCell ref="N18:Q18"/>
    <mergeCell ref="N1:Q1"/>
    <mergeCell ref="A1:B1"/>
    <mergeCell ref="A2:B2"/>
    <mergeCell ref="A3:A4"/>
    <mergeCell ref="D18:D19"/>
    <mergeCell ref="E18:E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2015-02-26T16:12:54Z</dcterms:modified>
  <cp:category/>
</cp:coreProperties>
</file>