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780" tabRatio="930" firstSheet="7" activeTab="18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F. prausnitzii" sheetId="25" r:id="rId5"/>
    <sheet name="Determination cell count" sheetId="26" r:id="rId6"/>
    <sheet name="OD600nm" sheetId="4" r:id="rId7"/>
    <sheet name="CDM" sheetId="5" r:id="rId8"/>
    <sheet name="H2" sheetId="17" r:id="rId9"/>
    <sheet name="CO2" sheetId="7" r:id="rId10"/>
    <sheet name="Metabolites" sheetId="8" r:id="rId11"/>
    <sheet name="D-Fructose" sheetId="19" r:id="rId12"/>
    <sheet name="Formic acid" sheetId="18" r:id="rId13"/>
    <sheet name="Acetic acid" sheetId="15" r:id="rId14"/>
    <sheet name="Propionic acid" sheetId="20" r:id="rId15"/>
    <sheet name="Butyric acid" sheetId="21" r:id="rId16"/>
    <sheet name="Lactic acid" sheetId="14" r:id="rId17"/>
    <sheet name="Ethanol" sheetId="16" r:id="rId18"/>
    <sheet name="Graph" sheetId="13" r:id="rId19"/>
    <sheet name="Graph (2)" sheetId="24" r:id="rId20"/>
    <sheet name="Carbon recovery" sheetId="23" r:id="rId21"/>
  </sheets>
  <externalReferences>
    <externalReference r:id="rId22"/>
  </externalReferences>
  <definedNames>
    <definedName name="_2012_05_10_FPRAU_fruc1" localSheetId="9">'CO2'!$I$5:$I$293</definedName>
    <definedName name="_2012_06_08_BIF_REC_OLI_1" localSheetId="9">'CO2'!$N$5:$N$201</definedName>
    <definedName name="_2012_06_08_BIF_REC_OLI_1" localSheetId="8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26" l="1"/>
  <c r="J22" i="26"/>
  <c r="I23" i="26"/>
  <c r="J23" i="26"/>
  <c r="H23" i="26"/>
  <c r="H22" i="26"/>
  <c r="H20" i="26"/>
  <c r="H12" i="26"/>
  <c r="H21" i="26"/>
  <c r="H43" i="26"/>
  <c r="H28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AD4" i="26"/>
  <c r="X4" i="26"/>
  <c r="AC7" i="26"/>
  <c r="AD7" i="26"/>
  <c r="AE7" i="26"/>
  <c r="X7" i="26"/>
  <c r="AC6" i="26"/>
  <c r="AD6" i="26"/>
  <c r="AE6" i="26"/>
  <c r="X6" i="26"/>
  <c r="AC5" i="26"/>
  <c r="AD5" i="26"/>
  <c r="AE5" i="26"/>
  <c r="X5" i="26"/>
  <c r="AC4" i="26"/>
  <c r="AE4" i="26"/>
  <c r="B26" i="26"/>
  <c r="B25" i="26"/>
  <c r="K21" i="26"/>
  <c r="I21" i="26"/>
  <c r="L21" i="26"/>
  <c r="J21" i="26"/>
  <c r="M21" i="26"/>
  <c r="O21" i="26"/>
  <c r="S21" i="26"/>
  <c r="K22" i="26"/>
  <c r="L22" i="26"/>
  <c r="M22" i="26"/>
  <c r="O22" i="26"/>
  <c r="S22" i="26"/>
  <c r="K23" i="26"/>
  <c r="L23" i="26"/>
  <c r="M23" i="26"/>
  <c r="O23" i="26"/>
  <c r="S23" i="26"/>
  <c r="K20" i="26"/>
  <c r="I20" i="26"/>
  <c r="L20" i="26"/>
  <c r="J20" i="26"/>
  <c r="M20" i="26"/>
  <c r="O20" i="26"/>
  <c r="S20" i="26"/>
  <c r="H13" i="26"/>
  <c r="K13" i="26"/>
  <c r="I13" i="26"/>
  <c r="L13" i="26"/>
  <c r="J13" i="26"/>
  <c r="M13" i="26"/>
  <c r="O13" i="26"/>
  <c r="S13" i="26"/>
  <c r="H14" i="26"/>
  <c r="K14" i="26"/>
  <c r="I14" i="26"/>
  <c r="L14" i="26"/>
  <c r="J14" i="26"/>
  <c r="M14" i="26"/>
  <c r="O14" i="26"/>
  <c r="S14" i="26"/>
  <c r="H15" i="26"/>
  <c r="K15" i="26"/>
  <c r="I15" i="26"/>
  <c r="L15" i="26"/>
  <c r="J15" i="26"/>
  <c r="M15" i="26"/>
  <c r="O15" i="26"/>
  <c r="S15" i="26"/>
  <c r="K12" i="26"/>
  <c r="I12" i="26"/>
  <c r="L12" i="26"/>
  <c r="J12" i="26"/>
  <c r="M12" i="26"/>
  <c r="O12" i="26"/>
  <c r="S12" i="26"/>
  <c r="Q21" i="26"/>
  <c r="Q22" i="26"/>
  <c r="Q23" i="26"/>
  <c r="Q20" i="26"/>
  <c r="P21" i="26"/>
  <c r="P22" i="26"/>
  <c r="P23" i="26"/>
  <c r="P20" i="26"/>
  <c r="Q13" i="26"/>
  <c r="Q14" i="26"/>
  <c r="Q15" i="26"/>
  <c r="Q12" i="26"/>
  <c r="P13" i="26"/>
  <c r="P14" i="26"/>
  <c r="P15" i="26"/>
  <c r="P12" i="26"/>
  <c r="H6" i="26"/>
  <c r="I4" i="26"/>
  <c r="J4" i="26"/>
  <c r="I5" i="26"/>
  <c r="J5" i="26"/>
  <c r="I6" i="26"/>
  <c r="J6" i="26"/>
  <c r="I7" i="26"/>
  <c r="J7" i="26"/>
  <c r="H5" i="26"/>
  <c r="H7" i="26"/>
  <c r="H4" i="26"/>
  <c r="R23" i="26"/>
  <c r="N23" i="26"/>
  <c r="C20" i="26"/>
  <c r="C21" i="26"/>
  <c r="C22" i="26"/>
  <c r="C23" i="26"/>
  <c r="D23" i="26"/>
  <c r="R22" i="26"/>
  <c r="N22" i="26"/>
  <c r="D22" i="26"/>
  <c r="R21" i="26"/>
  <c r="N21" i="26"/>
  <c r="D21" i="26"/>
  <c r="R20" i="26"/>
  <c r="N20" i="26"/>
  <c r="D20" i="26"/>
  <c r="R15" i="26"/>
  <c r="N15" i="26"/>
  <c r="C12" i="26"/>
  <c r="C13" i="26"/>
  <c r="C14" i="26"/>
  <c r="C15" i="26"/>
  <c r="D15" i="26"/>
  <c r="R14" i="26"/>
  <c r="N14" i="26"/>
  <c r="D14" i="26"/>
  <c r="R13" i="26"/>
  <c r="N13" i="26"/>
  <c r="D13" i="26"/>
  <c r="R12" i="26"/>
  <c r="N12" i="26"/>
  <c r="D12" i="26"/>
  <c r="K5" i="26"/>
  <c r="L5" i="26"/>
  <c r="M5" i="26"/>
  <c r="O5" i="26"/>
  <c r="S5" i="26"/>
  <c r="K6" i="26"/>
  <c r="L6" i="26"/>
  <c r="M6" i="26"/>
  <c r="O6" i="26"/>
  <c r="S6" i="26"/>
  <c r="K7" i="26"/>
  <c r="L7" i="26"/>
  <c r="M7" i="26"/>
  <c r="O7" i="26"/>
  <c r="S7" i="26"/>
  <c r="K4" i="26"/>
  <c r="L4" i="26"/>
  <c r="M4" i="26"/>
  <c r="O4" i="26"/>
  <c r="S4" i="26"/>
  <c r="P4" i="26"/>
  <c r="R4" i="26"/>
  <c r="Q5" i="26"/>
  <c r="Q6" i="26"/>
  <c r="Q7" i="26"/>
  <c r="Q4" i="26"/>
  <c r="N4" i="26"/>
  <c r="P7" i="26"/>
  <c r="P5" i="26"/>
  <c r="P6" i="26"/>
  <c r="N6" i="26"/>
  <c r="C4" i="26"/>
  <c r="C5" i="26"/>
  <c r="C6" i="26"/>
  <c r="C7" i="26"/>
  <c r="D7" i="26"/>
  <c r="D6" i="26"/>
  <c r="D5" i="26"/>
  <c r="D4" i="26"/>
  <c r="R7" i="26"/>
  <c r="N7" i="26"/>
  <c r="R6" i="26"/>
  <c r="R5" i="26"/>
  <c r="N5" i="26"/>
  <c r="D48" i="25"/>
  <c r="F40" i="25"/>
  <c r="I38" i="25"/>
  <c r="J38" i="25"/>
  <c r="K38" i="25"/>
  <c r="L38" i="25"/>
  <c r="F38" i="25"/>
  <c r="G37" i="25"/>
  <c r="H37" i="25"/>
  <c r="I37" i="25"/>
  <c r="J37" i="25"/>
  <c r="K37" i="25"/>
  <c r="L37" i="25"/>
  <c r="F37" i="25"/>
  <c r="G36" i="25"/>
  <c r="H36" i="25"/>
  <c r="I36" i="25"/>
  <c r="J36" i="25"/>
  <c r="K36" i="25"/>
  <c r="L36" i="25"/>
  <c r="F36" i="25"/>
  <c r="G35" i="25"/>
  <c r="H35" i="25"/>
  <c r="I35" i="25"/>
  <c r="J35" i="25"/>
  <c r="K35" i="25"/>
  <c r="L35" i="25"/>
  <c r="F35" i="25"/>
  <c r="G34" i="25"/>
  <c r="H34" i="25"/>
  <c r="I34" i="25"/>
  <c r="J34" i="25"/>
  <c r="K34" i="25"/>
  <c r="L34" i="25"/>
  <c r="F34" i="25"/>
  <c r="G33" i="25"/>
  <c r="H33" i="25"/>
  <c r="I33" i="25"/>
  <c r="J33" i="25"/>
  <c r="K33" i="25"/>
  <c r="L33" i="25"/>
  <c r="F33" i="25"/>
  <c r="G32" i="25"/>
  <c r="H32" i="25"/>
  <c r="I32" i="25"/>
  <c r="J32" i="25"/>
  <c r="K32" i="25"/>
  <c r="L32" i="25"/>
  <c r="F32" i="25"/>
  <c r="G31" i="25"/>
  <c r="H31" i="25"/>
  <c r="I31" i="25"/>
  <c r="J31" i="25"/>
  <c r="K31" i="25"/>
  <c r="L31" i="25"/>
  <c r="F31" i="25"/>
  <c r="G30" i="25"/>
  <c r="H30" i="25"/>
  <c r="I30" i="25"/>
  <c r="J30" i="25"/>
  <c r="K30" i="25"/>
  <c r="L30" i="25"/>
  <c r="F30" i="25"/>
  <c r="G29" i="25"/>
  <c r="H29" i="25"/>
  <c r="I29" i="25"/>
  <c r="J29" i="25"/>
  <c r="K29" i="25"/>
  <c r="L29" i="25"/>
  <c r="F29" i="25"/>
  <c r="G28" i="25"/>
  <c r="H28" i="25"/>
  <c r="I28" i="25"/>
  <c r="J28" i="25"/>
  <c r="K28" i="25"/>
  <c r="L28" i="25"/>
  <c r="F28" i="25"/>
  <c r="G27" i="25"/>
  <c r="H27" i="25"/>
  <c r="I27" i="25"/>
  <c r="J27" i="25"/>
  <c r="K27" i="25"/>
  <c r="L27" i="25"/>
  <c r="F27" i="25"/>
  <c r="G26" i="25"/>
  <c r="H26" i="25"/>
  <c r="I26" i="25"/>
  <c r="J26" i="25"/>
  <c r="K26" i="25"/>
  <c r="L26" i="25"/>
  <c r="F26" i="25"/>
  <c r="G25" i="25"/>
  <c r="H25" i="25"/>
  <c r="I25" i="25"/>
  <c r="J25" i="25"/>
  <c r="K25" i="25"/>
  <c r="L25" i="25"/>
  <c r="F25" i="25"/>
  <c r="G24" i="25"/>
  <c r="H24" i="25"/>
  <c r="I24" i="25"/>
  <c r="J24" i="25"/>
  <c r="K24" i="25"/>
  <c r="L24" i="25"/>
  <c r="F24" i="25"/>
  <c r="G23" i="25"/>
  <c r="H23" i="25"/>
  <c r="I23" i="25"/>
  <c r="J23" i="25"/>
  <c r="K23" i="25"/>
  <c r="L23" i="25"/>
  <c r="F23" i="25"/>
  <c r="O19" i="25"/>
  <c r="K19" i="25"/>
  <c r="G19" i="25"/>
  <c r="P19" i="25"/>
  <c r="R19" i="25"/>
  <c r="Q19" i="25"/>
  <c r="O18" i="25"/>
  <c r="K18" i="25"/>
  <c r="G18" i="25"/>
  <c r="P18" i="25"/>
  <c r="R18" i="25"/>
  <c r="Q18" i="25"/>
  <c r="O17" i="25"/>
  <c r="K17" i="25"/>
  <c r="G17" i="25"/>
  <c r="P17" i="25"/>
  <c r="R17" i="25"/>
  <c r="Q17" i="25"/>
  <c r="O16" i="25"/>
  <c r="K16" i="25"/>
  <c r="G16" i="25"/>
  <c r="P16" i="25"/>
  <c r="R16" i="25"/>
  <c r="Q16" i="25"/>
  <c r="O15" i="25"/>
  <c r="K15" i="25"/>
  <c r="G15" i="25"/>
  <c r="P15" i="25"/>
  <c r="R15" i="25"/>
  <c r="Q15" i="25"/>
  <c r="O14" i="25"/>
  <c r="K14" i="25"/>
  <c r="G14" i="25"/>
  <c r="P14" i="25"/>
  <c r="R14" i="25"/>
  <c r="Q14" i="25"/>
  <c r="O13" i="25"/>
  <c r="K13" i="25"/>
  <c r="G13" i="25"/>
  <c r="P13" i="25"/>
  <c r="R13" i="25"/>
  <c r="Q13" i="25"/>
  <c r="O12" i="25"/>
  <c r="K12" i="25"/>
  <c r="G12" i="25"/>
  <c r="P12" i="25"/>
  <c r="R12" i="25"/>
  <c r="Q12" i="25"/>
  <c r="O11" i="25"/>
  <c r="K11" i="25"/>
  <c r="G11" i="25"/>
  <c r="P11" i="25"/>
  <c r="R11" i="25"/>
  <c r="Q11" i="25"/>
  <c r="O10" i="25"/>
  <c r="K10" i="25"/>
  <c r="G10" i="25"/>
  <c r="P10" i="25"/>
  <c r="R10" i="25"/>
  <c r="Q10" i="25"/>
  <c r="O9" i="25"/>
  <c r="K9" i="25"/>
  <c r="G9" i="25"/>
  <c r="P9" i="25"/>
  <c r="R9" i="25"/>
  <c r="Q9" i="25"/>
  <c r="L8" i="25"/>
  <c r="O8" i="25"/>
  <c r="H8" i="25"/>
  <c r="K8" i="25"/>
  <c r="D8" i="25"/>
  <c r="G8" i="25"/>
  <c r="P8" i="25"/>
  <c r="R8" i="25"/>
  <c r="Q8" i="25"/>
  <c r="L7" i="25"/>
  <c r="O7" i="25"/>
  <c r="H7" i="25"/>
  <c r="K7" i="25"/>
  <c r="D7" i="25"/>
  <c r="G7" i="25"/>
  <c r="P7" i="25"/>
  <c r="R7" i="25"/>
  <c r="Q7" i="25"/>
  <c r="O6" i="25"/>
  <c r="K6" i="25"/>
  <c r="G6" i="25"/>
  <c r="P6" i="25"/>
  <c r="R6" i="25"/>
  <c r="Q6" i="25"/>
  <c r="O5" i="25"/>
  <c r="K5" i="25"/>
  <c r="G5" i="25"/>
  <c r="P5" i="25"/>
  <c r="R5" i="25"/>
  <c r="Q5" i="25"/>
  <c r="O4" i="25"/>
  <c r="K4" i="25"/>
  <c r="G4" i="25"/>
  <c r="P4" i="25"/>
  <c r="R4" i="25"/>
  <c r="Q4" i="25"/>
  <c r="P7" i="8"/>
  <c r="H7" i="8"/>
  <c r="H6" i="8"/>
  <c r="K5" i="2"/>
  <c r="K4" i="2"/>
  <c r="K3" i="2"/>
  <c r="J6" i="2"/>
  <c r="J5" i="2"/>
  <c r="J7" i="2"/>
  <c r="J4" i="2"/>
  <c r="J3" i="2"/>
  <c r="F3" i="2"/>
  <c r="F4" i="2"/>
  <c r="F5" i="2"/>
  <c r="F6" i="2"/>
  <c r="L3" i="2"/>
  <c r="L4" i="2"/>
  <c r="L5" i="2"/>
  <c r="K6" i="2"/>
  <c r="L6" i="2"/>
  <c r="L15" i="8"/>
  <c r="L12" i="8"/>
  <c r="B6" i="23"/>
  <c r="L7" i="8"/>
  <c r="L4" i="8"/>
  <c r="B5" i="23"/>
  <c r="M15" i="8"/>
  <c r="M12" i="8"/>
  <c r="C6" i="23"/>
  <c r="M7" i="8"/>
  <c r="M4" i="8"/>
  <c r="C5" i="23"/>
  <c r="U4" i="8"/>
  <c r="U7" i="8"/>
  <c r="C4" i="23"/>
  <c r="T7" i="8"/>
  <c r="T4" i="8"/>
  <c r="B4" i="23"/>
  <c r="P4" i="8"/>
  <c r="B3" i="23"/>
  <c r="Q4" i="8"/>
  <c r="Q7" i="8"/>
  <c r="C3" i="23"/>
  <c r="I4" i="8"/>
  <c r="I7" i="8"/>
  <c r="C2" i="23"/>
  <c r="H4" i="8"/>
  <c r="B2" i="23"/>
  <c r="K7" i="2"/>
  <c r="L7" i="2"/>
  <c r="C101" i="7"/>
  <c r="D101" i="7"/>
  <c r="E101" i="7"/>
  <c r="F101" i="7"/>
  <c r="C100" i="7"/>
  <c r="D100" i="7"/>
  <c r="E100" i="7"/>
  <c r="F100" i="7"/>
  <c r="C54" i="7"/>
  <c r="D54" i="7"/>
  <c r="E54" i="7"/>
  <c r="F54" i="7"/>
  <c r="C55" i="7"/>
  <c r="D55" i="7"/>
  <c r="E55" i="7"/>
  <c r="F55" i="7"/>
  <c r="C56" i="7"/>
  <c r="D56" i="7"/>
  <c r="E56" i="7"/>
  <c r="F56" i="7"/>
  <c r="C57" i="7"/>
  <c r="D57" i="7"/>
  <c r="E57" i="7"/>
  <c r="F57" i="7"/>
  <c r="C58" i="7"/>
  <c r="D58" i="7"/>
  <c r="E58" i="7"/>
  <c r="F58" i="7"/>
  <c r="C59" i="7"/>
  <c r="D59" i="7"/>
  <c r="E59" i="7"/>
  <c r="F59" i="7"/>
  <c r="C60" i="7"/>
  <c r="D60" i="7"/>
  <c r="E60" i="7"/>
  <c r="F60" i="7"/>
  <c r="C61" i="7"/>
  <c r="D61" i="7"/>
  <c r="E61" i="7"/>
  <c r="F61" i="7"/>
  <c r="C62" i="7"/>
  <c r="D62" i="7"/>
  <c r="E62" i="7"/>
  <c r="F62" i="7"/>
  <c r="C63" i="7"/>
  <c r="D63" i="7"/>
  <c r="E63" i="7"/>
  <c r="F63" i="7"/>
  <c r="C64" i="7"/>
  <c r="D64" i="7"/>
  <c r="E64" i="7"/>
  <c r="F64" i="7"/>
  <c r="C65" i="7"/>
  <c r="D65" i="7"/>
  <c r="E65" i="7"/>
  <c r="F65" i="7"/>
  <c r="C66" i="7"/>
  <c r="D66" i="7"/>
  <c r="E66" i="7"/>
  <c r="F66" i="7"/>
  <c r="C67" i="7"/>
  <c r="D67" i="7"/>
  <c r="E67" i="7"/>
  <c r="F67" i="7"/>
  <c r="C68" i="7"/>
  <c r="D68" i="7"/>
  <c r="E68" i="7"/>
  <c r="F68" i="7"/>
  <c r="C69" i="7"/>
  <c r="D69" i="7"/>
  <c r="E69" i="7"/>
  <c r="F69" i="7"/>
  <c r="C70" i="7"/>
  <c r="D70" i="7"/>
  <c r="E70" i="7"/>
  <c r="F70" i="7"/>
  <c r="C71" i="7"/>
  <c r="D71" i="7"/>
  <c r="E71" i="7"/>
  <c r="F71" i="7"/>
  <c r="C72" i="7"/>
  <c r="D72" i="7"/>
  <c r="E72" i="7"/>
  <c r="F72" i="7"/>
  <c r="C73" i="7"/>
  <c r="D73" i="7"/>
  <c r="E73" i="7"/>
  <c r="F73" i="7"/>
  <c r="C74" i="7"/>
  <c r="D74" i="7"/>
  <c r="E74" i="7"/>
  <c r="F74" i="7"/>
  <c r="C75" i="7"/>
  <c r="D75" i="7"/>
  <c r="E75" i="7"/>
  <c r="F75" i="7"/>
  <c r="C76" i="7"/>
  <c r="D76" i="7"/>
  <c r="E76" i="7"/>
  <c r="F76" i="7"/>
  <c r="C77" i="7"/>
  <c r="D77" i="7"/>
  <c r="E77" i="7"/>
  <c r="F77" i="7"/>
  <c r="C78" i="7"/>
  <c r="D78" i="7"/>
  <c r="E78" i="7"/>
  <c r="F78" i="7"/>
  <c r="C79" i="7"/>
  <c r="D79" i="7"/>
  <c r="E79" i="7"/>
  <c r="F79" i="7"/>
  <c r="C80" i="7"/>
  <c r="D80" i="7"/>
  <c r="E80" i="7"/>
  <c r="F80" i="7"/>
  <c r="C81" i="7"/>
  <c r="D81" i="7"/>
  <c r="E81" i="7"/>
  <c r="F81" i="7"/>
  <c r="C82" i="7"/>
  <c r="D82" i="7"/>
  <c r="E82" i="7"/>
  <c r="F82" i="7"/>
  <c r="C83" i="7"/>
  <c r="D83" i="7"/>
  <c r="E83" i="7"/>
  <c r="F83" i="7"/>
  <c r="C84" i="7"/>
  <c r="D84" i="7"/>
  <c r="E84" i="7"/>
  <c r="F84" i="7"/>
  <c r="C85" i="7"/>
  <c r="D85" i="7"/>
  <c r="E85" i="7"/>
  <c r="F85" i="7"/>
  <c r="C86" i="7"/>
  <c r="D86" i="7"/>
  <c r="E86" i="7"/>
  <c r="F86" i="7"/>
  <c r="C87" i="7"/>
  <c r="D87" i="7"/>
  <c r="E87" i="7"/>
  <c r="F87" i="7"/>
  <c r="C88" i="7"/>
  <c r="D88" i="7"/>
  <c r="E88" i="7"/>
  <c r="F88" i="7"/>
  <c r="C89" i="7"/>
  <c r="D89" i="7"/>
  <c r="E89" i="7"/>
  <c r="F89" i="7"/>
  <c r="C90" i="7"/>
  <c r="D90" i="7"/>
  <c r="E90" i="7"/>
  <c r="F90" i="7"/>
  <c r="C91" i="7"/>
  <c r="D91" i="7"/>
  <c r="E91" i="7"/>
  <c r="F91" i="7"/>
  <c r="C92" i="7"/>
  <c r="D92" i="7"/>
  <c r="E92" i="7"/>
  <c r="F92" i="7"/>
  <c r="C93" i="7"/>
  <c r="D93" i="7"/>
  <c r="E93" i="7"/>
  <c r="F93" i="7"/>
  <c r="C94" i="7"/>
  <c r="D94" i="7"/>
  <c r="E94" i="7"/>
  <c r="F94" i="7"/>
  <c r="C95" i="7"/>
  <c r="D95" i="7"/>
  <c r="E95" i="7"/>
  <c r="F95" i="7"/>
  <c r="C96" i="7"/>
  <c r="D96" i="7"/>
  <c r="E96" i="7"/>
  <c r="F96" i="7"/>
  <c r="C97" i="7"/>
  <c r="D97" i="7"/>
  <c r="E97" i="7"/>
  <c r="F97" i="7"/>
  <c r="C98" i="7"/>
  <c r="D98" i="7"/>
  <c r="E98" i="7"/>
  <c r="F98" i="7"/>
  <c r="C99" i="7"/>
  <c r="D99" i="7"/>
  <c r="E99" i="7"/>
  <c r="F99" i="7"/>
  <c r="C53" i="7"/>
  <c r="D53" i="7"/>
  <c r="E53" i="7"/>
  <c r="F53" i="7"/>
  <c r="C30" i="7"/>
  <c r="D30" i="7"/>
  <c r="E30" i="7"/>
  <c r="F30" i="7"/>
  <c r="C31" i="7"/>
  <c r="D31" i="7"/>
  <c r="E31" i="7"/>
  <c r="F31" i="7"/>
  <c r="C32" i="7"/>
  <c r="D32" i="7"/>
  <c r="E32" i="7"/>
  <c r="F32" i="7"/>
  <c r="C33" i="7"/>
  <c r="D33" i="7"/>
  <c r="E33" i="7"/>
  <c r="F33" i="7"/>
  <c r="C34" i="7"/>
  <c r="D34" i="7"/>
  <c r="E34" i="7"/>
  <c r="F34" i="7"/>
  <c r="C35" i="7"/>
  <c r="D35" i="7"/>
  <c r="E35" i="7"/>
  <c r="F35" i="7"/>
  <c r="C36" i="7"/>
  <c r="D36" i="7"/>
  <c r="E36" i="7"/>
  <c r="F36" i="7"/>
  <c r="C37" i="7"/>
  <c r="D37" i="7"/>
  <c r="E37" i="7"/>
  <c r="F37" i="7"/>
  <c r="C38" i="7"/>
  <c r="D38" i="7"/>
  <c r="E38" i="7"/>
  <c r="F38" i="7"/>
  <c r="C39" i="7"/>
  <c r="D39" i="7"/>
  <c r="E39" i="7"/>
  <c r="F39" i="7"/>
  <c r="C40" i="7"/>
  <c r="D40" i="7"/>
  <c r="E40" i="7"/>
  <c r="F40" i="7"/>
  <c r="C41" i="7"/>
  <c r="D41" i="7"/>
  <c r="E41" i="7"/>
  <c r="F41" i="7"/>
  <c r="C42" i="7"/>
  <c r="D42" i="7"/>
  <c r="E42" i="7"/>
  <c r="F42" i="7"/>
  <c r="C43" i="7"/>
  <c r="D43" i="7"/>
  <c r="E43" i="7"/>
  <c r="F43" i="7"/>
  <c r="C44" i="7"/>
  <c r="D44" i="7"/>
  <c r="E44" i="7"/>
  <c r="F44" i="7"/>
  <c r="C45" i="7"/>
  <c r="D45" i="7"/>
  <c r="E45" i="7"/>
  <c r="F45" i="7"/>
  <c r="C46" i="7"/>
  <c r="D46" i="7"/>
  <c r="E46" i="7"/>
  <c r="F46" i="7"/>
  <c r="C47" i="7"/>
  <c r="D47" i="7"/>
  <c r="E47" i="7"/>
  <c r="F47" i="7"/>
  <c r="C48" i="7"/>
  <c r="D48" i="7"/>
  <c r="E48" i="7"/>
  <c r="F48" i="7"/>
  <c r="C49" i="7"/>
  <c r="D49" i="7"/>
  <c r="E49" i="7"/>
  <c r="F49" i="7"/>
  <c r="C50" i="7"/>
  <c r="D50" i="7"/>
  <c r="E50" i="7"/>
  <c r="F50" i="7"/>
  <c r="C51" i="7"/>
  <c r="D51" i="7"/>
  <c r="E51" i="7"/>
  <c r="F51" i="7"/>
  <c r="C52" i="7"/>
  <c r="D52" i="7"/>
  <c r="E52" i="7"/>
  <c r="F52" i="7"/>
  <c r="C29" i="7"/>
  <c r="D29" i="7"/>
  <c r="E29" i="7"/>
  <c r="F29" i="7"/>
  <c r="C17" i="7"/>
  <c r="D17" i="7"/>
  <c r="E17" i="7"/>
  <c r="F17" i="7"/>
  <c r="C18" i="7"/>
  <c r="D18" i="7"/>
  <c r="E18" i="7"/>
  <c r="F18" i="7"/>
  <c r="C19" i="7"/>
  <c r="D19" i="7"/>
  <c r="E19" i="7"/>
  <c r="F19" i="7"/>
  <c r="C20" i="7"/>
  <c r="D20" i="7"/>
  <c r="E20" i="7"/>
  <c r="F20" i="7"/>
  <c r="C21" i="7"/>
  <c r="D21" i="7"/>
  <c r="E21" i="7"/>
  <c r="F21" i="7"/>
  <c r="C22" i="7"/>
  <c r="D22" i="7"/>
  <c r="E22" i="7"/>
  <c r="F22" i="7"/>
  <c r="C23" i="7"/>
  <c r="D23" i="7"/>
  <c r="E23" i="7"/>
  <c r="F23" i="7"/>
  <c r="C24" i="7"/>
  <c r="D24" i="7"/>
  <c r="E24" i="7"/>
  <c r="F24" i="7"/>
  <c r="C25" i="7"/>
  <c r="D25" i="7"/>
  <c r="E25" i="7"/>
  <c r="F25" i="7"/>
  <c r="C26" i="7"/>
  <c r="D26" i="7"/>
  <c r="E26" i="7"/>
  <c r="F26" i="7"/>
  <c r="C27" i="7"/>
  <c r="D27" i="7"/>
  <c r="E27" i="7"/>
  <c r="F27" i="7"/>
  <c r="C28" i="7"/>
  <c r="D28" i="7"/>
  <c r="E28" i="7"/>
  <c r="F28" i="7"/>
  <c r="C6" i="17"/>
  <c r="D6" i="17"/>
  <c r="E6" i="17"/>
  <c r="F6" i="17"/>
  <c r="G6" i="17"/>
  <c r="C7" i="17"/>
  <c r="D7" i="17"/>
  <c r="E7" i="17"/>
  <c r="F7" i="17"/>
  <c r="G7" i="17"/>
  <c r="C8" i="17"/>
  <c r="D8" i="17"/>
  <c r="E8" i="17"/>
  <c r="F8" i="17"/>
  <c r="G8" i="17"/>
  <c r="C9" i="17"/>
  <c r="D9" i="17"/>
  <c r="E9" i="17"/>
  <c r="F9" i="17"/>
  <c r="G9" i="17"/>
  <c r="C10" i="17"/>
  <c r="D10" i="17"/>
  <c r="E10" i="17"/>
  <c r="F10" i="17"/>
  <c r="G10" i="17"/>
  <c r="C11" i="17"/>
  <c r="D11" i="17"/>
  <c r="E11" i="17"/>
  <c r="F11" i="17"/>
  <c r="G11" i="17"/>
  <c r="C12" i="17"/>
  <c r="D12" i="17"/>
  <c r="E12" i="17"/>
  <c r="F12" i="17"/>
  <c r="G12" i="17"/>
  <c r="C13" i="17"/>
  <c r="D13" i="17"/>
  <c r="E13" i="17"/>
  <c r="F13" i="17"/>
  <c r="G13" i="17"/>
  <c r="C14" i="17"/>
  <c r="D14" i="17"/>
  <c r="E14" i="17"/>
  <c r="F14" i="17"/>
  <c r="G14" i="17"/>
  <c r="C15" i="17"/>
  <c r="D15" i="17"/>
  <c r="E15" i="17"/>
  <c r="F15" i="17"/>
  <c r="G15" i="17"/>
  <c r="C16" i="17"/>
  <c r="D16" i="17"/>
  <c r="E16" i="17"/>
  <c r="F16" i="17"/>
  <c r="G16" i="17"/>
  <c r="C17" i="17"/>
  <c r="D17" i="17"/>
  <c r="E17" i="17"/>
  <c r="F17" i="17"/>
  <c r="G17" i="17"/>
  <c r="C18" i="17"/>
  <c r="D18" i="17"/>
  <c r="E18" i="17"/>
  <c r="F18" i="17"/>
  <c r="G18" i="17"/>
  <c r="C19" i="17"/>
  <c r="D19" i="17"/>
  <c r="E19" i="17"/>
  <c r="F19" i="17"/>
  <c r="G19" i="17"/>
  <c r="C20" i="17"/>
  <c r="D20" i="17"/>
  <c r="E20" i="17"/>
  <c r="F20" i="17"/>
  <c r="G20" i="17"/>
  <c r="C21" i="17"/>
  <c r="D21" i="17"/>
  <c r="E21" i="17"/>
  <c r="F21" i="17"/>
  <c r="G21" i="17"/>
  <c r="C22" i="17"/>
  <c r="D22" i="17"/>
  <c r="E22" i="17"/>
  <c r="F22" i="17"/>
  <c r="G22" i="17"/>
  <c r="C23" i="17"/>
  <c r="D23" i="17"/>
  <c r="E23" i="17"/>
  <c r="F23" i="17"/>
  <c r="G23" i="17"/>
  <c r="C24" i="17"/>
  <c r="D24" i="17"/>
  <c r="E24" i="17"/>
  <c r="F24" i="17"/>
  <c r="G24" i="17"/>
  <c r="C25" i="17"/>
  <c r="D25" i="17"/>
  <c r="E25" i="17"/>
  <c r="F25" i="17"/>
  <c r="G25" i="17"/>
  <c r="C26" i="17"/>
  <c r="D26" i="17"/>
  <c r="E26" i="17"/>
  <c r="F26" i="17"/>
  <c r="G26" i="17"/>
  <c r="C27" i="17"/>
  <c r="D27" i="17"/>
  <c r="E27" i="17"/>
  <c r="F27" i="17"/>
  <c r="G27" i="17"/>
  <c r="C28" i="17"/>
  <c r="D28" i="17"/>
  <c r="E28" i="17"/>
  <c r="F28" i="17"/>
  <c r="G28" i="17"/>
  <c r="C29" i="17"/>
  <c r="D29" i="17"/>
  <c r="E29" i="17"/>
  <c r="F29" i="17"/>
  <c r="G29" i="17"/>
  <c r="C30" i="17"/>
  <c r="D30" i="17"/>
  <c r="E30" i="17"/>
  <c r="F30" i="17"/>
  <c r="G30" i="17"/>
  <c r="C31" i="17"/>
  <c r="D31" i="17"/>
  <c r="E31" i="17"/>
  <c r="F31" i="17"/>
  <c r="G31" i="17"/>
  <c r="C32" i="17"/>
  <c r="D32" i="17"/>
  <c r="E32" i="17"/>
  <c r="F32" i="17"/>
  <c r="G32" i="17"/>
  <c r="C33" i="17"/>
  <c r="D33" i="17"/>
  <c r="E33" i="17"/>
  <c r="F33" i="17"/>
  <c r="G33" i="17"/>
  <c r="C34" i="17"/>
  <c r="D34" i="17"/>
  <c r="E34" i="17"/>
  <c r="F34" i="17"/>
  <c r="G34" i="17"/>
  <c r="C35" i="17"/>
  <c r="D35" i="17"/>
  <c r="E35" i="17"/>
  <c r="F35" i="17"/>
  <c r="G35" i="17"/>
  <c r="C36" i="17"/>
  <c r="D36" i="17"/>
  <c r="E36" i="17"/>
  <c r="F36" i="17"/>
  <c r="G36" i="17"/>
  <c r="C37" i="17"/>
  <c r="D37" i="17"/>
  <c r="E37" i="17"/>
  <c r="F37" i="17"/>
  <c r="G37" i="17"/>
  <c r="C38" i="17"/>
  <c r="D38" i="17"/>
  <c r="E38" i="17"/>
  <c r="F38" i="17"/>
  <c r="G38" i="17"/>
  <c r="C39" i="17"/>
  <c r="D39" i="17"/>
  <c r="E39" i="17"/>
  <c r="F39" i="17"/>
  <c r="G39" i="17"/>
  <c r="C40" i="17"/>
  <c r="D40" i="17"/>
  <c r="E40" i="17"/>
  <c r="F40" i="17"/>
  <c r="G40" i="17"/>
  <c r="C41" i="17"/>
  <c r="D41" i="17"/>
  <c r="E41" i="17"/>
  <c r="F41" i="17"/>
  <c r="G41" i="17"/>
  <c r="C42" i="17"/>
  <c r="D42" i="17"/>
  <c r="E42" i="17"/>
  <c r="F42" i="17"/>
  <c r="G42" i="17"/>
  <c r="C43" i="17"/>
  <c r="D43" i="17"/>
  <c r="E43" i="17"/>
  <c r="F43" i="17"/>
  <c r="G43" i="17"/>
  <c r="C44" i="17"/>
  <c r="D44" i="17"/>
  <c r="E44" i="17"/>
  <c r="F44" i="17"/>
  <c r="G44" i="17"/>
  <c r="C45" i="17"/>
  <c r="D45" i="17"/>
  <c r="E45" i="17"/>
  <c r="F45" i="17"/>
  <c r="G45" i="17"/>
  <c r="C46" i="17"/>
  <c r="D46" i="17"/>
  <c r="E46" i="17"/>
  <c r="F46" i="17"/>
  <c r="G46" i="17"/>
  <c r="C47" i="17"/>
  <c r="D47" i="17"/>
  <c r="E47" i="17"/>
  <c r="F47" i="17"/>
  <c r="G47" i="17"/>
  <c r="C48" i="17"/>
  <c r="D48" i="17"/>
  <c r="E48" i="17"/>
  <c r="F48" i="17"/>
  <c r="G48" i="17"/>
  <c r="C49" i="17"/>
  <c r="D49" i="17"/>
  <c r="E49" i="17"/>
  <c r="F49" i="17"/>
  <c r="G49" i="17"/>
  <c r="C50" i="17"/>
  <c r="D50" i="17"/>
  <c r="E50" i="17"/>
  <c r="F50" i="17"/>
  <c r="G50" i="17"/>
  <c r="C51" i="17"/>
  <c r="D51" i="17"/>
  <c r="E51" i="17"/>
  <c r="F51" i="17"/>
  <c r="G51" i="17"/>
  <c r="C52" i="17"/>
  <c r="D52" i="17"/>
  <c r="E52" i="17"/>
  <c r="F52" i="17"/>
  <c r="G52" i="17"/>
  <c r="C53" i="17"/>
  <c r="D53" i="17"/>
  <c r="E53" i="17"/>
  <c r="F53" i="17"/>
  <c r="G53" i="17"/>
  <c r="C54" i="17"/>
  <c r="D54" i="17"/>
  <c r="E54" i="17"/>
  <c r="F54" i="17"/>
  <c r="G54" i="17"/>
  <c r="C55" i="17"/>
  <c r="D55" i="17"/>
  <c r="E55" i="17"/>
  <c r="F55" i="17"/>
  <c r="G55" i="17"/>
  <c r="C56" i="17"/>
  <c r="D56" i="17"/>
  <c r="E56" i="17"/>
  <c r="F56" i="17"/>
  <c r="G56" i="17"/>
  <c r="C57" i="17"/>
  <c r="D57" i="17"/>
  <c r="E57" i="17"/>
  <c r="F57" i="17"/>
  <c r="G57" i="17"/>
  <c r="C58" i="17"/>
  <c r="D58" i="17"/>
  <c r="E58" i="17"/>
  <c r="F58" i="17"/>
  <c r="G58" i="17"/>
  <c r="C59" i="17"/>
  <c r="D59" i="17"/>
  <c r="E59" i="17"/>
  <c r="F59" i="17"/>
  <c r="G59" i="17"/>
  <c r="C60" i="17"/>
  <c r="D60" i="17"/>
  <c r="E60" i="17"/>
  <c r="F60" i="17"/>
  <c r="G60" i="17"/>
  <c r="C61" i="17"/>
  <c r="D61" i="17"/>
  <c r="E61" i="17"/>
  <c r="F61" i="17"/>
  <c r="G61" i="17"/>
  <c r="C62" i="17"/>
  <c r="D62" i="17"/>
  <c r="E62" i="17"/>
  <c r="F62" i="17"/>
  <c r="G62" i="17"/>
  <c r="C63" i="17"/>
  <c r="D63" i="17"/>
  <c r="E63" i="17"/>
  <c r="F63" i="17"/>
  <c r="G63" i="17"/>
  <c r="C64" i="17"/>
  <c r="D64" i="17"/>
  <c r="E64" i="17"/>
  <c r="F64" i="17"/>
  <c r="G64" i="17"/>
  <c r="C65" i="17"/>
  <c r="D65" i="17"/>
  <c r="E65" i="17"/>
  <c r="F65" i="17"/>
  <c r="G65" i="17"/>
  <c r="C66" i="17"/>
  <c r="D66" i="17"/>
  <c r="E66" i="17"/>
  <c r="F66" i="17"/>
  <c r="G66" i="17"/>
  <c r="C67" i="17"/>
  <c r="D67" i="17"/>
  <c r="E67" i="17"/>
  <c r="F67" i="17"/>
  <c r="G67" i="17"/>
  <c r="C68" i="17"/>
  <c r="D68" i="17"/>
  <c r="E68" i="17"/>
  <c r="F68" i="17"/>
  <c r="G68" i="17"/>
  <c r="C69" i="17"/>
  <c r="D69" i="17"/>
  <c r="E69" i="17"/>
  <c r="F69" i="17"/>
  <c r="G69" i="17"/>
  <c r="C70" i="17"/>
  <c r="D70" i="17"/>
  <c r="E70" i="17"/>
  <c r="F70" i="17"/>
  <c r="G70" i="17"/>
  <c r="C71" i="17"/>
  <c r="D71" i="17"/>
  <c r="E71" i="17"/>
  <c r="F71" i="17"/>
  <c r="G71" i="17"/>
  <c r="C72" i="17"/>
  <c r="D72" i="17"/>
  <c r="E72" i="17"/>
  <c r="F72" i="17"/>
  <c r="G72" i="17"/>
  <c r="C73" i="17"/>
  <c r="D73" i="17"/>
  <c r="E73" i="17"/>
  <c r="F73" i="17"/>
  <c r="G73" i="17"/>
  <c r="C74" i="17"/>
  <c r="D74" i="17"/>
  <c r="E74" i="17"/>
  <c r="F74" i="17"/>
  <c r="G74" i="17"/>
  <c r="C75" i="17"/>
  <c r="D75" i="17"/>
  <c r="E75" i="17"/>
  <c r="F75" i="17"/>
  <c r="G75" i="17"/>
  <c r="C76" i="17"/>
  <c r="D76" i="17"/>
  <c r="E76" i="17"/>
  <c r="F76" i="17"/>
  <c r="G76" i="17"/>
  <c r="C77" i="17"/>
  <c r="D77" i="17"/>
  <c r="E77" i="17"/>
  <c r="F77" i="17"/>
  <c r="G77" i="17"/>
  <c r="C78" i="17"/>
  <c r="D78" i="17"/>
  <c r="E78" i="17"/>
  <c r="F78" i="17"/>
  <c r="G78" i="17"/>
  <c r="C79" i="17"/>
  <c r="D79" i="17"/>
  <c r="E79" i="17"/>
  <c r="F79" i="17"/>
  <c r="G79" i="17"/>
  <c r="C80" i="17"/>
  <c r="D80" i="17"/>
  <c r="E80" i="17"/>
  <c r="F80" i="17"/>
  <c r="G80" i="17"/>
  <c r="C81" i="17"/>
  <c r="D81" i="17"/>
  <c r="E81" i="17"/>
  <c r="F81" i="17"/>
  <c r="G81" i="17"/>
  <c r="C82" i="17"/>
  <c r="D82" i="17"/>
  <c r="E82" i="17"/>
  <c r="F82" i="17"/>
  <c r="G82" i="17"/>
  <c r="C83" i="17"/>
  <c r="D83" i="17"/>
  <c r="E83" i="17"/>
  <c r="F83" i="17"/>
  <c r="G83" i="17"/>
  <c r="C84" i="17"/>
  <c r="D84" i="17"/>
  <c r="E84" i="17"/>
  <c r="F84" i="17"/>
  <c r="G84" i="17"/>
  <c r="C85" i="17"/>
  <c r="D85" i="17"/>
  <c r="E85" i="17"/>
  <c r="F85" i="17"/>
  <c r="G85" i="17"/>
  <c r="C86" i="17"/>
  <c r="D86" i="17"/>
  <c r="E86" i="17"/>
  <c r="F86" i="17"/>
  <c r="G86" i="17"/>
  <c r="C87" i="17"/>
  <c r="D87" i="17"/>
  <c r="E87" i="17"/>
  <c r="F87" i="17"/>
  <c r="G87" i="17"/>
  <c r="C88" i="17"/>
  <c r="D88" i="17"/>
  <c r="E88" i="17"/>
  <c r="F88" i="17"/>
  <c r="G88" i="17"/>
  <c r="C89" i="17"/>
  <c r="D89" i="17"/>
  <c r="E89" i="17"/>
  <c r="F89" i="17"/>
  <c r="G89" i="17"/>
  <c r="C90" i="17"/>
  <c r="D90" i="17"/>
  <c r="E90" i="17"/>
  <c r="F90" i="17"/>
  <c r="G90" i="17"/>
  <c r="C91" i="17"/>
  <c r="D91" i="17"/>
  <c r="E91" i="17"/>
  <c r="F91" i="17"/>
  <c r="G91" i="17"/>
  <c r="C92" i="17"/>
  <c r="D92" i="17"/>
  <c r="E92" i="17"/>
  <c r="F92" i="17"/>
  <c r="G92" i="17"/>
  <c r="C93" i="17"/>
  <c r="D93" i="17"/>
  <c r="E93" i="17"/>
  <c r="F93" i="17"/>
  <c r="G93" i="17"/>
  <c r="C94" i="17"/>
  <c r="D94" i="17"/>
  <c r="E94" i="17"/>
  <c r="F94" i="17"/>
  <c r="G94" i="17"/>
  <c r="C95" i="17"/>
  <c r="D95" i="17"/>
  <c r="E95" i="17"/>
  <c r="F95" i="17"/>
  <c r="G95" i="17"/>
  <c r="C96" i="17"/>
  <c r="D96" i="17"/>
  <c r="E96" i="17"/>
  <c r="F96" i="17"/>
  <c r="G96" i="17"/>
  <c r="C97" i="17"/>
  <c r="D97" i="17"/>
  <c r="E97" i="17"/>
  <c r="F97" i="17"/>
  <c r="G97" i="17"/>
  <c r="C98" i="17"/>
  <c r="D98" i="17"/>
  <c r="E98" i="17"/>
  <c r="F98" i="17"/>
  <c r="G98" i="17"/>
  <c r="C99" i="17"/>
  <c r="D99" i="17"/>
  <c r="E99" i="17"/>
  <c r="F99" i="17"/>
  <c r="G99" i="17"/>
  <c r="C100" i="17"/>
  <c r="D100" i="17"/>
  <c r="E100" i="17"/>
  <c r="F100" i="17"/>
  <c r="G100" i="17"/>
  <c r="C101" i="17"/>
  <c r="D101" i="17"/>
  <c r="E101" i="17"/>
  <c r="F101" i="17"/>
  <c r="G101" i="17"/>
  <c r="C4" i="4"/>
  <c r="C5" i="4"/>
  <c r="C6" i="4"/>
  <c r="C7" i="4"/>
  <c r="D7" i="4"/>
  <c r="D6" i="4"/>
  <c r="D5" i="4"/>
  <c r="D4" i="4"/>
  <c r="C3" i="4"/>
  <c r="D3" i="4"/>
  <c r="D4" i="22"/>
  <c r="D3" i="22"/>
  <c r="C4" i="22"/>
  <c r="C5" i="22"/>
  <c r="C6" i="22"/>
  <c r="C7" i="22"/>
  <c r="D7" i="22"/>
  <c r="D6" i="22"/>
  <c r="D5" i="22"/>
  <c r="C3" i="22"/>
  <c r="C4" i="3"/>
  <c r="C5" i="3"/>
  <c r="C6" i="3"/>
  <c r="C7" i="3"/>
  <c r="D7" i="3"/>
  <c r="D6" i="3"/>
  <c r="D5" i="3"/>
  <c r="D4" i="3"/>
  <c r="C3" i="3"/>
  <c r="D3" i="3"/>
  <c r="C16" i="7"/>
  <c r="D16" i="7"/>
  <c r="E16" i="7"/>
  <c r="F16" i="7"/>
  <c r="C15" i="7"/>
  <c r="D15" i="7"/>
  <c r="E15" i="7"/>
  <c r="F15" i="7"/>
  <c r="C14" i="7"/>
  <c r="D14" i="7"/>
  <c r="E14" i="7"/>
  <c r="F14" i="7"/>
  <c r="C13" i="7"/>
  <c r="D13" i="7"/>
  <c r="E13" i="7"/>
  <c r="F13" i="7"/>
  <c r="C12" i="7"/>
  <c r="D12" i="7"/>
  <c r="E12" i="7"/>
  <c r="F12" i="7"/>
  <c r="C11" i="7"/>
  <c r="D11" i="7"/>
  <c r="E11" i="7"/>
  <c r="F11" i="7"/>
  <c r="C10" i="7"/>
  <c r="D10" i="7"/>
  <c r="E10" i="7"/>
  <c r="F10" i="7"/>
  <c r="C9" i="7"/>
  <c r="D9" i="7"/>
  <c r="E9" i="7"/>
  <c r="F9" i="7"/>
  <c r="C8" i="7"/>
  <c r="D8" i="7"/>
  <c r="E8" i="7"/>
  <c r="F8" i="7"/>
  <c r="C7" i="7"/>
  <c r="D7" i="7"/>
  <c r="E7" i="7"/>
  <c r="F7" i="7"/>
  <c r="C6" i="7"/>
  <c r="D6" i="7"/>
  <c r="E6" i="7"/>
  <c r="F6" i="7"/>
  <c r="C5" i="7"/>
  <c r="D5" i="7"/>
  <c r="E5" i="7"/>
  <c r="F5" i="7"/>
  <c r="H5" i="22"/>
  <c r="U5" i="22"/>
  <c r="L5" i="22"/>
  <c r="V5" i="22"/>
  <c r="P5" i="22"/>
  <c r="W5" i="22"/>
  <c r="H6" i="22"/>
  <c r="U6" i="22"/>
  <c r="L6" i="22"/>
  <c r="V6" i="22"/>
  <c r="P6" i="22"/>
  <c r="W6" i="22"/>
  <c r="H7" i="22"/>
  <c r="U7" i="22"/>
  <c r="L7" i="22"/>
  <c r="V7" i="22"/>
  <c r="P7" i="22"/>
  <c r="W7" i="22"/>
  <c r="X5" i="22"/>
  <c r="X6" i="22"/>
  <c r="X7" i="22"/>
  <c r="H4" i="22"/>
  <c r="U4" i="22"/>
  <c r="L4" i="22"/>
  <c r="V4" i="22"/>
  <c r="P4" i="22"/>
  <c r="W4" i="22"/>
  <c r="X4" i="22"/>
  <c r="R4" i="22"/>
  <c r="Q7" i="22"/>
  <c r="S7" i="22"/>
  <c r="Q6" i="22"/>
  <c r="S6" i="22"/>
  <c r="Q5" i="22"/>
  <c r="S5" i="22"/>
  <c r="F7" i="2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B8" i="23"/>
  <c r="C17" i="23"/>
  <c r="C18" i="23"/>
  <c r="B10" i="23"/>
  <c r="B9" i="23"/>
  <c r="I11" i="8"/>
  <c r="C4" i="2"/>
  <c r="C5" i="2"/>
  <c r="C6" i="2"/>
  <c r="C7" i="2"/>
  <c r="C3" i="2"/>
  <c r="D21" i="23"/>
  <c r="Q4" i="22"/>
  <c r="T5" i="22"/>
  <c r="T6" i="22"/>
  <c r="T7" i="22"/>
  <c r="T4" i="22"/>
  <c r="S4" i="22"/>
  <c r="R5" i="22"/>
  <c r="R6" i="22"/>
  <c r="R7" i="22"/>
  <c r="G10" i="18"/>
  <c r="H10" i="18"/>
  <c r="G11" i="18"/>
  <c r="H11" i="18"/>
  <c r="G7" i="18"/>
  <c r="H7" i="18"/>
  <c r="G8" i="18"/>
  <c r="H8" i="18"/>
  <c r="G9" i="18"/>
  <c r="H9" i="18"/>
  <c r="D22" i="23"/>
  <c r="C5" i="17"/>
  <c r="D5" i="17"/>
  <c r="E5" i="17"/>
  <c r="F5" i="17"/>
  <c r="G5" i="17"/>
  <c r="B7" i="23"/>
  <c r="D19" i="23"/>
  <c r="D18" i="23"/>
  <c r="D17" i="23"/>
  <c r="G8" i="14"/>
  <c r="H8" i="14"/>
  <c r="G9" i="14"/>
  <c r="H9" i="14"/>
  <c r="G10" i="14"/>
  <c r="H10" i="14"/>
  <c r="G11" i="14"/>
  <c r="H11" i="14"/>
  <c r="H7" i="14"/>
  <c r="G7" i="14"/>
  <c r="J4" i="4"/>
  <c r="J5" i="4"/>
  <c r="J6" i="4"/>
  <c r="J7" i="4"/>
  <c r="J3" i="4"/>
  <c r="L11" i="8"/>
  <c r="L13" i="8"/>
  <c r="L14" i="8"/>
  <c r="H7" i="21"/>
  <c r="G7" i="21"/>
  <c r="G8" i="21"/>
  <c r="I4" i="4"/>
  <c r="I5" i="4"/>
  <c r="I6" i="4"/>
  <c r="I7" i="4"/>
  <c r="I3" i="4"/>
  <c r="Q7" i="3"/>
  <c r="S7" i="3"/>
  <c r="R7" i="3"/>
  <c r="Q6" i="3"/>
  <c r="S6" i="3"/>
  <c r="R6" i="3"/>
  <c r="Q5" i="3"/>
  <c r="S5" i="3"/>
  <c r="R5" i="3"/>
  <c r="Q4" i="3"/>
  <c r="S4" i="3"/>
  <c r="R4" i="3"/>
  <c r="D4" i="2"/>
  <c r="D5" i="2"/>
  <c r="D6" i="2"/>
  <c r="D7" i="2"/>
  <c r="D3" i="2"/>
  <c r="H7" i="19"/>
  <c r="G7" i="19"/>
  <c r="I3" i="8"/>
  <c r="H3" i="8"/>
  <c r="H11" i="21"/>
  <c r="G11" i="21"/>
  <c r="H10" i="21"/>
  <c r="G10" i="21"/>
  <c r="H9" i="21"/>
  <c r="G9" i="21"/>
  <c r="H8" i="21"/>
  <c r="H11" i="20"/>
  <c r="G11" i="20"/>
  <c r="H10" i="20"/>
  <c r="G10" i="20"/>
  <c r="H9" i="20"/>
  <c r="G9" i="20"/>
  <c r="H8" i="20"/>
  <c r="G8" i="20"/>
  <c r="H7" i="20"/>
  <c r="G7" i="20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7" i="16"/>
  <c r="G8" i="16"/>
  <c r="G9" i="16"/>
  <c r="G10" i="16"/>
  <c r="G11" i="16"/>
  <c r="G7" i="16"/>
  <c r="H8" i="15"/>
  <c r="H9" i="15"/>
  <c r="H10" i="15"/>
  <c r="H11" i="15"/>
  <c r="H7" i="15"/>
  <c r="G8" i="15"/>
  <c r="G9" i="15"/>
  <c r="G10" i="15"/>
  <c r="G11" i="15"/>
  <c r="G7" i="15"/>
  <c r="P11" i="8"/>
  <c r="H11" i="8"/>
  <c r="U3" i="8"/>
  <c r="Q3" i="8"/>
  <c r="M3" i="8"/>
  <c r="Q11" i="8"/>
  <c r="M11" i="8"/>
  <c r="T3" i="8"/>
  <c r="P3" i="8"/>
  <c r="L3" i="8"/>
  <c r="G3" i="5"/>
  <c r="P12" i="8"/>
  <c r="I12" i="8"/>
  <c r="Q12" i="8"/>
  <c r="H12" i="8"/>
  <c r="G4" i="5"/>
  <c r="P5" i="8"/>
  <c r="I5" i="8"/>
  <c r="H5" i="8"/>
  <c r="T5" i="8"/>
  <c r="Q13" i="8"/>
  <c r="Q5" i="8"/>
  <c r="P13" i="8"/>
  <c r="H13" i="8"/>
  <c r="L5" i="8"/>
  <c r="M13" i="8"/>
  <c r="U5" i="8"/>
  <c r="I13" i="8"/>
  <c r="M5" i="8"/>
  <c r="G5" i="5"/>
  <c r="I6" i="8"/>
  <c r="M14" i="8"/>
  <c r="I14" i="8"/>
  <c r="Q14" i="8"/>
  <c r="P6" i="8"/>
  <c r="P14" i="8"/>
  <c r="H14" i="8"/>
  <c r="L6" i="8"/>
  <c r="U6" i="8"/>
  <c r="Q6" i="8"/>
  <c r="T6" i="8"/>
  <c r="M6" i="8"/>
  <c r="P15" i="8"/>
  <c r="Q15" i="8"/>
  <c r="I15" i="8"/>
  <c r="H15" i="8"/>
  <c r="G6" i="5"/>
  <c r="G7" i="5"/>
  <c r="D20" i="23"/>
  <c r="C20" i="23"/>
  <c r="C15" i="23"/>
  <c r="C16" i="23"/>
  <c r="D15" i="23"/>
  <c r="B12" i="23"/>
  <c r="D16" i="23"/>
  <c r="C19" i="23"/>
  <c r="C21" i="23"/>
  <c r="C22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<sst xmlns="http://schemas.openxmlformats.org/spreadsheetml/2006/main" count="572" uniqueCount="238">
  <si>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</si>
  <si>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</si>
  <si>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</si>
  <si>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</si>
  <si>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</si>
  <si>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</si>
  <si>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</si>
  <si>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</si>
  <si>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</si>
  <si>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</si>
  <si>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</si>
  <si>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</si>
  <si>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</si>
  <si>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</si>
  <si>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</si>
  <si>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</si>
  <si>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</si>
  <si>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</si>
  <si>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</si>
  <si>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</si>
  <si>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</si>
  <si>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</si>
  <si>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</si>
  <si>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</si>
  <si>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</si>
  <si>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</si>
  <si>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</si>
  <si>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</si>
  <si>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</si>
  <si>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</si>
  <si>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</si>
  <si>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</si>
  <si>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</si>
  <si>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</si>
  <si>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</si>
  <si>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</si>
  <si>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</si>
  <si>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</si>
  <si>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</si>
  <si>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</si>
  <si>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</si>
  <si>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</si>
  <si>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</si>
  <si>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</si>
  <si>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</si>
  <si>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</si>
  <si>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</si>
  <si>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</si>
  <si>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</si>
  <si>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</si>
  <si>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</si>
  <si>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</si>
  <si>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</si>
  <si>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</si>
  <si>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</si>
  <si>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</si>
  <si>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</si>
  <si>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</si>
  <si>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</si>
  <si>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</si>
  <si>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</si>
  <si>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</si>
  <si>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</si>
  <si>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</si>
  <si>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</si>
  <si>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</si>
  <si>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</si>
  <si>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</si>
  <si>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</si>
  <si>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</si>
  <si>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</si>
  <si>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</si>
  <si>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</si>
  <si>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</si>
  <si>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</si>
  <si>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</si>
  <si>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</si>
  <si>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</si>
  <si>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</si>
  <si>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</si>
  <si>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</si>
  <si>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</si>
  <si>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</si>
  <si>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</si>
  <si>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</si>
  <si>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</si>
  <si>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</si>
  <si>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</si>
  <si>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</si>
  <si>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</si>
  <si>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</si>
  <si>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</si>
  <si>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</si>
  <si>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Na-acetate trihydrate (50 mM)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</si>
  <si>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</si>
  <si>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</si>
  <si>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</si>
  <si>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</si>
  <si>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</si>
  <si>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</si>
  <si>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</si>
  <si>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</si>
  <si>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</si>
  <si>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</si>
  <si>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</si>
  <si>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</si>
  <si>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</si>
  <si>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</si>
  <si>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</si>
  <si>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</si>
  <si>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</si>
  <si>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</si>
  <si>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</si>
  <si>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</si>
  <si>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</si>
  <si>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</si>
  <si>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</si>
  <si>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</si>
  <si>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</si>
  <si>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</si>
  <si>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</si>
  <si>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</si>
  <si>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</si>
  <si>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</si>
  <si>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Acetic acid consumed</t>
  </si>
  <si>
    <t>Formic acid produced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</si>
  <si>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</si>
  <si>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</si>
  <si>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</si>
  <si>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</si>
  <si>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r>
      <rPr>
        <i/>
        <sz val="11"/>
        <color theme="1"/>
        <rFont val="Calibri"/>
        <family val="2"/>
        <scheme val="minor"/>
      </rPr>
      <t xml:space="preserve">Faecalibacterium prausnitzii </t>
    </r>
    <r>
      <rPr>
        <sz val="11"/>
        <color theme="1"/>
        <rFont val="Calibri"/>
        <family val="2"/>
        <scheme val="minor"/>
      </rPr>
      <t>DSM 17677</t>
    </r>
    <r>
      <rPr>
        <vertAlign val="superscript"/>
        <sz val="11"/>
        <color theme="1"/>
        <rFont val="Calibri"/>
        <family val="2"/>
        <scheme val="minor"/>
      </rPr>
      <t>T</t>
    </r>
  </si>
  <si>
    <t>Theoretical</t>
  </si>
  <si>
    <t>Experimental</t>
  </si>
  <si>
    <t>x</t>
  </si>
  <si>
    <t>2x</t>
  </si>
  <si>
    <t>z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</si>
  <si>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</si>
  <si>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</si>
  <si>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</si>
  <si>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</si>
  <si>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</si>
  <si>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</si>
  <si>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</si>
  <si>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</si>
  <si>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</si>
  <si>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</si>
  <si>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6.80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</si>
  <si>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</si>
  <si>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</si>
  <si>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</si>
  <si>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STDEV LOG(Count/mL)</t>
  </si>
  <si>
    <t>LOG</t>
  </si>
  <si>
    <t>0.40</t>
  </si>
  <si>
    <t>0.20</t>
  </si>
  <si>
    <t>K3</t>
  </si>
  <si>
    <t>K4</t>
  </si>
  <si>
    <t>K5</t>
  </si>
  <si>
    <t>K6</t>
  </si>
  <si>
    <t>K7</t>
  </si>
  <si>
    <t>2x moles pyruvate produced</t>
  </si>
  <si>
    <t>z moles lactate produced</t>
  </si>
  <si>
    <t>f moles formate produced</t>
  </si>
  <si>
    <t>2x-z-f moles CO2 produced</t>
  </si>
  <si>
    <t>y moles acetate consumed</t>
  </si>
  <si>
    <t>2x-z+y moles acetyl-CoA produced</t>
  </si>
  <si>
    <t>(2x-2+y)/2 moles butyrate produced</t>
  </si>
  <si>
    <t>0 moles H2</t>
  </si>
  <si>
    <t>x moles D-fructose consumed</t>
  </si>
  <si>
    <t>Continuous addition of potassium ferrocyanide trihydrate (2g/l solution in 250 ml bottle, 4.5 ml/min * 1% = 4.5 ml/ 100 min).</t>
  </si>
  <si>
    <t xml:space="preserve">Initial Volume Fermentor after inoculation (mL) </t>
  </si>
  <si>
    <t>Oxidant (mL)</t>
  </si>
  <si>
    <t xml:space="preserve">Volume (ul) </t>
  </si>
  <si>
    <t>Outliers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</si>
  <si>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</si>
  <si>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</si>
  <si>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</si>
  <si>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</si>
  <si>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</si>
  <si>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</si>
  <si>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</si>
  <si>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</si>
  <si>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</si>
  <si>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</si>
  <si>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</si>
  <si>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</si>
  <si>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</si>
  <si>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</si>
  <si>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</si>
  <si>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</si>
  <si>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</si>
  <si>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</si>
  <si>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</si>
  <si>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</si>
  <si>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</si>
  <si>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</si>
  <si>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 per mL</t>
  </si>
  <si>
    <t>CT2 normalized per mL</t>
  </si>
  <si>
    <t>CT3 normalized per mL</t>
  </si>
  <si>
    <t>Average CT normalized per mL</t>
  </si>
  <si>
    <t>outliers</t>
  </si>
  <si>
    <t>IPC FP10 epp</t>
  </si>
  <si>
    <t>Threshold</t>
  </si>
  <si>
    <t>AUTO</t>
  </si>
  <si>
    <t>Ct Threshold</t>
  </si>
  <si>
    <t>baseline</t>
  </si>
  <si>
    <t>Rico</t>
  </si>
  <si>
    <t>intercept</t>
  </si>
  <si>
    <t>Efficiency E (%)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</si>
  <si>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</si>
  <si>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</si>
  <si>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</si>
  <si>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</si>
  <si>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</si>
  <si>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</si>
  <si>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</si>
  <si>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</si>
  <si>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</si>
  <si>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</si>
  <si>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</si>
  <si>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</si>
  <si>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  (cells/ml medium)</t>
  </si>
  <si>
    <t>Log (cells/ml medium)</t>
  </si>
  <si>
    <t>STDV Log (cells/ml medium)</t>
  </si>
  <si>
    <t>Total Average</t>
  </si>
  <si>
    <t>F. prausnitzii</t>
  </si>
  <si>
    <t>Dilution log (10x)</t>
  </si>
  <si>
    <t xml:space="preserve">Dilution </t>
  </si>
  <si>
    <t>IPC value epp 10 plate 20150707</t>
  </si>
  <si>
    <t>IPC value  epp 10 plate 20150702</t>
  </si>
  <si>
    <t>IPC value epp 10 plate 20150708</t>
  </si>
  <si>
    <t>IPC value epp 10 plate 20150709</t>
  </si>
  <si>
    <t>IPC value epp 9 plate 20150715</t>
  </si>
  <si>
    <t>IPC value epp 9 plate 20150717</t>
  </si>
  <si>
    <t>IPC value epp 9 plate 201507120</t>
  </si>
  <si>
    <t>IPC value epp 8 plate 20150722</t>
  </si>
  <si>
    <t>IPC value epp 9 plate 20150714</t>
  </si>
  <si>
    <t>IPC value epp 8 plate 20150729</t>
  </si>
  <si>
    <t>IPC value epp 7 plate 20150730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</si>
</sst>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i/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90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9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18" fillId="0" borderId="16" xfId="0" applyNumberFormat="1" applyFont="1" applyBorder="1" applyAlignment="1">
      <alignment horizontal="center" vertical="center"/>
    </xf>
    <xf numFmtId="164" fontId="18" fillId="0" borderId="18" xfId="0" applyNumberFormat="1" applyFont="1" applyBorder="1" applyAlignment="1">
      <alignment horizontal="center" vertical="center"/>
    </xf>
    <xf numFmtId="164" fontId="24" fillId="0" borderId="3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18" fillId="11" borderId="0" xfId="0" applyFont="1" applyFill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0" fillId="0" borderId="0" xfId="0" applyNumberFormat="1"/>
    <xf numFmtId="165" fontId="25" fillId="0" borderId="0" xfId="0" applyNumberFormat="1" applyFont="1"/>
    <xf numFmtId="165" fontId="26" fillId="0" borderId="0" xfId="0" applyNumberFormat="1" applyFont="1"/>
    <xf numFmtId="0" fontId="0" fillId="0" borderId="0" xfId="0" applyAlignment="1">
      <alignment horizontal="center" vertical="center" wrapText="1"/>
    </xf>
    <xf numFmtId="0" fontId="27" fillId="0" borderId="0" xfId="0" applyFont="1"/>
    <xf numFmtId="0" fontId="29" fillId="0" borderId="0" xfId="361"/>
    <xf numFmtId="0" fontId="29" fillId="2" borderId="4" xfId="361" applyFill="1" applyBorder="1" applyAlignment="1">
      <alignment horizontal="center" vertical="center"/>
    </xf>
    <xf numFmtId="0" fontId="29" fillId="2" borderId="16" xfId="361" applyFill="1" applyBorder="1" applyAlignment="1">
      <alignment horizontal="center" vertical="center"/>
    </xf>
    <xf numFmtId="0" fontId="29" fillId="2" borderId="3" xfId="361" applyFill="1" applyBorder="1" applyAlignment="1">
      <alignment horizontal="center" vertical="center"/>
    </xf>
    <xf numFmtId="0" fontId="29" fillId="0" borderId="3" xfId="361" applyFill="1" applyBorder="1" applyAlignment="1">
      <alignment horizontal="center" vertical="center"/>
    </xf>
    <xf numFmtId="0" fontId="29" fillId="0" borderId="16" xfId="361" applyFill="1" applyBorder="1" applyAlignment="1">
      <alignment horizontal="center" vertical="center"/>
    </xf>
    <xf numFmtId="11" fontId="29" fillId="0" borderId="16" xfId="361" applyNumberFormat="1" applyFill="1" applyBorder="1" applyAlignment="1">
      <alignment horizontal="center" vertical="center"/>
    </xf>
    <xf numFmtId="0" fontId="0" fillId="0" borderId="16" xfId="361" applyFont="1" applyBorder="1" applyAlignment="1">
      <alignment horizontal="center" vertical="center"/>
    </xf>
    <xf numFmtId="0" fontId="29" fillId="0" borderId="16" xfId="361" applyBorder="1" applyAlignment="1">
      <alignment horizontal="center" vertical="center"/>
    </xf>
    <xf numFmtId="11" fontId="29" fillId="0" borderId="16" xfId="361" applyNumberFormat="1" applyBorder="1" applyAlignment="1">
      <alignment horizontal="center" vertical="center"/>
    </xf>
    <xf numFmtId="2" fontId="29" fillId="0" borderId="16" xfId="361" applyNumberFormat="1" applyBorder="1" applyAlignment="1">
      <alignment horizontal="center" vertical="center"/>
    </xf>
    <xf numFmtId="0" fontId="0" fillId="0" borderId="0" xfId="361" applyFont="1"/>
    <xf numFmtId="0" fontId="29" fillId="2" borderId="22" xfId="361" applyFill="1" applyBorder="1" applyAlignment="1">
      <alignment wrapText="1"/>
    </xf>
    <xf numFmtId="0" fontId="0" fillId="2" borderId="22" xfId="361" applyFont="1" applyFill="1" applyBorder="1" applyAlignment="1">
      <alignment wrapText="1"/>
    </xf>
    <xf numFmtId="0" fontId="0" fillId="2" borderId="22" xfId="361" applyFont="1" applyFill="1" applyBorder="1" applyAlignment="1">
      <alignment horizontal="center" vertical="center" wrapText="1"/>
    </xf>
    <xf numFmtId="165" fontId="29" fillId="0" borderId="16" xfId="361" applyNumberFormat="1" applyBorder="1" applyAlignment="1">
      <alignment horizontal="center" vertical="center"/>
    </xf>
    <xf numFmtId="165" fontId="29" fillId="0" borderId="16" xfId="361" applyNumberFormat="1" applyBorder="1"/>
    <xf numFmtId="165" fontId="29" fillId="0" borderId="0" xfId="361" applyNumberFormat="1"/>
    <xf numFmtId="0" fontId="29" fillId="2" borderId="16" xfId="361" applyFill="1" applyBorder="1"/>
    <xf numFmtId="0" fontId="30" fillId="0" borderId="16" xfId="361" applyFont="1" applyBorder="1"/>
    <xf numFmtId="0" fontId="29" fillId="0" borderId="16" xfId="361" applyBorder="1"/>
    <xf numFmtId="165" fontId="25" fillId="0" borderId="18" xfId="0" applyNumberFormat="1" applyFont="1" applyBorder="1" applyAlignment="1">
      <alignment horizontal="center" vertical="center"/>
    </xf>
    <xf numFmtId="2" fontId="29" fillId="0" borderId="16" xfId="361" applyNumberFormat="1" applyBorder="1"/>
    <xf numFmtId="1" fontId="29" fillId="0" borderId="16" xfId="361" applyNumberFormat="1" applyBorder="1"/>
    <xf numFmtId="165" fontId="25" fillId="0" borderId="16" xfId="0" applyNumberFormat="1" applyFont="1" applyBorder="1" applyAlignment="1">
      <alignment horizontal="center" vertical="center"/>
    </xf>
    <xf numFmtId="0" fontId="31" fillId="12" borderId="0" xfId="361" applyFont="1" applyFill="1"/>
    <xf numFmtId="0" fontId="0" fillId="0" borderId="16" xfId="361" applyFont="1" applyBorder="1"/>
    <xf numFmtId="0" fontId="0" fillId="0" borderId="0" xfId="361" applyFont="1" applyFill="1" applyBorder="1"/>
    <xf numFmtId="165" fontId="25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5" fontId="29" fillId="0" borderId="0" xfId="361" applyNumberFormat="1" applyBorder="1" applyAlignment="1">
      <alignment horizontal="center" vertical="center"/>
    </xf>
    <xf numFmtId="165" fontId="29" fillId="0" borderId="0" xfId="361" applyNumberFormat="1" applyBorder="1"/>
    <xf numFmtId="2" fontId="29" fillId="0" borderId="0" xfId="361" applyNumberFormat="1" applyBorder="1"/>
    <xf numFmtId="1" fontId="29" fillId="0" borderId="0" xfId="361" applyNumberFormat="1" applyBorder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21" xfId="361" applyFont="1" applyBorder="1" applyAlignment="1">
      <alignment horizontal="center"/>
    </xf>
    <xf numFmtId="0" fontId="29" fillId="0" borderId="21" xfId="361" applyBorder="1" applyAlignment="1">
      <alignment horizontal="center"/>
    </xf>
    <xf numFmtId="0" fontId="29" fillId="0" borderId="17" xfId="361" applyNumberFormat="1" applyFill="1" applyBorder="1" applyAlignment="1">
      <alignment horizontal="center" vertical="center"/>
    </xf>
    <xf numFmtId="0" fontId="29" fillId="0" borderId="5" xfId="361" applyNumberFormat="1" applyFill="1" applyBorder="1" applyAlignment="1">
      <alignment horizontal="center" vertical="center"/>
    </xf>
    <xf numFmtId="0" fontId="29" fillId="0" borderId="18" xfId="361" applyNumberFormat="1" applyFill="1" applyBorder="1" applyAlignment="1">
      <alignment horizontal="center" vertical="center"/>
    </xf>
    <xf numFmtId="0" fontId="29" fillId="2" borderId="4" xfId="361" applyFill="1" applyBorder="1" applyAlignment="1">
      <alignment horizontal="center" vertical="center"/>
    </xf>
    <xf numFmtId="0" fontId="29" fillId="2" borderId="3" xfId="361" applyFill="1" applyBorder="1" applyAlignment="1">
      <alignment horizontal="center" vertical="center"/>
    </xf>
    <xf numFmtId="0" fontId="0" fillId="2" borderId="4" xfId="361" applyFont="1" applyFill="1" applyBorder="1" applyAlignment="1">
      <alignment horizontal="center" vertical="center"/>
    </xf>
    <xf numFmtId="0" fontId="29" fillId="2" borderId="16" xfId="361" applyFill="1" applyBorder="1" applyAlignment="1">
      <alignment horizontal="center" vertical="center"/>
    </xf>
    <xf numFmtId="0" fontId="0" fillId="2" borderId="21" xfId="361" applyFont="1" applyFill="1" applyBorder="1" applyAlignment="1">
      <alignment horizontal="center" vertical="center"/>
    </xf>
    <xf numFmtId="0" fontId="0" fillId="2" borderId="0" xfId="361" applyFont="1" applyFill="1" applyBorder="1" applyAlignment="1">
      <alignment horizontal="center" vertical="center"/>
    </xf>
    <xf numFmtId="0" fontId="0" fillId="2" borderId="23" xfId="361" applyFont="1" applyFill="1" applyBorder="1" applyAlignment="1">
      <alignment horizontal="center" vertical="center"/>
    </xf>
    <xf numFmtId="0" fontId="0" fillId="2" borderId="24" xfId="36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390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Input" xfId="10"/>
    <cellStyle name="Linked Cell" xfId="11"/>
    <cellStyle name="Neutral" xfId="12"/>
    <cellStyle name="Normal" xfId="0" builtinId="0"/>
    <cellStyle name="Normal 2" xfId="361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hartsheet" Target="chartsheets/sheet2.xml"/><Relationship Id="rId21" Type="http://schemas.openxmlformats.org/officeDocument/2006/relationships/worksheet" Target="worksheets/sheet19.xml"/><Relationship Id="rId22" Type="http://schemas.openxmlformats.org/officeDocument/2006/relationships/externalLink" Target="externalLinks/externalLink1.xml"/><Relationship Id="rId23" Type="http://schemas.openxmlformats.org/officeDocument/2006/relationships/theme" Target="theme/theme1.xml"/><Relationship Id="rId24" Type="http://schemas.openxmlformats.org/officeDocument/2006/relationships/connections" Target="connections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('[1]Calibration F. prausnitzii'!$R$4:$R$5,'[1]Calibration F. prausnitzii'!$R$7:$R$9,'[1]Calibration F. prausnitzii'!$R$12:$R$18)</c:f>
              <c:numCache>
                <c:formatCode>General</c:formatCode>
                <c:ptCount val="12"/>
                <c:pt idx="0">
                  <c:v>8.615856001921256</c:v>
                </c:pt>
                <c:pt idx="1">
                  <c:v>7.578787169009893</c:v>
                </c:pt>
                <c:pt idx="2">
                  <c:v>5.16625245195416</c:v>
                </c:pt>
                <c:pt idx="3">
                  <c:v>4.327142945090009</c:v>
                </c:pt>
                <c:pt idx="4">
                  <c:v>8.5970052819172</c:v>
                </c:pt>
                <c:pt idx="5">
                  <c:v>7.638654956108294</c:v>
                </c:pt>
                <c:pt idx="6">
                  <c:v>7.317915960046743</c:v>
                </c:pt>
                <c:pt idx="7">
                  <c:v>6.979500247162297</c:v>
                </c:pt>
                <c:pt idx="8">
                  <c:v>6.727141401256697</c:v>
                </c:pt>
                <c:pt idx="9">
                  <c:v>6.258345785566837</c:v>
                </c:pt>
                <c:pt idx="10">
                  <c:v>5.898754948228658</c:v>
                </c:pt>
                <c:pt idx="11">
                  <c:v>5.513685518117733</c:v>
                </c:pt>
              </c:numCache>
            </c:numRef>
          </c:xVal>
          <c:yVal>
            <c:numRef>
              <c:f>('[1]Calibration F. prausnitzii'!$L$23:$L$24,'[1]Calibration F. prausnitzii'!$L$26:$L$28,'[1]Calibration F. prausnitzii'!$L$31:$L$37)</c:f>
              <c:numCache>
                <c:formatCode>General</c:formatCode>
                <c:ptCount val="12"/>
                <c:pt idx="0">
                  <c:v>7.615938071690805</c:v>
                </c:pt>
                <c:pt idx="1">
                  <c:v>10.99721674549859</c:v>
                </c:pt>
                <c:pt idx="2">
                  <c:v>18.92516283619683</c:v>
                </c:pt>
                <c:pt idx="3">
                  <c:v>22.15071698455295</c:v>
                </c:pt>
                <c:pt idx="4">
                  <c:v>7.926772761510367</c:v>
                </c:pt>
                <c:pt idx="5">
                  <c:v>11.08311685737625</c:v>
                </c:pt>
                <c:pt idx="6">
                  <c:v>13.44173781888341</c:v>
                </c:pt>
                <c:pt idx="7">
                  <c:v>14.0348183395133</c:v>
                </c:pt>
                <c:pt idx="8">
                  <c:v>13.99912230985021</c:v>
                </c:pt>
                <c:pt idx="9">
                  <c:v>15.79201794481929</c:v>
                </c:pt>
                <c:pt idx="10">
                  <c:v>16.9694255274202</c:v>
                </c:pt>
                <c:pt idx="11">
                  <c:v>17.46778266446447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60936"/>
        <c:axId val="-2121866984"/>
      </c:scatterChart>
      <c:valAx>
        <c:axId val="-2121860936"/>
        <c:scaling>
          <c:orientation val="minMax"/>
          <c:max val="15.0"/>
          <c:min val="0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21866984"/>
        <c:crosses val="autoZero"/>
        <c:crossBetween val="midCat"/>
        <c:majorUnit val="2.0"/>
      </c:valAx>
      <c:valAx>
        <c:axId val="-212186698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-2121860936"/>
        <c:crosses val="autoZero"/>
        <c:crossBetween val="midCat"/>
        <c:minorUnit val="1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58719504324"/>
          <c:y val="0.0157103087009521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Metabolites!$M$4:$M$7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0.0</c:v>
                  </c:pt>
                  <c:pt idx="2">
                    <c:v>0.0488753097738684</c:v>
                  </c:pt>
                  <c:pt idx="3">
                    <c:v>0.110534055565029</c:v>
                  </c:pt>
                </c:numCache>
              </c:numRef>
            </c:plus>
            <c:minus>
              <c:numRef>
                <c:f>Metabolites!$M$4:$M$7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0.0</c:v>
                  </c:pt>
                  <c:pt idx="2">
                    <c:v>0.0488753097738684</c:v>
                  </c:pt>
                  <c:pt idx="3">
                    <c:v>0.110534055565029</c:v>
                  </c:pt>
                </c:numCache>
              </c:numRef>
            </c:minus>
          </c:errBars>
          <c:xVal>
            <c:numRef>
              <c:f>Metabolites!$E$4:$E$7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Metabolites!$L$4:$L$7</c:f>
              <c:numCache>
                <c:formatCode>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0.684254336834157</c:v>
                </c:pt>
                <c:pt idx="3">
                  <c:v>2.130093123911812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triang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Metabolites!$Q$4:$Q$7</c:f>
                <c:numCache>
                  <c:formatCode>General</c:formatCode>
                  <c:ptCount val="4"/>
                  <c:pt idx="0">
                    <c:v>0.490621810579726</c:v>
                  </c:pt>
                  <c:pt idx="1">
                    <c:v>0.646158797649884</c:v>
                  </c:pt>
                  <c:pt idx="2">
                    <c:v>0.744086630091655</c:v>
                  </c:pt>
                  <c:pt idx="3">
                    <c:v>0.481666654026114</c:v>
                  </c:pt>
                </c:numCache>
              </c:numRef>
            </c:plus>
            <c:minus>
              <c:numRef>
                <c:f>Metabolites!$Q$4:$Q$7</c:f>
                <c:numCache>
                  <c:formatCode>General</c:formatCode>
                  <c:ptCount val="4"/>
                  <c:pt idx="0">
                    <c:v>0.490621810579726</c:v>
                  </c:pt>
                  <c:pt idx="1">
                    <c:v>0.646158797649884</c:v>
                  </c:pt>
                  <c:pt idx="2">
                    <c:v>0.744086630091655</c:v>
                  </c:pt>
                  <c:pt idx="3">
                    <c:v>0.481666654026114</c:v>
                  </c:pt>
                </c:numCache>
              </c:numRef>
            </c:minus>
          </c:errBars>
          <c:xVal>
            <c:numRef>
              <c:f>Metabolites!$E$4:$E$7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Metabolites!$P$4:$P$7</c:f>
              <c:numCache>
                <c:formatCode>0</c:formatCode>
                <c:ptCount val="4"/>
                <c:pt idx="0">
                  <c:v>49.32556203164031</c:v>
                </c:pt>
                <c:pt idx="1">
                  <c:v>46.02078987603247</c:v>
                </c:pt>
                <c:pt idx="2">
                  <c:v>39.22461330341524</c:v>
                </c:pt>
                <c:pt idx="3">
                  <c:v>41.6785997207813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Metabolites!$U$4:$U$7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0.0447821864395361</c:v>
                  </c:pt>
                  <c:pt idx="2">
                    <c:v>0.433945090431026</c:v>
                  </c:pt>
                  <c:pt idx="3">
                    <c:v>0.406203918290016</c:v>
                  </c:pt>
                </c:numCache>
              </c:numRef>
            </c:plus>
            <c:minus>
              <c:numRef>
                <c:f>Metabolites!$U$4:$U$7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0.0447821864395361</c:v>
                  </c:pt>
                  <c:pt idx="2">
                    <c:v>0.433945090431026</c:v>
                  </c:pt>
                  <c:pt idx="3">
                    <c:v>0.406203918290016</c:v>
                  </c:pt>
                </c:numCache>
              </c:numRef>
            </c:minus>
          </c:errBars>
          <c:xVal>
            <c:numRef>
              <c:f>Metabolites!$E$4:$E$7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Metabolites!$T$4:$T$7</c:f>
              <c:numCache>
                <c:formatCode>0</c:formatCode>
                <c:ptCount val="4"/>
                <c:pt idx="0">
                  <c:v>0.0</c:v>
                </c:pt>
                <c:pt idx="1">
                  <c:v>2.910842118569847</c:v>
                </c:pt>
                <c:pt idx="2">
                  <c:v>25.80908001040001</c:v>
                </c:pt>
                <c:pt idx="3">
                  <c:v>28.93178717682878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0.00540516114982578</c:v>
                </c:pt>
                <c:pt idx="3">
                  <c:v>0.0160126306620209</c:v>
                </c:pt>
                <c:pt idx="4">
                  <c:v>0.026547256097561</c:v>
                </c:pt>
                <c:pt idx="5">
                  <c:v>0.0374348089845694</c:v>
                </c:pt>
                <c:pt idx="6">
                  <c:v>0.0496076095072175</c:v>
                </c:pt>
                <c:pt idx="7">
                  <c:v>0.065069657804861</c:v>
                </c:pt>
                <c:pt idx="8">
                  <c:v>0.0858797085312157</c:v>
                </c:pt>
                <c:pt idx="9">
                  <c:v>0.112852768438857</c:v>
                </c:pt>
                <c:pt idx="10">
                  <c:v>0.148006046323438</c:v>
                </c:pt>
                <c:pt idx="11">
                  <c:v>0.190615119781369</c:v>
                </c:pt>
                <c:pt idx="12">
                  <c:v>0.23618859976247</c:v>
                </c:pt>
                <c:pt idx="13">
                  <c:v>0.286762314919264</c:v>
                </c:pt>
                <c:pt idx="14">
                  <c:v>0.344131761783376</c:v>
                </c:pt>
                <c:pt idx="15">
                  <c:v>0.407182719971529</c:v>
                </c:pt>
                <c:pt idx="16">
                  <c:v>0.476295089309508</c:v>
                </c:pt>
                <c:pt idx="17">
                  <c:v>0.553467590398358</c:v>
                </c:pt>
                <c:pt idx="18">
                  <c:v>0.639944545662171</c:v>
                </c:pt>
                <c:pt idx="19">
                  <c:v>0.737083498699168</c:v>
                </c:pt>
                <c:pt idx="20">
                  <c:v>0.846947265177349</c:v>
                </c:pt>
                <c:pt idx="21">
                  <c:v>0.971739719893115</c:v>
                </c:pt>
                <c:pt idx="22">
                  <c:v>1.121223689220967</c:v>
                </c:pt>
                <c:pt idx="23">
                  <c:v>1.302428384857919</c:v>
                </c:pt>
                <c:pt idx="24">
                  <c:v>1.518385084789784</c:v>
                </c:pt>
                <c:pt idx="25">
                  <c:v>1.782659020049864</c:v>
                </c:pt>
                <c:pt idx="26">
                  <c:v>2.111146000512781</c:v>
                </c:pt>
                <c:pt idx="27">
                  <c:v>2.524481257481422</c:v>
                </c:pt>
                <c:pt idx="28">
                  <c:v>3.027604958638714</c:v>
                </c:pt>
                <c:pt idx="29">
                  <c:v>3.616720123988391</c:v>
                </c:pt>
                <c:pt idx="30">
                  <c:v>4.288305167075748</c:v>
                </c:pt>
                <c:pt idx="31">
                  <c:v>4.961508062639462</c:v>
                </c:pt>
                <c:pt idx="32">
                  <c:v>5.67286886481094</c:v>
                </c:pt>
                <c:pt idx="33">
                  <c:v>6.469778945230303</c:v>
                </c:pt>
                <c:pt idx="34">
                  <c:v>7.277637441372663</c:v>
                </c:pt>
                <c:pt idx="35">
                  <c:v>8.070130398845286</c:v>
                </c:pt>
                <c:pt idx="36">
                  <c:v>8.827226828194465</c:v>
                </c:pt>
                <c:pt idx="37">
                  <c:v>9.532471457829857</c:v>
                </c:pt>
                <c:pt idx="38">
                  <c:v>10.18158215500507</c:v>
                </c:pt>
                <c:pt idx="39">
                  <c:v>10.76742913655684</c:v>
                </c:pt>
                <c:pt idx="40">
                  <c:v>11.28591871470517</c:v>
                </c:pt>
                <c:pt idx="41">
                  <c:v>11.74927748306007</c:v>
                </c:pt>
                <c:pt idx="42">
                  <c:v>12.16167423673105</c:v>
                </c:pt>
                <c:pt idx="43">
                  <c:v>12.52873965718277</c:v>
                </c:pt>
                <c:pt idx="44">
                  <c:v>12.86370955047545</c:v>
                </c:pt>
                <c:pt idx="45">
                  <c:v>13.16624931683932</c:v>
                </c:pt>
                <c:pt idx="46">
                  <c:v>13.43138597142493</c:v>
                </c:pt>
                <c:pt idx="47">
                  <c:v>13.66976648567331</c:v>
                </c:pt>
                <c:pt idx="48">
                  <c:v>13.89428528554521</c:v>
                </c:pt>
                <c:pt idx="49">
                  <c:v>14.10070121340697</c:v>
                </c:pt>
                <c:pt idx="50">
                  <c:v>14.28283686404236</c:v>
                </c:pt>
                <c:pt idx="51">
                  <c:v>14.44612833666214</c:v>
                </c:pt>
                <c:pt idx="52">
                  <c:v>14.5931839552782</c:v>
                </c:pt>
                <c:pt idx="53">
                  <c:v>14.72435887036227</c:v>
                </c:pt>
                <c:pt idx="54">
                  <c:v>14.8419967216443</c:v>
                </c:pt>
                <c:pt idx="55">
                  <c:v>14.94896486328122</c:v>
                </c:pt>
                <c:pt idx="56">
                  <c:v>15.04624923538863</c:v>
                </c:pt>
                <c:pt idx="57">
                  <c:v>15.13366395821713</c:v>
                </c:pt>
                <c:pt idx="58">
                  <c:v>15.21258899454499</c:v>
                </c:pt>
                <c:pt idx="59">
                  <c:v>15.28419616423717</c:v>
                </c:pt>
                <c:pt idx="60">
                  <c:v>15.34940355776691</c:v>
                </c:pt>
                <c:pt idx="61">
                  <c:v>15.40924199496114</c:v>
                </c:pt>
                <c:pt idx="62">
                  <c:v>15.46370052092968</c:v>
                </c:pt>
                <c:pt idx="63">
                  <c:v>15.51283567704118</c:v>
                </c:pt>
                <c:pt idx="64">
                  <c:v>15.5582808020821</c:v>
                </c:pt>
                <c:pt idx="65">
                  <c:v>15.6007232270649</c:v>
                </c:pt>
                <c:pt idx="66">
                  <c:v>15.63929009461128</c:v>
                </c:pt>
                <c:pt idx="67">
                  <c:v>15.6742796604408</c:v>
                </c:pt>
                <c:pt idx="68">
                  <c:v>15.70612552617417</c:v>
                </c:pt>
                <c:pt idx="69">
                  <c:v>15.73572351912072</c:v>
                </c:pt>
                <c:pt idx="70">
                  <c:v>15.76348497773728</c:v>
                </c:pt>
                <c:pt idx="71">
                  <c:v>15.78873387928508</c:v>
                </c:pt>
                <c:pt idx="72">
                  <c:v>15.81179710355157</c:v>
                </c:pt>
                <c:pt idx="73">
                  <c:v>15.83328317701667</c:v>
                </c:pt>
                <c:pt idx="74">
                  <c:v>15.85346243809919</c:v>
                </c:pt>
                <c:pt idx="75">
                  <c:v>15.87185569869992</c:v>
                </c:pt>
                <c:pt idx="76">
                  <c:v>15.8884742670926</c:v>
                </c:pt>
                <c:pt idx="77">
                  <c:v>15.90397755698895</c:v>
                </c:pt>
                <c:pt idx="78">
                  <c:v>15.91845002705835</c:v>
                </c:pt>
                <c:pt idx="79">
                  <c:v>15.93228039921019</c:v>
                </c:pt>
                <c:pt idx="80">
                  <c:v>15.94532767340642</c:v>
                </c:pt>
                <c:pt idx="81">
                  <c:v>15.95737204507648</c:v>
                </c:pt>
                <c:pt idx="82">
                  <c:v>15.96854320598467</c:v>
                </c:pt>
                <c:pt idx="83">
                  <c:v>15.97384431267782</c:v>
                </c:pt>
                <c:pt idx="84">
                  <c:v>15.97384431267782</c:v>
                </c:pt>
                <c:pt idx="85">
                  <c:v>15.97384431267782</c:v>
                </c:pt>
                <c:pt idx="86">
                  <c:v>15.97384431267782</c:v>
                </c:pt>
                <c:pt idx="87">
                  <c:v>15.97384431267782</c:v>
                </c:pt>
                <c:pt idx="88">
                  <c:v>15.97384431267782</c:v>
                </c:pt>
                <c:pt idx="89">
                  <c:v>15.97384431267782</c:v>
                </c:pt>
                <c:pt idx="90">
                  <c:v>15.9793708780784</c:v>
                </c:pt>
                <c:pt idx="91">
                  <c:v>15.99045758031719</c:v>
                </c:pt>
                <c:pt idx="92">
                  <c:v>16.00201746313475</c:v>
                </c:pt>
                <c:pt idx="93">
                  <c:v>16.01430425592283</c:v>
                </c:pt>
                <c:pt idx="94">
                  <c:v>16.02702465033164</c:v>
                </c:pt>
                <c:pt idx="95">
                  <c:v>16.04024614261998</c:v>
                </c:pt>
                <c:pt idx="96">
                  <c:v>16.05489852291135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Metabolites!$I$4:$I$7</c:f>
                <c:numCache>
                  <c:formatCode>General</c:formatCode>
                  <c:ptCount val="4"/>
                  <c:pt idx="0">
                    <c:v>0.397531995084123</c:v>
                  </c:pt>
                  <c:pt idx="1">
                    <c:v>0.555361204788237</c:v>
                  </c:pt>
                  <c:pt idx="2">
                    <c:v>0.45870808365312</c:v>
                  </c:pt>
                  <c:pt idx="3">
                    <c:v>0.25400480066383</c:v>
                  </c:pt>
                </c:numCache>
              </c:numRef>
            </c:plus>
            <c:minus>
              <c:numRef>
                <c:f>Metabolites!$I$4:$I$7</c:f>
                <c:numCache>
                  <c:formatCode>General</c:formatCode>
                  <c:ptCount val="4"/>
                  <c:pt idx="0">
                    <c:v>0.397531995084123</c:v>
                  </c:pt>
                  <c:pt idx="1">
                    <c:v>0.555361204788237</c:v>
                  </c:pt>
                  <c:pt idx="2">
                    <c:v>0.45870808365312</c:v>
                  </c:pt>
                  <c:pt idx="3">
                    <c:v>0.25400480066383</c:v>
                  </c:pt>
                </c:numCache>
              </c:numRef>
            </c:minus>
          </c:errBars>
          <c:xVal>
            <c:numRef>
              <c:f>Metabolites!$E$4:$E$7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Metabolites!$H$4:$H$7</c:f>
              <c:numCache>
                <c:formatCode>0</c:formatCode>
                <c:ptCount val="4"/>
                <c:pt idx="0">
                  <c:v>48.89357608052102</c:v>
                </c:pt>
                <c:pt idx="1">
                  <c:v>46.06400195567548</c:v>
                </c:pt>
                <c:pt idx="2">
                  <c:v>26.25418723352963</c:v>
                </c:pt>
                <c:pt idx="3">
                  <c:v>23.89592564007418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Metabolites!$J$9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Metabolites!$M$12:$M$15</c:f>
                <c:numCache>
                  <c:formatCode>General</c:formatCode>
                  <c:ptCount val="4"/>
                  <c:pt idx="0">
                    <c:v>0.0393156465229571</c:v>
                  </c:pt>
                  <c:pt idx="1">
                    <c:v>0.110559951964188</c:v>
                  </c:pt>
                  <c:pt idx="2">
                    <c:v>0.451789964611132</c:v>
                  </c:pt>
                  <c:pt idx="3">
                    <c:v>0.274366758277891</c:v>
                  </c:pt>
                </c:numCache>
              </c:numRef>
            </c:plus>
            <c:minus>
              <c:numRef>
                <c:f>Metabolites!$M$12:$M$15</c:f>
                <c:numCache>
                  <c:formatCode>General</c:formatCode>
                  <c:ptCount val="4"/>
                  <c:pt idx="0">
                    <c:v>0.0393156465229571</c:v>
                  </c:pt>
                  <c:pt idx="1">
                    <c:v>0.110559951964188</c:v>
                  </c:pt>
                  <c:pt idx="2">
                    <c:v>0.451789964611132</c:v>
                  </c:pt>
                  <c:pt idx="3">
                    <c:v>0.274366758277891</c:v>
                  </c:pt>
                </c:numCache>
              </c:numRef>
            </c:minus>
          </c:errBars>
          <c:xVal>
            <c:numRef>
              <c:f>Metabolites!$E$12:$E$15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Metabolites!$L$12:$L$15</c:f>
              <c:numCache>
                <c:formatCode>0</c:formatCode>
                <c:ptCount val="4"/>
                <c:pt idx="0">
                  <c:v>0.590171376688231</c:v>
                </c:pt>
                <c:pt idx="1">
                  <c:v>6.137260321968463</c:v>
                </c:pt>
                <c:pt idx="2">
                  <c:v>27.85720697673092</c:v>
                </c:pt>
                <c:pt idx="3">
                  <c:v>29.01032319524988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0.00123475609756098</c:v>
                </c:pt>
                <c:pt idx="1">
                  <c:v>5.48780487804878E-5</c:v>
                </c:pt>
                <c:pt idx="2">
                  <c:v>0.0</c:v>
                </c:pt>
                <c:pt idx="3">
                  <c:v>0.000274390243902439</c:v>
                </c:pt>
                <c:pt idx="4">
                  <c:v>0.0</c:v>
                </c:pt>
                <c:pt idx="5">
                  <c:v>0.0</c:v>
                </c:pt>
                <c:pt idx="6">
                  <c:v>2.74390243902439E-5</c:v>
                </c:pt>
                <c:pt idx="7">
                  <c:v>0.000164634146341463</c:v>
                </c:pt>
                <c:pt idx="8">
                  <c:v>0.0</c:v>
                </c:pt>
                <c:pt idx="9">
                  <c:v>0.001125</c:v>
                </c:pt>
                <c:pt idx="10">
                  <c:v>0.0</c:v>
                </c:pt>
                <c:pt idx="11">
                  <c:v>0.000246951219512195</c:v>
                </c:pt>
                <c:pt idx="12">
                  <c:v>0.000685975609756097</c:v>
                </c:pt>
                <c:pt idx="13">
                  <c:v>5.48780487804878E-5</c:v>
                </c:pt>
                <c:pt idx="14">
                  <c:v>8.23170731707317E-5</c:v>
                </c:pt>
                <c:pt idx="15">
                  <c:v>0.000384146341463414</c:v>
                </c:pt>
                <c:pt idx="16">
                  <c:v>0.000109756097560976</c:v>
                </c:pt>
                <c:pt idx="17">
                  <c:v>5.48780487804878E-5</c:v>
                </c:pt>
                <c:pt idx="18">
                  <c:v>0.000164634146341463</c:v>
                </c:pt>
                <c:pt idx="19">
                  <c:v>0.000301829268292683</c:v>
                </c:pt>
                <c:pt idx="20">
                  <c:v>2.74390243902439E-5</c:v>
                </c:pt>
                <c:pt idx="21">
                  <c:v>0.0</c:v>
                </c:pt>
                <c:pt idx="22">
                  <c:v>0.0015640243902439</c:v>
                </c:pt>
                <c:pt idx="23">
                  <c:v>2.74390243902439E-5</c:v>
                </c:pt>
                <c:pt idx="24">
                  <c:v>0.000142094947735192</c:v>
                </c:pt>
                <c:pt idx="25">
                  <c:v>0.00017051393728223</c:v>
                </c:pt>
                <c:pt idx="26">
                  <c:v>5.68379790940767E-5</c:v>
                </c:pt>
                <c:pt idx="27">
                  <c:v>0.0</c:v>
                </c:pt>
                <c:pt idx="28">
                  <c:v>0.00051154181184669</c:v>
                </c:pt>
                <c:pt idx="29">
                  <c:v>0.0</c:v>
                </c:pt>
                <c:pt idx="30">
                  <c:v>0.0</c:v>
                </c:pt>
                <c:pt idx="31">
                  <c:v>2.84189895470383E-5</c:v>
                </c:pt>
                <c:pt idx="32">
                  <c:v>0.000255770905923345</c:v>
                </c:pt>
                <c:pt idx="33">
                  <c:v>2.84189895470383E-5</c:v>
                </c:pt>
                <c:pt idx="34">
                  <c:v>8.5256968641115E-5</c:v>
                </c:pt>
                <c:pt idx="35">
                  <c:v>0.000284189895470383</c:v>
                </c:pt>
                <c:pt idx="36">
                  <c:v>0.000284189895470383</c:v>
                </c:pt>
                <c:pt idx="37">
                  <c:v>0.000113675958188153</c:v>
                </c:pt>
                <c:pt idx="38">
                  <c:v>8.5256968641115E-5</c:v>
                </c:pt>
                <c:pt idx="39">
                  <c:v>0.0</c:v>
                </c:pt>
                <c:pt idx="40">
                  <c:v>5.68379790940767E-5</c:v>
                </c:pt>
                <c:pt idx="41">
                  <c:v>5.68379790940767E-5</c:v>
                </c:pt>
                <c:pt idx="42">
                  <c:v>0.0</c:v>
                </c:pt>
                <c:pt idx="43">
                  <c:v>0.0</c:v>
                </c:pt>
                <c:pt idx="44">
                  <c:v>5.68379790940767E-5</c:v>
                </c:pt>
                <c:pt idx="45">
                  <c:v>5.68379790940767E-5</c:v>
                </c:pt>
                <c:pt idx="46">
                  <c:v>2.84189895470383E-5</c:v>
                </c:pt>
                <c:pt idx="47">
                  <c:v>5.68379790940767E-5</c:v>
                </c:pt>
                <c:pt idx="48">
                  <c:v>0.000118736874134886</c:v>
                </c:pt>
                <c:pt idx="49">
                  <c:v>0.000356210622404658</c:v>
                </c:pt>
                <c:pt idx="50">
                  <c:v>0.000148421092668608</c:v>
                </c:pt>
                <c:pt idx="51">
                  <c:v>0.000949894993079089</c:v>
                </c:pt>
                <c:pt idx="52">
                  <c:v>8.90526556011646E-5</c:v>
                </c:pt>
                <c:pt idx="53">
                  <c:v>0.000118736874134886</c:v>
                </c:pt>
                <c:pt idx="54">
                  <c:v>0.000148421092668608</c:v>
                </c:pt>
                <c:pt idx="55">
                  <c:v>0.000118736874134886</c:v>
                </c:pt>
                <c:pt idx="56">
                  <c:v>0.000474947496539544</c:v>
                </c:pt>
                <c:pt idx="57">
                  <c:v>0.000415579059472101</c:v>
                </c:pt>
                <c:pt idx="58">
                  <c:v>0.000118736874134886</c:v>
                </c:pt>
                <c:pt idx="59">
                  <c:v>0.0</c:v>
                </c:pt>
                <c:pt idx="60">
                  <c:v>0.000178105311202329</c:v>
                </c:pt>
                <c:pt idx="61">
                  <c:v>5.93684370674431E-5</c:v>
                </c:pt>
                <c:pt idx="62">
                  <c:v>0.0</c:v>
                </c:pt>
                <c:pt idx="63">
                  <c:v>0.000267157966803494</c:v>
                </c:pt>
                <c:pt idx="64">
                  <c:v>8.90526556011646E-5</c:v>
                </c:pt>
                <c:pt idx="65">
                  <c:v>0.000237473748269772</c:v>
                </c:pt>
                <c:pt idx="66">
                  <c:v>0.0</c:v>
                </c:pt>
                <c:pt idx="67">
                  <c:v>0.00038589484093838</c:v>
                </c:pt>
                <c:pt idx="68">
                  <c:v>0.00038589484093838</c:v>
                </c:pt>
                <c:pt idx="69">
                  <c:v>0.0</c:v>
                </c:pt>
                <c:pt idx="70">
                  <c:v>0.000326526403870937</c:v>
                </c:pt>
                <c:pt idx="71">
                  <c:v>5.93684370674431E-5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2.96842185337215E-5</c:v>
                </c:pt>
                <c:pt idx="77">
                  <c:v>0.000801473900410482</c:v>
                </c:pt>
                <c:pt idx="78">
                  <c:v>0.0</c:v>
                </c:pt>
                <c:pt idx="79">
                  <c:v>0.000178105311202329</c:v>
                </c:pt>
                <c:pt idx="80">
                  <c:v>2.96842185337215E-5</c:v>
                </c:pt>
                <c:pt idx="81">
                  <c:v>2.96842185337215E-5</c:v>
                </c:pt>
                <c:pt idx="82">
                  <c:v>0.000237473748269772</c:v>
                </c:pt>
                <c:pt idx="83">
                  <c:v>0.000653052807741874</c:v>
                </c:pt>
                <c:pt idx="84">
                  <c:v>2.96842185337215E-5</c:v>
                </c:pt>
                <c:pt idx="85">
                  <c:v>8.90526556011646E-5</c:v>
                </c:pt>
                <c:pt idx="86">
                  <c:v>2.96842185337215E-5</c:v>
                </c:pt>
                <c:pt idx="87">
                  <c:v>2.96842185337215E-5</c:v>
                </c:pt>
                <c:pt idx="88">
                  <c:v>0.000623368589208152</c:v>
                </c:pt>
                <c:pt idx="89">
                  <c:v>0.000415579059472101</c:v>
                </c:pt>
                <c:pt idx="90">
                  <c:v>0.000148421092668608</c:v>
                </c:pt>
                <c:pt idx="91">
                  <c:v>2.96842185337215E-5</c:v>
                </c:pt>
                <c:pt idx="92">
                  <c:v>0.00038589484093838</c:v>
                </c:pt>
                <c:pt idx="93">
                  <c:v>0.000118736874134886</c:v>
                </c:pt>
                <c:pt idx="94">
                  <c:v>0.000118736874134886</c:v>
                </c:pt>
                <c:pt idx="95">
                  <c:v>0.000148421092668608</c:v>
                </c:pt>
                <c:pt idx="9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51048"/>
        <c:axId val="-2141232792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cytometer'!$N$4:$N$7</c:f>
              <c:numCache>
                <c:formatCode>General</c:formatCode>
                <c:ptCount val="4"/>
                <c:pt idx="0">
                  <c:v>10272.0</c:v>
                </c:pt>
                <c:pt idx="1">
                  <c:v>28617.0</c:v>
                </c:pt>
                <c:pt idx="2">
                  <c:v>3884.0</c:v>
                </c:pt>
                <c:pt idx="3">
                  <c:v>5678.0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cytometer'!$X$4:$X$7</c:f>
                <c:numCache>
                  <c:formatCode>General</c:formatCode>
                  <c:ptCount val="4"/>
                  <c:pt idx="0">
                    <c:v>0.0352902402530147</c:v>
                  </c:pt>
                  <c:pt idx="1">
                    <c:v>0.0177301627206051</c:v>
                  </c:pt>
                  <c:pt idx="2">
                    <c:v>0.023277610724727</c:v>
                  </c:pt>
                  <c:pt idx="3">
                    <c:v>0.0258665415653433</c:v>
                  </c:pt>
                </c:numCache>
              </c:numRef>
            </c:plus>
            <c:minus>
              <c:numRef>
                <c:f>'Flow cytometer'!$X$4:$X$7</c:f>
                <c:numCache>
                  <c:formatCode>General</c:formatCode>
                  <c:ptCount val="4"/>
                  <c:pt idx="0">
                    <c:v>0.0352902402530147</c:v>
                  </c:pt>
                  <c:pt idx="1">
                    <c:v>0.0177301627206051</c:v>
                  </c:pt>
                  <c:pt idx="2">
                    <c:v>0.023277610724727</c:v>
                  </c:pt>
                  <c:pt idx="3">
                    <c:v>0.0258665415653433</c:v>
                  </c:pt>
                </c:numCache>
              </c:numRef>
            </c:minus>
          </c:errBars>
          <c:xVal>
            <c:numRef>
              <c:f>'Flow cytometer'!$D$4:$D$7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'Flow cytometer'!$S$4:$S$7</c:f>
              <c:numCache>
                <c:formatCode>0.00</c:formatCode>
                <c:ptCount val="4"/>
                <c:pt idx="0">
                  <c:v>7.183476465808283</c:v>
                </c:pt>
                <c:pt idx="1">
                  <c:v>8.622284867927016</c:v>
                </c:pt>
                <c:pt idx="2">
                  <c:v>8.817095665957314</c:v>
                </c:pt>
                <c:pt idx="3">
                  <c:v>8.954149413126552</c:v>
                </c:pt>
              </c:numCache>
            </c:numRef>
          </c:yVal>
          <c:smooth val="0"/>
        </c:ser>
        <c:ser>
          <c:idx val="5"/>
          <c:order val="9"/>
          <c:tx>
            <c:v>qPCR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count'!$AD$4:$AD$7</c:f>
                <c:numCache>
                  <c:formatCode>General</c:formatCode>
                  <c:ptCount val="4"/>
                  <c:pt idx="0">
                    <c:v>0.147370129610803</c:v>
                  </c:pt>
                  <c:pt idx="1">
                    <c:v>0.349180578493365</c:v>
                  </c:pt>
                  <c:pt idx="2">
                    <c:v>0.113120724910236</c:v>
                  </c:pt>
                  <c:pt idx="3">
                    <c:v>0.411930868001705</c:v>
                  </c:pt>
                </c:numCache>
              </c:numRef>
            </c:plus>
            <c:minus>
              <c:numRef>
                <c:f>'Determination cell count'!$AD$4:$AD$7</c:f>
                <c:numCache>
                  <c:formatCode>General</c:formatCode>
                  <c:ptCount val="4"/>
                  <c:pt idx="0">
                    <c:v>0.147370129610803</c:v>
                  </c:pt>
                  <c:pt idx="1">
                    <c:v>0.349180578493365</c:v>
                  </c:pt>
                  <c:pt idx="2">
                    <c:v>0.113120724910236</c:v>
                  </c:pt>
                  <c:pt idx="3">
                    <c:v>0.411930868001705</c:v>
                  </c:pt>
                </c:numCache>
              </c:numRef>
            </c:minus>
          </c:errBars>
          <c:xVal>
            <c:numRef>
              <c:f>'Determination cell count'!$D$4:$D$7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'Determination cell count'!$X$4:$X$7</c:f>
              <c:numCache>
                <c:formatCode>0.00</c:formatCode>
                <c:ptCount val="4"/>
                <c:pt idx="0">
                  <c:v>6.119434231235246</c:v>
                </c:pt>
                <c:pt idx="1">
                  <c:v>7.804646832210633</c:v>
                </c:pt>
                <c:pt idx="2">
                  <c:v>7.73637569145235</c:v>
                </c:pt>
                <c:pt idx="3">
                  <c:v>7.83412103951779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159784"/>
        <c:axId val="-2129034264"/>
      </c:scatterChart>
      <c:valAx>
        <c:axId val="-2128651048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41232792"/>
        <c:crosses val="autoZero"/>
        <c:crossBetween val="midCat"/>
        <c:majorUnit val="6.0"/>
      </c:valAx>
      <c:valAx>
        <c:axId val="-2141232792"/>
        <c:scaling>
          <c:orientation val="minMax"/>
          <c:max val="6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28651048"/>
        <c:crosses val="autoZero"/>
        <c:crossBetween val="midCat"/>
      </c:valAx>
      <c:valAx>
        <c:axId val="-2129034264"/>
        <c:scaling>
          <c:orientation val="minMax"/>
          <c:max val="12.0"/>
          <c:min val="5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42159784"/>
        <c:crosses val="max"/>
        <c:crossBetween val="midCat"/>
        <c:majorUnit val="1.0"/>
        <c:minorUnit val="0.2"/>
      </c:valAx>
      <c:valAx>
        <c:axId val="-2142159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2903426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Metabolites!$M$4:$M$7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0.0</c:v>
                  </c:pt>
                  <c:pt idx="2">
                    <c:v>0.0488753097738684</c:v>
                  </c:pt>
                  <c:pt idx="3">
                    <c:v>0.110534055565029</c:v>
                  </c:pt>
                </c:numCache>
              </c:numRef>
            </c:plus>
            <c:minus>
              <c:numRef>
                <c:f>Metabolites!$M$4:$M$7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0.0</c:v>
                  </c:pt>
                  <c:pt idx="2">
                    <c:v>0.0488753097738684</c:v>
                  </c:pt>
                  <c:pt idx="3">
                    <c:v>0.110534055565029</c:v>
                  </c:pt>
                </c:numCache>
              </c:numRef>
            </c:minus>
          </c:errBars>
          <c:xVal>
            <c:numRef>
              <c:f>Metabolites!$E$4:$E$7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Metabolites!$L$4:$L$7</c:f>
              <c:numCache>
                <c:formatCode>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0.684254336834157</c:v>
                </c:pt>
                <c:pt idx="3">
                  <c:v>2.130093123911812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triang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Metabolites!$Q$4:$Q$7</c:f>
                <c:numCache>
                  <c:formatCode>General</c:formatCode>
                  <c:ptCount val="4"/>
                  <c:pt idx="0">
                    <c:v>0.490621810579726</c:v>
                  </c:pt>
                  <c:pt idx="1">
                    <c:v>0.646158797649884</c:v>
                  </c:pt>
                  <c:pt idx="2">
                    <c:v>0.744086630091655</c:v>
                  </c:pt>
                  <c:pt idx="3">
                    <c:v>0.481666654026114</c:v>
                  </c:pt>
                </c:numCache>
              </c:numRef>
            </c:plus>
            <c:minus>
              <c:numRef>
                <c:f>Metabolites!$Q$4:$Q$7</c:f>
                <c:numCache>
                  <c:formatCode>General</c:formatCode>
                  <c:ptCount val="4"/>
                  <c:pt idx="0">
                    <c:v>0.490621810579726</c:v>
                  </c:pt>
                  <c:pt idx="1">
                    <c:v>0.646158797649884</c:v>
                  </c:pt>
                  <c:pt idx="2">
                    <c:v>0.744086630091655</c:v>
                  </c:pt>
                  <c:pt idx="3">
                    <c:v>0.481666654026114</c:v>
                  </c:pt>
                </c:numCache>
              </c:numRef>
            </c:minus>
          </c:errBars>
          <c:xVal>
            <c:numRef>
              <c:f>Metabolites!$E$4:$E$7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Metabolites!$P$4:$P$7</c:f>
              <c:numCache>
                <c:formatCode>0</c:formatCode>
                <c:ptCount val="4"/>
                <c:pt idx="0">
                  <c:v>49.32556203164031</c:v>
                </c:pt>
                <c:pt idx="1">
                  <c:v>46.02078987603247</c:v>
                </c:pt>
                <c:pt idx="2">
                  <c:v>39.22461330341524</c:v>
                </c:pt>
                <c:pt idx="3">
                  <c:v>41.6785997207813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Metabolites!$U$4:$U$7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0.0447821864395361</c:v>
                  </c:pt>
                  <c:pt idx="2">
                    <c:v>0.433945090431026</c:v>
                  </c:pt>
                  <c:pt idx="3">
                    <c:v>0.406203918290016</c:v>
                  </c:pt>
                </c:numCache>
              </c:numRef>
            </c:plus>
            <c:minus>
              <c:numRef>
                <c:f>Metabolites!$U$4:$U$7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0.0447821864395361</c:v>
                  </c:pt>
                  <c:pt idx="2">
                    <c:v>0.433945090431026</c:v>
                  </c:pt>
                  <c:pt idx="3">
                    <c:v>0.406203918290016</c:v>
                  </c:pt>
                </c:numCache>
              </c:numRef>
            </c:minus>
          </c:errBars>
          <c:xVal>
            <c:numRef>
              <c:f>Metabolites!$E$4:$E$7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Metabolites!$T$4:$T$7</c:f>
              <c:numCache>
                <c:formatCode>0</c:formatCode>
                <c:ptCount val="4"/>
                <c:pt idx="0">
                  <c:v>0.0</c:v>
                </c:pt>
                <c:pt idx="1">
                  <c:v>2.910842118569847</c:v>
                </c:pt>
                <c:pt idx="2">
                  <c:v>25.80908001040001</c:v>
                </c:pt>
                <c:pt idx="3">
                  <c:v>28.93178717682878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0.00540516114982578</c:v>
                </c:pt>
                <c:pt idx="3">
                  <c:v>0.0160126306620209</c:v>
                </c:pt>
                <c:pt idx="4">
                  <c:v>0.026547256097561</c:v>
                </c:pt>
                <c:pt idx="5">
                  <c:v>0.0374348089845694</c:v>
                </c:pt>
                <c:pt idx="6">
                  <c:v>0.0496076095072175</c:v>
                </c:pt>
                <c:pt idx="7">
                  <c:v>0.065069657804861</c:v>
                </c:pt>
                <c:pt idx="8">
                  <c:v>0.0858797085312157</c:v>
                </c:pt>
                <c:pt idx="9">
                  <c:v>0.112852768438857</c:v>
                </c:pt>
                <c:pt idx="10">
                  <c:v>0.148006046323438</c:v>
                </c:pt>
                <c:pt idx="11">
                  <c:v>0.190615119781369</c:v>
                </c:pt>
                <c:pt idx="12">
                  <c:v>0.23618859976247</c:v>
                </c:pt>
                <c:pt idx="13">
                  <c:v>0.286762314919264</c:v>
                </c:pt>
                <c:pt idx="14">
                  <c:v>0.344131761783376</c:v>
                </c:pt>
                <c:pt idx="15">
                  <c:v>0.407182719971529</c:v>
                </c:pt>
                <c:pt idx="16">
                  <c:v>0.476295089309508</c:v>
                </c:pt>
                <c:pt idx="17">
                  <c:v>0.553467590398358</c:v>
                </c:pt>
                <c:pt idx="18">
                  <c:v>0.639944545662171</c:v>
                </c:pt>
                <c:pt idx="19">
                  <c:v>0.737083498699168</c:v>
                </c:pt>
                <c:pt idx="20">
                  <c:v>0.846947265177349</c:v>
                </c:pt>
                <c:pt idx="21">
                  <c:v>0.971739719893115</c:v>
                </c:pt>
                <c:pt idx="22">
                  <c:v>1.121223689220967</c:v>
                </c:pt>
                <c:pt idx="23">
                  <c:v>1.302428384857919</c:v>
                </c:pt>
                <c:pt idx="24">
                  <c:v>1.518385084789784</c:v>
                </c:pt>
                <c:pt idx="25">
                  <c:v>1.782659020049864</c:v>
                </c:pt>
                <c:pt idx="26">
                  <c:v>2.111146000512781</c:v>
                </c:pt>
                <c:pt idx="27">
                  <c:v>2.524481257481422</c:v>
                </c:pt>
                <c:pt idx="28">
                  <c:v>3.027604958638714</c:v>
                </c:pt>
                <c:pt idx="29">
                  <c:v>3.616720123988391</c:v>
                </c:pt>
                <c:pt idx="30">
                  <c:v>4.288305167075748</c:v>
                </c:pt>
                <c:pt idx="31">
                  <c:v>4.961508062639462</c:v>
                </c:pt>
                <c:pt idx="32">
                  <c:v>5.67286886481094</c:v>
                </c:pt>
                <c:pt idx="33">
                  <c:v>6.469778945230303</c:v>
                </c:pt>
                <c:pt idx="34">
                  <c:v>7.277637441372663</c:v>
                </c:pt>
                <c:pt idx="35">
                  <c:v>8.070130398845286</c:v>
                </c:pt>
                <c:pt idx="36">
                  <c:v>8.827226828194465</c:v>
                </c:pt>
                <c:pt idx="37">
                  <c:v>9.532471457829857</c:v>
                </c:pt>
                <c:pt idx="38">
                  <c:v>10.18158215500507</c:v>
                </c:pt>
                <c:pt idx="39">
                  <c:v>10.76742913655684</c:v>
                </c:pt>
                <c:pt idx="40">
                  <c:v>11.28591871470517</c:v>
                </c:pt>
                <c:pt idx="41">
                  <c:v>11.74927748306007</c:v>
                </c:pt>
                <c:pt idx="42">
                  <c:v>12.16167423673105</c:v>
                </c:pt>
                <c:pt idx="43">
                  <c:v>12.52873965718277</c:v>
                </c:pt>
                <c:pt idx="44">
                  <c:v>12.86370955047545</c:v>
                </c:pt>
                <c:pt idx="45">
                  <c:v>13.16624931683932</c:v>
                </c:pt>
                <c:pt idx="46">
                  <c:v>13.43138597142493</c:v>
                </c:pt>
                <c:pt idx="47">
                  <c:v>13.66976648567331</c:v>
                </c:pt>
                <c:pt idx="48">
                  <c:v>13.89428528554521</c:v>
                </c:pt>
                <c:pt idx="49">
                  <c:v>14.10070121340697</c:v>
                </c:pt>
                <c:pt idx="50">
                  <c:v>14.28283686404236</c:v>
                </c:pt>
                <c:pt idx="51">
                  <c:v>14.44612833666214</c:v>
                </c:pt>
                <c:pt idx="52">
                  <c:v>14.5931839552782</c:v>
                </c:pt>
                <c:pt idx="53">
                  <c:v>14.72435887036227</c:v>
                </c:pt>
                <c:pt idx="54">
                  <c:v>14.8419967216443</c:v>
                </c:pt>
                <c:pt idx="55">
                  <c:v>14.94896486328122</c:v>
                </c:pt>
                <c:pt idx="56">
                  <c:v>15.04624923538863</c:v>
                </c:pt>
                <c:pt idx="57">
                  <c:v>15.13366395821713</c:v>
                </c:pt>
                <c:pt idx="58">
                  <c:v>15.21258899454499</c:v>
                </c:pt>
                <c:pt idx="59">
                  <c:v>15.28419616423717</c:v>
                </c:pt>
                <c:pt idx="60">
                  <c:v>15.34940355776691</c:v>
                </c:pt>
                <c:pt idx="61">
                  <c:v>15.40924199496114</c:v>
                </c:pt>
                <c:pt idx="62">
                  <c:v>15.46370052092968</c:v>
                </c:pt>
                <c:pt idx="63">
                  <c:v>15.51283567704118</c:v>
                </c:pt>
                <c:pt idx="64">
                  <c:v>15.5582808020821</c:v>
                </c:pt>
                <c:pt idx="65">
                  <c:v>15.6007232270649</c:v>
                </c:pt>
                <c:pt idx="66">
                  <c:v>15.63929009461128</c:v>
                </c:pt>
                <c:pt idx="67">
                  <c:v>15.6742796604408</c:v>
                </c:pt>
                <c:pt idx="68">
                  <c:v>15.70612552617417</c:v>
                </c:pt>
                <c:pt idx="69">
                  <c:v>15.73572351912072</c:v>
                </c:pt>
                <c:pt idx="70">
                  <c:v>15.76348497773728</c:v>
                </c:pt>
                <c:pt idx="71">
                  <c:v>15.78873387928508</c:v>
                </c:pt>
                <c:pt idx="72">
                  <c:v>15.81179710355157</c:v>
                </c:pt>
                <c:pt idx="73">
                  <c:v>15.83328317701667</c:v>
                </c:pt>
                <c:pt idx="74">
                  <c:v>15.85346243809919</c:v>
                </c:pt>
                <c:pt idx="75">
                  <c:v>15.87185569869992</c:v>
                </c:pt>
                <c:pt idx="76">
                  <c:v>15.8884742670926</c:v>
                </c:pt>
                <c:pt idx="77">
                  <c:v>15.90397755698895</c:v>
                </c:pt>
                <c:pt idx="78">
                  <c:v>15.91845002705835</c:v>
                </c:pt>
                <c:pt idx="79">
                  <c:v>15.93228039921019</c:v>
                </c:pt>
                <c:pt idx="80">
                  <c:v>15.94532767340642</c:v>
                </c:pt>
                <c:pt idx="81">
                  <c:v>15.95737204507648</c:v>
                </c:pt>
                <c:pt idx="82">
                  <c:v>15.96854320598467</c:v>
                </c:pt>
                <c:pt idx="83">
                  <c:v>15.97384431267782</c:v>
                </c:pt>
                <c:pt idx="84">
                  <c:v>15.97384431267782</c:v>
                </c:pt>
                <c:pt idx="85">
                  <c:v>15.97384431267782</c:v>
                </c:pt>
                <c:pt idx="86">
                  <c:v>15.97384431267782</c:v>
                </c:pt>
                <c:pt idx="87">
                  <c:v>15.97384431267782</c:v>
                </c:pt>
                <c:pt idx="88">
                  <c:v>15.97384431267782</c:v>
                </c:pt>
                <c:pt idx="89">
                  <c:v>15.97384431267782</c:v>
                </c:pt>
                <c:pt idx="90">
                  <c:v>15.9793708780784</c:v>
                </c:pt>
                <c:pt idx="91">
                  <c:v>15.99045758031719</c:v>
                </c:pt>
                <c:pt idx="92">
                  <c:v>16.00201746313475</c:v>
                </c:pt>
                <c:pt idx="93">
                  <c:v>16.01430425592283</c:v>
                </c:pt>
                <c:pt idx="94">
                  <c:v>16.02702465033164</c:v>
                </c:pt>
                <c:pt idx="95">
                  <c:v>16.04024614261998</c:v>
                </c:pt>
                <c:pt idx="96">
                  <c:v>16.05489852291135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Metabolites!$I$4:$I$7</c:f>
                <c:numCache>
                  <c:formatCode>General</c:formatCode>
                  <c:ptCount val="4"/>
                  <c:pt idx="0">
                    <c:v>0.397531995084123</c:v>
                  </c:pt>
                  <c:pt idx="1">
                    <c:v>0.555361204788237</c:v>
                  </c:pt>
                  <c:pt idx="2">
                    <c:v>0.45870808365312</c:v>
                  </c:pt>
                  <c:pt idx="3">
                    <c:v>0.25400480066383</c:v>
                  </c:pt>
                </c:numCache>
              </c:numRef>
            </c:plus>
            <c:minus>
              <c:numRef>
                <c:f>Metabolites!$I$4:$I$7</c:f>
                <c:numCache>
                  <c:formatCode>General</c:formatCode>
                  <c:ptCount val="4"/>
                  <c:pt idx="0">
                    <c:v>0.397531995084123</c:v>
                  </c:pt>
                  <c:pt idx="1">
                    <c:v>0.555361204788237</c:v>
                  </c:pt>
                  <c:pt idx="2">
                    <c:v>0.45870808365312</c:v>
                  </c:pt>
                  <c:pt idx="3">
                    <c:v>0.25400480066383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Metabolites!$H$4:$H$7</c:f>
              <c:numCache>
                <c:formatCode>0</c:formatCode>
                <c:ptCount val="4"/>
                <c:pt idx="0">
                  <c:v>48.89357608052102</c:v>
                </c:pt>
                <c:pt idx="1">
                  <c:v>46.06400195567548</c:v>
                </c:pt>
                <c:pt idx="2">
                  <c:v>26.25418723352963</c:v>
                </c:pt>
                <c:pt idx="3">
                  <c:v>23.89592564007418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Metabolites!$J$9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Metabolites!$M$12:$M$15</c:f>
                <c:numCache>
                  <c:formatCode>General</c:formatCode>
                  <c:ptCount val="4"/>
                  <c:pt idx="0">
                    <c:v>0.0393156465229571</c:v>
                  </c:pt>
                  <c:pt idx="1">
                    <c:v>0.110559951964188</c:v>
                  </c:pt>
                  <c:pt idx="2">
                    <c:v>0.451789964611132</c:v>
                  </c:pt>
                  <c:pt idx="3">
                    <c:v>0.274366758277891</c:v>
                  </c:pt>
                </c:numCache>
              </c:numRef>
            </c:plus>
            <c:minus>
              <c:numRef>
                <c:f>Metabolites!$M$12:$M$15</c:f>
                <c:numCache>
                  <c:formatCode>General</c:formatCode>
                  <c:ptCount val="4"/>
                  <c:pt idx="0">
                    <c:v>0.0393156465229571</c:v>
                  </c:pt>
                  <c:pt idx="1">
                    <c:v>0.110559951964188</c:v>
                  </c:pt>
                  <c:pt idx="2">
                    <c:v>0.451789964611132</c:v>
                  </c:pt>
                  <c:pt idx="3">
                    <c:v>0.274366758277891</c:v>
                  </c:pt>
                </c:numCache>
              </c:numRef>
            </c:minus>
          </c:errBars>
          <c:xVal>
            <c:numRef>
              <c:f>Metabolites!$E$4:$E$7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Metabolites!$L$12:$L$15</c:f>
              <c:numCache>
                <c:formatCode>0</c:formatCode>
                <c:ptCount val="4"/>
                <c:pt idx="0">
                  <c:v>0.590171376688231</c:v>
                </c:pt>
                <c:pt idx="1">
                  <c:v>6.137260321968463</c:v>
                </c:pt>
                <c:pt idx="2">
                  <c:v>27.85720697673092</c:v>
                </c:pt>
                <c:pt idx="3">
                  <c:v>29.01032319524988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0.00123475609756098</c:v>
                </c:pt>
                <c:pt idx="1">
                  <c:v>5.48780487804878E-5</c:v>
                </c:pt>
                <c:pt idx="2">
                  <c:v>0.0</c:v>
                </c:pt>
                <c:pt idx="3">
                  <c:v>0.000274390243902439</c:v>
                </c:pt>
                <c:pt idx="4">
                  <c:v>0.0</c:v>
                </c:pt>
                <c:pt idx="5">
                  <c:v>0.0</c:v>
                </c:pt>
                <c:pt idx="6">
                  <c:v>2.74390243902439E-5</c:v>
                </c:pt>
                <c:pt idx="7">
                  <c:v>0.000164634146341463</c:v>
                </c:pt>
                <c:pt idx="8">
                  <c:v>0.0</c:v>
                </c:pt>
                <c:pt idx="9">
                  <c:v>0.001125</c:v>
                </c:pt>
                <c:pt idx="10">
                  <c:v>0.0</c:v>
                </c:pt>
                <c:pt idx="11">
                  <c:v>0.000246951219512195</c:v>
                </c:pt>
                <c:pt idx="12">
                  <c:v>0.000685975609756097</c:v>
                </c:pt>
                <c:pt idx="13">
                  <c:v>5.48780487804878E-5</c:v>
                </c:pt>
                <c:pt idx="14">
                  <c:v>8.23170731707317E-5</c:v>
                </c:pt>
                <c:pt idx="15">
                  <c:v>0.000384146341463414</c:v>
                </c:pt>
                <c:pt idx="16">
                  <c:v>0.000109756097560976</c:v>
                </c:pt>
                <c:pt idx="17">
                  <c:v>5.48780487804878E-5</c:v>
                </c:pt>
                <c:pt idx="18">
                  <c:v>0.000164634146341463</c:v>
                </c:pt>
                <c:pt idx="19">
                  <c:v>0.000301829268292683</c:v>
                </c:pt>
                <c:pt idx="20">
                  <c:v>2.74390243902439E-5</c:v>
                </c:pt>
                <c:pt idx="21">
                  <c:v>0.0</c:v>
                </c:pt>
                <c:pt idx="22">
                  <c:v>0.0015640243902439</c:v>
                </c:pt>
                <c:pt idx="23">
                  <c:v>2.74390243902439E-5</c:v>
                </c:pt>
                <c:pt idx="24">
                  <c:v>0.000142094947735192</c:v>
                </c:pt>
                <c:pt idx="25">
                  <c:v>0.00017051393728223</c:v>
                </c:pt>
                <c:pt idx="26">
                  <c:v>5.68379790940767E-5</c:v>
                </c:pt>
                <c:pt idx="27">
                  <c:v>0.0</c:v>
                </c:pt>
                <c:pt idx="28">
                  <c:v>0.00051154181184669</c:v>
                </c:pt>
                <c:pt idx="29">
                  <c:v>0.0</c:v>
                </c:pt>
                <c:pt idx="30">
                  <c:v>0.0</c:v>
                </c:pt>
                <c:pt idx="31">
                  <c:v>2.84189895470383E-5</c:v>
                </c:pt>
                <c:pt idx="32">
                  <c:v>0.000255770905923345</c:v>
                </c:pt>
                <c:pt idx="33">
                  <c:v>2.84189895470383E-5</c:v>
                </c:pt>
                <c:pt idx="34">
                  <c:v>8.5256968641115E-5</c:v>
                </c:pt>
                <c:pt idx="35">
                  <c:v>0.000284189895470383</c:v>
                </c:pt>
                <c:pt idx="36">
                  <c:v>0.000284189895470383</c:v>
                </c:pt>
                <c:pt idx="37">
                  <c:v>0.000113675958188153</c:v>
                </c:pt>
                <c:pt idx="38">
                  <c:v>8.5256968641115E-5</c:v>
                </c:pt>
                <c:pt idx="39">
                  <c:v>0.0</c:v>
                </c:pt>
                <c:pt idx="40">
                  <c:v>5.68379790940767E-5</c:v>
                </c:pt>
                <c:pt idx="41">
                  <c:v>5.68379790940767E-5</c:v>
                </c:pt>
                <c:pt idx="42">
                  <c:v>0.0</c:v>
                </c:pt>
                <c:pt idx="43">
                  <c:v>0.0</c:v>
                </c:pt>
                <c:pt idx="44">
                  <c:v>5.68379790940767E-5</c:v>
                </c:pt>
                <c:pt idx="45">
                  <c:v>5.68379790940767E-5</c:v>
                </c:pt>
                <c:pt idx="46">
                  <c:v>2.84189895470383E-5</c:v>
                </c:pt>
                <c:pt idx="47">
                  <c:v>5.68379790940767E-5</c:v>
                </c:pt>
                <c:pt idx="48">
                  <c:v>0.000118736874134886</c:v>
                </c:pt>
                <c:pt idx="49">
                  <c:v>0.000356210622404658</c:v>
                </c:pt>
                <c:pt idx="50">
                  <c:v>0.000148421092668608</c:v>
                </c:pt>
                <c:pt idx="51">
                  <c:v>0.000949894993079089</c:v>
                </c:pt>
                <c:pt idx="52">
                  <c:v>8.90526556011646E-5</c:v>
                </c:pt>
                <c:pt idx="53">
                  <c:v>0.000118736874134886</c:v>
                </c:pt>
                <c:pt idx="54">
                  <c:v>0.000148421092668608</c:v>
                </c:pt>
                <c:pt idx="55">
                  <c:v>0.000118736874134886</c:v>
                </c:pt>
                <c:pt idx="56">
                  <c:v>0.000474947496539544</c:v>
                </c:pt>
                <c:pt idx="57">
                  <c:v>0.000415579059472101</c:v>
                </c:pt>
                <c:pt idx="58">
                  <c:v>0.000118736874134886</c:v>
                </c:pt>
                <c:pt idx="59">
                  <c:v>0.0</c:v>
                </c:pt>
                <c:pt idx="60">
                  <c:v>0.000178105311202329</c:v>
                </c:pt>
                <c:pt idx="61">
                  <c:v>5.93684370674431E-5</c:v>
                </c:pt>
                <c:pt idx="62">
                  <c:v>0.0</c:v>
                </c:pt>
                <c:pt idx="63">
                  <c:v>0.000267157966803494</c:v>
                </c:pt>
                <c:pt idx="64">
                  <c:v>8.90526556011646E-5</c:v>
                </c:pt>
                <c:pt idx="65">
                  <c:v>0.000237473748269772</c:v>
                </c:pt>
                <c:pt idx="66">
                  <c:v>0.0</c:v>
                </c:pt>
                <c:pt idx="67">
                  <c:v>0.00038589484093838</c:v>
                </c:pt>
                <c:pt idx="68">
                  <c:v>0.00038589484093838</c:v>
                </c:pt>
                <c:pt idx="69">
                  <c:v>0.0</c:v>
                </c:pt>
                <c:pt idx="70">
                  <c:v>0.000326526403870937</c:v>
                </c:pt>
                <c:pt idx="71">
                  <c:v>5.93684370674431E-5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2.96842185337215E-5</c:v>
                </c:pt>
                <c:pt idx="77">
                  <c:v>0.000801473900410482</c:v>
                </c:pt>
                <c:pt idx="78">
                  <c:v>0.0</c:v>
                </c:pt>
                <c:pt idx="79">
                  <c:v>0.000178105311202329</c:v>
                </c:pt>
                <c:pt idx="80">
                  <c:v>2.96842185337215E-5</c:v>
                </c:pt>
                <c:pt idx="81">
                  <c:v>2.96842185337215E-5</c:v>
                </c:pt>
                <c:pt idx="82">
                  <c:v>0.000237473748269772</c:v>
                </c:pt>
                <c:pt idx="83">
                  <c:v>0.000653052807741874</c:v>
                </c:pt>
                <c:pt idx="84">
                  <c:v>2.96842185337215E-5</c:v>
                </c:pt>
                <c:pt idx="85">
                  <c:v>8.90526556011646E-5</c:v>
                </c:pt>
                <c:pt idx="86">
                  <c:v>2.96842185337215E-5</c:v>
                </c:pt>
                <c:pt idx="87">
                  <c:v>2.96842185337215E-5</c:v>
                </c:pt>
                <c:pt idx="88">
                  <c:v>0.000623368589208152</c:v>
                </c:pt>
                <c:pt idx="89">
                  <c:v>0.000415579059472101</c:v>
                </c:pt>
                <c:pt idx="90">
                  <c:v>0.000148421092668608</c:v>
                </c:pt>
                <c:pt idx="91">
                  <c:v>2.96842185337215E-5</c:v>
                </c:pt>
                <c:pt idx="92">
                  <c:v>0.00038589484093838</c:v>
                </c:pt>
                <c:pt idx="93">
                  <c:v>0.000118736874134886</c:v>
                </c:pt>
                <c:pt idx="94">
                  <c:v>0.000118736874134886</c:v>
                </c:pt>
                <c:pt idx="95">
                  <c:v>0.000148421092668608</c:v>
                </c:pt>
                <c:pt idx="9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565256"/>
        <c:axId val="-2145827320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cytometer'!$N$4:$N$7</c:f>
              <c:numCache>
                <c:formatCode>General</c:formatCode>
                <c:ptCount val="4"/>
                <c:pt idx="0">
                  <c:v>10272.0</c:v>
                </c:pt>
                <c:pt idx="1">
                  <c:v>28617.0</c:v>
                </c:pt>
                <c:pt idx="2">
                  <c:v>3884.0</c:v>
                </c:pt>
                <c:pt idx="3">
                  <c:v>5678.0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OD600nm!$J$4:$J$7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0.016007</c:v>
                  </c:pt>
                  <c:pt idx="2">
                    <c:v>0.148730212903543</c:v>
                  </c:pt>
                  <c:pt idx="3">
                    <c:v>0.0244510963830527</c:v>
                  </c:pt>
                </c:numCache>
              </c:numRef>
            </c:plus>
            <c:minus>
              <c:numRef>
                <c:f>OD600nm!$J$4:$J$7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0.016007</c:v>
                  </c:pt>
                  <c:pt idx="2">
                    <c:v>0.148730212903543</c:v>
                  </c:pt>
                  <c:pt idx="3">
                    <c:v>0.0244510963830527</c:v>
                  </c:pt>
                </c:numCache>
              </c:numRef>
            </c:minus>
          </c:errBars>
          <c:xVal>
            <c:numRef>
              <c:f>OD600nm!$D$4:$D$7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OD600nm!$I$4:$I$7</c:f>
              <c:numCache>
                <c:formatCode>0.000</c:formatCode>
                <c:ptCount val="4"/>
                <c:pt idx="0">
                  <c:v>0.1882875</c:v>
                </c:pt>
                <c:pt idx="1">
                  <c:v>1.370651</c:v>
                </c:pt>
                <c:pt idx="2">
                  <c:v>3.152763666666667</c:v>
                </c:pt>
                <c:pt idx="3">
                  <c:v>2.053616333333333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051864"/>
        <c:axId val="-2139094456"/>
      </c:scatterChart>
      <c:valAx>
        <c:axId val="-2124565256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45827320"/>
        <c:crosses val="autoZero"/>
        <c:crossBetween val="midCat"/>
        <c:majorUnit val="6.0"/>
      </c:valAx>
      <c:valAx>
        <c:axId val="-2145827320"/>
        <c:scaling>
          <c:orientation val="minMax"/>
          <c:max val="6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24565256"/>
        <c:crosses val="autoZero"/>
        <c:crossBetween val="midCat"/>
      </c:valAx>
      <c:valAx>
        <c:axId val="-2139094456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23051864"/>
        <c:crosses val="max"/>
        <c:crossBetween val="midCat"/>
        <c:majorUnit val="1.0"/>
        <c:minorUnit val="0.2"/>
      </c:valAx>
      <c:valAx>
        <c:axId val="-2123051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3909445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PhD/ELN/BATCH/Monocultures/Faecalibacterium%20prausnitzii/2014_10_29_Batch4_FP_Fructose%20%20%20/Batch_4_FP_Calcul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rmentation"/>
      <sheetName val="Calculation"/>
      <sheetName val="Plate Count"/>
      <sheetName val="Flow cytometer"/>
      <sheetName val="Calibration F. prausnitzii"/>
      <sheetName val="Determination cell count"/>
      <sheetName val="OD600nm"/>
      <sheetName val="CDM"/>
      <sheetName val="H2"/>
      <sheetName val="CO2"/>
      <sheetName val="Metabolites"/>
      <sheetName val="D-Fructose"/>
      <sheetName val="Formic acid"/>
      <sheetName val="Acetic acid"/>
      <sheetName val="Propionic acid"/>
      <sheetName val="Butyric acid"/>
      <sheetName val="Lactic acid"/>
      <sheetName val="Ethanol"/>
      <sheetName val="Graph"/>
      <sheetName val="Graph (2)"/>
      <sheetName val="Carbon recovery"/>
    </sheetNames>
    <sheetDataSet>
      <sheetData sheetId="0"/>
      <sheetData sheetId="1"/>
      <sheetData sheetId="2"/>
      <sheetData sheetId="3"/>
      <sheetData sheetId="4">
        <row r="4">
          <cell r="R4">
            <v>8.6158560019212569</v>
          </cell>
        </row>
        <row r="5">
          <cell r="R5">
            <v>7.5787871690098934</v>
          </cell>
        </row>
        <row r="7">
          <cell r="R7">
            <v>5.1662524519541604</v>
          </cell>
        </row>
        <row r="8">
          <cell r="R8">
            <v>4.3271429450900092</v>
          </cell>
        </row>
        <row r="9">
          <cell r="R9">
            <v>8.5970052819172</v>
          </cell>
        </row>
        <row r="12">
          <cell r="R12">
            <v>7.6386549561082937</v>
          </cell>
        </row>
        <row r="13">
          <cell r="R13">
            <v>7.3179159600467427</v>
          </cell>
        </row>
        <row r="14">
          <cell r="R14">
            <v>6.9795002471622967</v>
          </cell>
        </row>
        <row r="15">
          <cell r="R15">
            <v>6.7271414012566968</v>
          </cell>
        </row>
        <row r="16">
          <cell r="R16">
            <v>6.2583457855668376</v>
          </cell>
        </row>
        <row r="17">
          <cell r="R17">
            <v>5.8987549482286576</v>
          </cell>
        </row>
        <row r="18">
          <cell r="R18">
            <v>5.5136855181177333</v>
          </cell>
        </row>
        <row r="23">
          <cell r="L23">
            <v>7.6159380716908052</v>
          </cell>
        </row>
        <row r="24">
          <cell r="L24">
            <v>10.997216745498585</v>
          </cell>
        </row>
        <row r="26">
          <cell r="L26">
            <v>18.925162836196829</v>
          </cell>
        </row>
        <row r="27">
          <cell r="L27">
            <v>22.150716984552947</v>
          </cell>
        </row>
        <row r="28">
          <cell r="L28">
            <v>7.9267727615103674</v>
          </cell>
        </row>
        <row r="31">
          <cell r="L31">
            <v>11.083116857376252</v>
          </cell>
        </row>
        <row r="32">
          <cell r="L32">
            <v>13.441737818883412</v>
          </cell>
        </row>
        <row r="33">
          <cell r="L33">
            <v>14.034818339513295</v>
          </cell>
        </row>
        <row r="34">
          <cell r="L34">
            <v>13.999122309850209</v>
          </cell>
        </row>
        <row r="35">
          <cell r="L35">
            <v>15.792017944819285</v>
          </cell>
        </row>
        <row r="36">
          <cell r="L36">
            <v>16.969425527420196</v>
          </cell>
        </row>
        <row r="37">
          <cell r="L37">
            <v>17.467782664464469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</sheetDataSet>
  </externalBook>
</externalLink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6" workbookViewId="0">
      <selection activeCell="C34" sqref="C34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38.6640625" style="2" customWidth="1"/>
    <col min="4" max="16384" width="8.83203125" style="2"/>
  </cols>
  <sheetData>
    <row r="1" spans="1:3">
      <c r="A1" s="115" t="s">
        <v>0</v>
      </c>
      <c r="B1" s="116"/>
      <c r="C1" s="34">
        <v>42179</v>
      </c>
    </row>
    <row r="2" spans="1:3" ht="16">
      <c r="A2" s="115" t="s">
        <v>1</v>
      </c>
      <c r="B2" s="117"/>
      <c r="C2" s="32" t="s">
        <v>130</v>
      </c>
    </row>
    <row r="3" spans="1:3">
      <c r="A3" s="11"/>
      <c r="B3" s="11"/>
      <c r="C3" s="10"/>
    </row>
    <row r="4" spans="1:3">
      <c r="A4" s="118" t="s">
        <v>49</v>
      </c>
      <c r="B4" s="118"/>
      <c r="C4" s="7" t="s">
        <v>108</v>
      </c>
    </row>
    <row r="6" spans="1:3">
      <c r="A6" s="41" t="s">
        <v>83</v>
      </c>
      <c r="B6" s="41" t="s">
        <v>84</v>
      </c>
      <c r="C6" s="41" t="s">
        <v>69</v>
      </c>
    </row>
    <row r="7" spans="1:3">
      <c r="A7" s="37" t="s">
        <v>85</v>
      </c>
      <c r="B7" s="37" t="s">
        <v>86</v>
      </c>
      <c r="C7" s="37" t="s">
        <v>102</v>
      </c>
    </row>
    <row r="8" spans="1:3">
      <c r="A8" s="37" t="s">
        <v>87</v>
      </c>
      <c r="B8" s="37" t="s">
        <v>88</v>
      </c>
      <c r="C8" s="37" t="s">
        <v>102</v>
      </c>
    </row>
    <row r="9" spans="1:3">
      <c r="A9" s="37" t="s">
        <v>89</v>
      </c>
      <c r="B9" s="37" t="s">
        <v>90</v>
      </c>
      <c r="C9" s="37" t="s">
        <v>102</v>
      </c>
    </row>
    <row r="10" spans="1:3">
      <c r="A10" s="37" t="s">
        <v>91</v>
      </c>
      <c r="B10" s="37" t="s">
        <v>92</v>
      </c>
      <c r="C10" s="37" t="s">
        <v>102</v>
      </c>
    </row>
    <row r="11" spans="1:3">
      <c r="A11" s="30" t="s">
        <v>93</v>
      </c>
      <c r="B11" s="30" t="s">
        <v>146</v>
      </c>
      <c r="C11" s="30" t="s">
        <v>102</v>
      </c>
    </row>
    <row r="12" spans="1:3">
      <c r="A12" s="37" t="s">
        <v>73</v>
      </c>
      <c r="B12" s="37" t="s">
        <v>94</v>
      </c>
      <c r="C12" s="37" t="s">
        <v>102</v>
      </c>
    </row>
    <row r="13" spans="1:3" ht="16">
      <c r="A13" s="40" t="s">
        <v>77</v>
      </c>
      <c r="B13" s="37" t="s">
        <v>95</v>
      </c>
      <c r="C13" s="37" t="s">
        <v>102</v>
      </c>
    </row>
    <row r="14" spans="1:3" ht="16">
      <c r="A14" s="10" t="s">
        <v>76</v>
      </c>
      <c r="B14" s="37" t="s">
        <v>95</v>
      </c>
      <c r="C14" s="37" t="s">
        <v>102</v>
      </c>
    </row>
    <row r="15" spans="1:3" ht="16">
      <c r="A15" s="37" t="s">
        <v>110</v>
      </c>
      <c r="B15" s="37" t="s">
        <v>96</v>
      </c>
      <c r="C15" s="37" t="s">
        <v>102</v>
      </c>
    </row>
    <row r="16" spans="1:3" ht="16">
      <c r="A16" s="37" t="s">
        <v>109</v>
      </c>
      <c r="B16" s="37" t="s">
        <v>95</v>
      </c>
      <c r="C16" s="37" t="s">
        <v>102</v>
      </c>
    </row>
    <row r="17" spans="1:3" ht="16">
      <c r="A17" s="37" t="s">
        <v>111</v>
      </c>
      <c r="B17" s="37" t="s">
        <v>95</v>
      </c>
      <c r="C17" s="37" t="s">
        <v>102</v>
      </c>
    </row>
    <row r="18" spans="1:3" ht="16">
      <c r="A18" s="37" t="s">
        <v>112</v>
      </c>
      <c r="B18" s="37" t="s">
        <v>152</v>
      </c>
      <c r="C18" s="37" t="s">
        <v>102</v>
      </c>
    </row>
    <row r="19" spans="1:3" ht="16">
      <c r="A19" s="37" t="s">
        <v>75</v>
      </c>
      <c r="B19" s="37" t="s">
        <v>153</v>
      </c>
      <c r="C19" s="37" t="s">
        <v>102</v>
      </c>
    </row>
    <row r="20" spans="1:3" ht="16">
      <c r="A20" s="37" t="s">
        <v>113</v>
      </c>
      <c r="B20" s="37" t="s">
        <v>97</v>
      </c>
      <c r="C20" s="37" t="s">
        <v>102</v>
      </c>
    </row>
    <row r="21" spans="1:3" ht="16">
      <c r="A21" s="37" t="s">
        <v>114</v>
      </c>
      <c r="B21" s="37" t="s">
        <v>98</v>
      </c>
      <c r="C21" s="37" t="s">
        <v>102</v>
      </c>
    </row>
    <row r="22" spans="1:3" ht="16">
      <c r="A22" s="37" t="s">
        <v>115</v>
      </c>
      <c r="B22" s="37" t="s">
        <v>99</v>
      </c>
      <c r="C22" s="37" t="s">
        <v>102</v>
      </c>
    </row>
    <row r="23" spans="1:3" ht="16">
      <c r="A23" s="37" t="s">
        <v>116</v>
      </c>
      <c r="B23" s="37" t="s">
        <v>99</v>
      </c>
      <c r="C23" s="37" t="s">
        <v>102</v>
      </c>
    </row>
    <row r="24" spans="1:3">
      <c r="A24" s="37" t="s">
        <v>100</v>
      </c>
      <c r="B24" s="37" t="s">
        <v>99</v>
      </c>
      <c r="C24" s="37" t="s">
        <v>102</v>
      </c>
    </row>
    <row r="25" spans="1:3">
      <c r="A25" s="37" t="s">
        <v>101</v>
      </c>
      <c r="B25" s="37" t="s">
        <v>99</v>
      </c>
      <c r="C25" s="37" t="s">
        <v>102</v>
      </c>
    </row>
    <row r="26" spans="1:3">
      <c r="A26" s="37" t="s">
        <v>74</v>
      </c>
      <c r="B26" s="37" t="s">
        <v>103</v>
      </c>
      <c r="C26" s="37" t="s">
        <v>104</v>
      </c>
    </row>
    <row r="27" spans="1:3">
      <c r="A27" s="37" t="s">
        <v>105</v>
      </c>
      <c r="B27" s="37" t="s">
        <v>102</v>
      </c>
      <c r="C27" s="37" t="s">
        <v>107</v>
      </c>
    </row>
    <row r="28" spans="1:3">
      <c r="A28" s="37" t="s">
        <v>106</v>
      </c>
      <c r="B28" s="37" t="s">
        <v>102</v>
      </c>
      <c r="C28" s="37" t="s">
        <v>107</v>
      </c>
    </row>
    <row r="29" spans="1:3" ht="16">
      <c r="A29" s="30" t="s">
        <v>147</v>
      </c>
      <c r="B29" s="30" t="s">
        <v>148</v>
      </c>
      <c r="C29" s="30" t="s">
        <v>149</v>
      </c>
    </row>
    <row r="31" spans="1:3" ht="72" customHeight="1">
      <c r="A31" s="79" t="s">
        <v>168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topLeftCell="A78" zoomScale="98" zoomScaleNormal="98" zoomScalePageLayoutView="98" workbookViewId="0">
      <selection activeCell="B5" sqref="B5:B108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70</v>
      </c>
      <c r="C1" s="9" t="s">
        <v>51</v>
      </c>
    </row>
    <row r="3" spans="1:12">
      <c r="A3" s="118" t="s">
        <v>5</v>
      </c>
      <c r="B3" s="118" t="s">
        <v>36</v>
      </c>
      <c r="C3" s="118"/>
      <c r="D3" s="118" t="s">
        <v>52</v>
      </c>
      <c r="E3" s="118"/>
      <c r="F3" s="118"/>
      <c r="G3" s="8" t="s">
        <v>53</v>
      </c>
    </row>
    <row r="4" spans="1:12">
      <c r="A4" s="118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5">
        <v>0</v>
      </c>
      <c r="B5" s="12">
        <v>0</v>
      </c>
      <c r="C5" s="36">
        <f>B5/1000</f>
        <v>0</v>
      </c>
      <c r="D5" s="12">
        <f>C5/1000*$B$1</f>
        <v>0</v>
      </c>
      <c r="E5" s="12">
        <f>D5/22.4</f>
        <v>0</v>
      </c>
      <c r="F5" s="12">
        <f>E5/Calculation!L$4*1000</f>
        <v>0</v>
      </c>
      <c r="G5" s="12">
        <f>(0+F5)/2*30</f>
        <v>0</v>
      </c>
      <c r="I5" s="76">
        <v>-0.16666666666666666</v>
      </c>
      <c r="J5" t="s">
        <v>154</v>
      </c>
    </row>
    <row r="6" spans="1:12">
      <c r="A6" s="35">
        <v>0.5</v>
      </c>
      <c r="B6" s="12">
        <v>0</v>
      </c>
      <c r="C6" s="36">
        <f>B6/1000</f>
        <v>0</v>
      </c>
      <c r="D6" s="12">
        <f>C6/1000*$B$1</f>
        <v>0</v>
      </c>
      <c r="E6" s="12">
        <f t="shared" ref="E6:E69" si="0">D6/22.4</f>
        <v>0</v>
      </c>
      <c r="F6" s="12">
        <f>E6/Calculation!L$4*1000</f>
        <v>0</v>
      </c>
      <c r="G6" s="12">
        <f>G5+(F6+F5)/2*30</f>
        <v>0</v>
      </c>
      <c r="I6" s="76">
        <v>0.16666666666666666</v>
      </c>
      <c r="J6" t="s">
        <v>155</v>
      </c>
    </row>
    <row r="7" spans="1:12">
      <c r="A7" s="35">
        <v>1</v>
      </c>
      <c r="B7" s="12">
        <v>165.47</v>
      </c>
      <c r="C7" s="36">
        <f t="shared" ref="C7:C69" si="1">B7/1000</f>
        <v>0.16547000000000001</v>
      </c>
      <c r="D7" s="12">
        <f t="shared" ref="D7:D69" si="2">C7/1000*$B$1</f>
        <v>1.15829E-2</v>
      </c>
      <c r="E7" s="12">
        <f t="shared" si="0"/>
        <v>5.1709375000000008E-4</v>
      </c>
      <c r="F7" s="12">
        <f>E7/Calculation!L$4*1000</f>
        <v>3.6034407665505233E-4</v>
      </c>
      <c r="G7" s="12">
        <f>G6+(F7+F6)/2*30</f>
        <v>5.4051611498257849E-3</v>
      </c>
      <c r="I7" s="76">
        <v>12</v>
      </c>
      <c r="J7" t="s">
        <v>156</v>
      </c>
    </row>
    <row r="8" spans="1:12">
      <c r="A8" s="35">
        <v>1.5</v>
      </c>
      <c r="B8" s="12">
        <v>159.26</v>
      </c>
      <c r="C8" s="36">
        <f t="shared" si="1"/>
        <v>0.15925999999999998</v>
      </c>
      <c r="D8" s="12">
        <f t="shared" si="2"/>
        <v>1.1148199999999999E-2</v>
      </c>
      <c r="E8" s="12">
        <f t="shared" si="0"/>
        <v>4.9768749999999997E-4</v>
      </c>
      <c r="F8" s="12">
        <f>E8/Calculation!L$4*1000</f>
        <v>3.4682055749128915E-4</v>
      </c>
      <c r="G8" s="12">
        <f t="shared" ref="G8:G70" si="3">G7+(F8+F7)/2*30</f>
        <v>1.6012630662020907E-2</v>
      </c>
      <c r="I8" s="76">
        <v>24</v>
      </c>
      <c r="J8" t="s">
        <v>157</v>
      </c>
      <c r="K8" s="2">
        <f>0.001977/44.01</f>
        <v>4.492160872528971E-5</v>
      </c>
      <c r="L8" s="2">
        <f>1/K8</f>
        <v>22261.001517450681</v>
      </c>
    </row>
    <row r="9" spans="1:12">
      <c r="A9" s="35">
        <v>2</v>
      </c>
      <c r="B9" s="12">
        <v>163.24</v>
      </c>
      <c r="C9" s="36">
        <f t="shared" si="1"/>
        <v>0.16324</v>
      </c>
      <c r="D9" s="12">
        <f t="shared" si="2"/>
        <v>1.1426799999999999E-2</v>
      </c>
      <c r="E9" s="12">
        <f t="shared" si="0"/>
        <v>5.1012499999999994E-4</v>
      </c>
      <c r="F9" s="12">
        <f>E9/Calculation!L$4*1000</f>
        <v>3.5548780487804874E-4</v>
      </c>
      <c r="G9" s="12">
        <f t="shared" si="3"/>
        <v>2.6547256097560975E-2</v>
      </c>
    </row>
    <row r="10" spans="1:12">
      <c r="A10" s="35">
        <v>2.5</v>
      </c>
      <c r="B10" s="12">
        <v>164.2</v>
      </c>
      <c r="C10" s="36">
        <f t="shared" si="1"/>
        <v>0.16419999999999998</v>
      </c>
      <c r="D10" s="12">
        <f t="shared" si="2"/>
        <v>1.1493999999999999E-2</v>
      </c>
      <c r="E10" s="12">
        <f t="shared" si="0"/>
        <v>5.1312500000000002E-4</v>
      </c>
      <c r="F10" s="12">
        <f>E10/Calculation!L$5*1000</f>
        <v>3.7034905425584874E-4</v>
      </c>
      <c r="G10" s="12">
        <f t="shared" si="3"/>
        <v>3.743480898456944E-2</v>
      </c>
    </row>
    <row r="11" spans="1:12">
      <c r="A11" s="35">
        <v>3</v>
      </c>
      <c r="B11" s="12">
        <v>195.6</v>
      </c>
      <c r="C11" s="36">
        <f t="shared" si="1"/>
        <v>0.1956</v>
      </c>
      <c r="D11" s="12">
        <f t="shared" si="2"/>
        <v>1.3691999999999999E-2</v>
      </c>
      <c r="E11" s="12">
        <f t="shared" si="0"/>
        <v>6.1125000000000003E-4</v>
      </c>
      <c r="F11" s="12">
        <f>E11/Calculation!L$5*1000</f>
        <v>4.4117098058735693E-4</v>
      </c>
      <c r="G11" s="12">
        <f t="shared" si="3"/>
        <v>4.9607609507217522E-2</v>
      </c>
    </row>
    <row r="12" spans="1:12">
      <c r="A12" s="35">
        <v>3.5</v>
      </c>
      <c r="B12" s="12">
        <v>250.28</v>
      </c>
      <c r="C12" s="36">
        <f t="shared" si="1"/>
        <v>0.25028</v>
      </c>
      <c r="D12" s="12">
        <f t="shared" si="2"/>
        <v>1.7519600000000003E-2</v>
      </c>
      <c r="E12" s="12">
        <f t="shared" si="0"/>
        <v>7.8212500000000016E-4</v>
      </c>
      <c r="F12" s="12">
        <f>E12/Calculation!L$6*1000</f>
        <v>5.8963223925554201E-4</v>
      </c>
      <c r="G12" s="12">
        <f t="shared" si="3"/>
        <v>6.5069657804861E-2</v>
      </c>
    </row>
    <row r="13" spans="1:12">
      <c r="A13" s="35">
        <v>4</v>
      </c>
      <c r="B13" s="12">
        <v>338.6</v>
      </c>
      <c r="C13" s="36">
        <f t="shared" si="1"/>
        <v>0.33860000000000001</v>
      </c>
      <c r="D13" s="12">
        <f t="shared" si="2"/>
        <v>2.3702000000000001E-2</v>
      </c>
      <c r="E13" s="12">
        <f t="shared" si="0"/>
        <v>1.058125E-3</v>
      </c>
      <c r="F13" s="12">
        <f>E13/Calculation!L$6*1000</f>
        <v>7.9770447583477099E-4</v>
      </c>
      <c r="G13" s="12">
        <f t="shared" si="3"/>
        <v>8.5879708531215695E-2</v>
      </c>
    </row>
    <row r="14" spans="1:12">
      <c r="A14" s="35">
        <v>4.5</v>
      </c>
      <c r="B14" s="12">
        <v>424.68</v>
      </c>
      <c r="C14" s="36">
        <f t="shared" si="1"/>
        <v>0.42468</v>
      </c>
      <c r="D14" s="12">
        <f t="shared" si="2"/>
        <v>2.97276E-2</v>
      </c>
      <c r="E14" s="12">
        <f t="shared" si="0"/>
        <v>1.3271250000000002E-3</v>
      </c>
      <c r="F14" s="12">
        <f>E14/Calculation!L$6*1000</f>
        <v>1.0004995180080052E-3</v>
      </c>
      <c r="G14" s="12">
        <f t="shared" si="3"/>
        <v>0.11285276843885733</v>
      </c>
    </row>
    <row r="15" spans="1:12">
      <c r="A15" s="35">
        <v>5</v>
      </c>
      <c r="B15" s="12">
        <v>546</v>
      </c>
      <c r="C15" s="36">
        <f t="shared" si="1"/>
        <v>0.54600000000000004</v>
      </c>
      <c r="D15" s="12">
        <f t="shared" si="2"/>
        <v>3.8220000000000004E-2</v>
      </c>
      <c r="E15" s="12">
        <f t="shared" si="0"/>
        <v>1.7062500000000003E-3</v>
      </c>
      <c r="F15" s="12">
        <f>E15/Calculation!L$7*1000</f>
        <v>1.3430523409640382E-3</v>
      </c>
      <c r="G15" s="12">
        <f t="shared" si="3"/>
        <v>0.14800604632343797</v>
      </c>
    </row>
    <row r="16" spans="1:12">
      <c r="A16" s="35">
        <v>5.5</v>
      </c>
      <c r="B16" s="12">
        <v>608.80999999999995</v>
      </c>
      <c r="C16" s="36">
        <f t="shared" si="1"/>
        <v>0.60880999999999996</v>
      </c>
      <c r="D16" s="12">
        <f t="shared" si="2"/>
        <v>4.26167E-2</v>
      </c>
      <c r="E16" s="12">
        <f t="shared" si="0"/>
        <v>1.9025312500000001E-3</v>
      </c>
      <c r="F16" s="12">
        <f>E16/Calculation!L$7*1000</f>
        <v>1.4975525562313482E-3</v>
      </c>
      <c r="G16" s="12">
        <f t="shared" si="3"/>
        <v>0.19061511978136877</v>
      </c>
    </row>
    <row r="17" spans="1:7">
      <c r="A17" s="35">
        <v>6</v>
      </c>
      <c r="B17" s="12">
        <v>707.48</v>
      </c>
      <c r="C17" s="36">
        <f t="shared" si="1"/>
        <v>0.70748</v>
      </c>
      <c r="D17" s="12">
        <f t="shared" si="2"/>
        <v>4.9523600000000001E-2</v>
      </c>
      <c r="E17" s="12">
        <f t="shared" si="0"/>
        <v>2.2108750000000002E-3</v>
      </c>
      <c r="F17" s="12">
        <f>E17/Calculation!L$4*1000</f>
        <v>1.540679442508711E-3</v>
      </c>
      <c r="G17" s="12">
        <f t="shared" si="3"/>
        <v>0.23618859976246967</v>
      </c>
    </row>
    <row r="18" spans="1:7">
      <c r="A18" s="35">
        <v>6.5</v>
      </c>
      <c r="B18" s="12">
        <v>840.75</v>
      </c>
      <c r="C18" s="36">
        <f t="shared" si="1"/>
        <v>0.84075</v>
      </c>
      <c r="D18" s="12">
        <f t="shared" si="2"/>
        <v>5.8852500000000002E-2</v>
      </c>
      <c r="E18" s="12">
        <f t="shared" si="0"/>
        <v>2.6273437500000003E-3</v>
      </c>
      <c r="F18" s="12">
        <f>E18/Calculation!L$4*1000</f>
        <v>1.8309015679442511E-3</v>
      </c>
      <c r="G18" s="12">
        <f t="shared" si="3"/>
        <v>0.28676231491926407</v>
      </c>
    </row>
    <row r="19" spans="1:7">
      <c r="A19" s="35">
        <v>7</v>
      </c>
      <c r="B19" s="12">
        <v>915.52</v>
      </c>
      <c r="C19" s="36">
        <f t="shared" si="1"/>
        <v>0.91552</v>
      </c>
      <c r="D19" s="12">
        <f t="shared" si="2"/>
        <v>6.4086400000000002E-2</v>
      </c>
      <c r="E19" s="12">
        <f t="shared" si="0"/>
        <v>2.8610000000000003E-3</v>
      </c>
      <c r="F19" s="12">
        <f>E19/Calculation!L$4*1000</f>
        <v>1.993728222996516E-3</v>
      </c>
      <c r="G19" s="12">
        <f t="shared" si="3"/>
        <v>0.34413176178337557</v>
      </c>
    </row>
    <row r="20" spans="1:7">
      <c r="A20" s="35">
        <v>7.5</v>
      </c>
      <c r="B20" s="12">
        <v>1014.68</v>
      </c>
      <c r="C20" s="36">
        <f t="shared" si="1"/>
        <v>1.01468</v>
      </c>
      <c r="D20" s="12">
        <f t="shared" si="2"/>
        <v>7.1027599999999996E-2</v>
      </c>
      <c r="E20" s="12">
        <f t="shared" si="0"/>
        <v>3.1708750000000001E-3</v>
      </c>
      <c r="F20" s="12">
        <f>E20/Calculation!L$4*1000</f>
        <v>2.2096689895470382E-3</v>
      </c>
      <c r="G20" s="12">
        <f t="shared" si="3"/>
        <v>0.40718271997152888</v>
      </c>
    </row>
    <row r="21" spans="1:7">
      <c r="A21" s="35">
        <v>8</v>
      </c>
      <c r="B21" s="12">
        <v>1101.08</v>
      </c>
      <c r="C21" s="36">
        <f t="shared" si="1"/>
        <v>1.1010799999999998</v>
      </c>
      <c r="D21" s="12">
        <f t="shared" si="2"/>
        <v>7.7075599999999994E-2</v>
      </c>
      <c r="E21" s="12">
        <f t="shared" si="0"/>
        <v>3.4408749999999999E-3</v>
      </c>
      <c r="F21" s="12">
        <f>E21/Calculation!L$4*1000</f>
        <v>2.3978222996515679E-3</v>
      </c>
      <c r="G21" s="12">
        <f t="shared" si="3"/>
        <v>0.47629508930950798</v>
      </c>
    </row>
    <row r="22" spans="1:7">
      <c r="A22" s="35">
        <v>8.5</v>
      </c>
      <c r="B22" s="12">
        <v>1217.93</v>
      </c>
      <c r="C22" s="36">
        <f t="shared" si="1"/>
        <v>1.21793</v>
      </c>
      <c r="D22" s="12">
        <f t="shared" si="2"/>
        <v>8.5255099999999986E-2</v>
      </c>
      <c r="E22" s="12">
        <f t="shared" si="0"/>
        <v>3.8060312499999995E-3</v>
      </c>
      <c r="F22" s="12">
        <f>E22/Calculation!L$5*1000</f>
        <v>2.7470111062717767E-3</v>
      </c>
      <c r="G22" s="12">
        <f t="shared" si="3"/>
        <v>0.55346759039835813</v>
      </c>
    </row>
    <row r="23" spans="1:7">
      <c r="A23" s="35">
        <v>9</v>
      </c>
      <c r="B23" s="12">
        <v>1338.13</v>
      </c>
      <c r="C23" s="36">
        <f t="shared" si="1"/>
        <v>1.33813</v>
      </c>
      <c r="D23" s="12">
        <f t="shared" si="2"/>
        <v>9.3669100000000005E-2</v>
      </c>
      <c r="E23" s="12">
        <f t="shared" si="0"/>
        <v>4.1816562500000005E-3</v>
      </c>
      <c r="F23" s="12">
        <f>E23/Calculation!L$5*1000</f>
        <v>3.0181192446490797E-3</v>
      </c>
      <c r="G23" s="12">
        <f t="shared" si="3"/>
        <v>0.63994454566217096</v>
      </c>
    </row>
    <row r="24" spans="1:7">
      <c r="A24" s="35">
        <v>9.5</v>
      </c>
      <c r="B24" s="12">
        <v>1467.73</v>
      </c>
      <c r="C24" s="36">
        <f t="shared" si="1"/>
        <v>1.46773</v>
      </c>
      <c r="D24" s="12">
        <f t="shared" si="2"/>
        <v>0.1027411</v>
      </c>
      <c r="E24" s="12">
        <f t="shared" si="0"/>
        <v>4.5866562500000005E-3</v>
      </c>
      <c r="F24" s="12">
        <f>E24/Calculation!L$6*1000</f>
        <v>3.4578109578173905E-3</v>
      </c>
      <c r="G24" s="12">
        <f t="shared" si="3"/>
        <v>0.737083498699168</v>
      </c>
    </row>
    <row r="25" spans="1:7">
      <c r="A25" s="35">
        <v>10</v>
      </c>
      <c r="B25" s="12">
        <v>1641.18</v>
      </c>
      <c r="C25" s="36">
        <f t="shared" si="1"/>
        <v>1.6411800000000001</v>
      </c>
      <c r="D25" s="12">
        <f t="shared" si="2"/>
        <v>0.1148826</v>
      </c>
      <c r="E25" s="12">
        <f t="shared" si="0"/>
        <v>5.1286875000000004E-3</v>
      </c>
      <c r="F25" s="12">
        <f>E25/Calculation!L$6*1000</f>
        <v>3.8664401407280261E-3</v>
      </c>
      <c r="G25" s="12">
        <f t="shared" si="3"/>
        <v>0.84694726517734931</v>
      </c>
    </row>
    <row r="26" spans="1:7">
      <c r="A26" s="35">
        <v>10.5</v>
      </c>
      <c r="B26" s="12">
        <v>1890.18</v>
      </c>
      <c r="C26" s="36">
        <f t="shared" si="1"/>
        <v>1.89018</v>
      </c>
      <c r="D26" s="12">
        <f t="shared" si="2"/>
        <v>0.1323126</v>
      </c>
      <c r="E26" s="12">
        <f t="shared" si="0"/>
        <v>5.9068125000000006E-3</v>
      </c>
      <c r="F26" s="12">
        <f>E26/Calculation!L$6*1000</f>
        <v>4.4530568403229991E-3</v>
      </c>
      <c r="G26" s="12">
        <f t="shared" si="3"/>
        <v>0.9717397198931147</v>
      </c>
    </row>
    <row r="27" spans="1:7">
      <c r="A27" s="35">
        <v>11</v>
      </c>
      <c r="B27" s="12">
        <v>2241.0500000000002</v>
      </c>
      <c r="C27" s="36">
        <f t="shared" si="1"/>
        <v>2.24105</v>
      </c>
      <c r="D27" s="12">
        <f t="shared" si="2"/>
        <v>0.1568735</v>
      </c>
      <c r="E27" s="12">
        <f t="shared" si="0"/>
        <v>7.0032812500000008E-3</v>
      </c>
      <c r="F27" s="12">
        <f>E27/Calculation!L$7*1000</f>
        <v>5.5125411148671394E-3</v>
      </c>
      <c r="G27" s="12">
        <f t="shared" si="3"/>
        <v>1.1212236892209668</v>
      </c>
    </row>
    <row r="28" spans="1:7">
      <c r="A28" s="35">
        <v>11.5</v>
      </c>
      <c r="B28" s="12">
        <v>2670.04</v>
      </c>
      <c r="C28" s="36">
        <f t="shared" si="1"/>
        <v>2.6700399999999997</v>
      </c>
      <c r="D28" s="12">
        <f t="shared" si="2"/>
        <v>0.18690279999999998</v>
      </c>
      <c r="E28" s="12">
        <f t="shared" si="0"/>
        <v>8.3438749999999989E-3</v>
      </c>
      <c r="F28" s="12">
        <f>E28/Calculation!L$7*1000</f>
        <v>6.567771927596373E-3</v>
      </c>
      <c r="G28" s="12">
        <f t="shared" si="3"/>
        <v>1.3024283848579195</v>
      </c>
    </row>
    <row r="29" spans="1:7">
      <c r="A29" s="35">
        <v>12</v>
      </c>
      <c r="B29" s="12">
        <v>3471.26</v>
      </c>
      <c r="C29" s="36">
        <f t="shared" si="1"/>
        <v>3.47126</v>
      </c>
      <c r="D29" s="12">
        <f t="shared" si="2"/>
        <v>0.24298819999999999</v>
      </c>
      <c r="E29" s="12">
        <f t="shared" si="0"/>
        <v>1.08476875E-2</v>
      </c>
      <c r="F29" s="12">
        <f>E29/Calculation!L$5*1000</f>
        <v>7.8293414011946245E-3</v>
      </c>
      <c r="G29" s="12">
        <f t="shared" si="3"/>
        <v>1.5183850847897844</v>
      </c>
    </row>
    <row r="30" spans="1:7">
      <c r="A30" s="35">
        <v>12.5</v>
      </c>
      <c r="B30" s="12">
        <v>4340.07</v>
      </c>
      <c r="C30" s="36">
        <f t="shared" si="1"/>
        <v>4.3400699999999999</v>
      </c>
      <c r="D30" s="12">
        <f t="shared" si="2"/>
        <v>0.30380489999999999</v>
      </c>
      <c r="E30" s="12">
        <f t="shared" si="0"/>
        <v>1.3562718750000001E-2</v>
      </c>
      <c r="F30" s="12">
        <f>E30/Calculation!L$5*1000</f>
        <v>9.7889209494773539E-3</v>
      </c>
      <c r="G30" s="12">
        <f t="shared" si="3"/>
        <v>1.7826590200498642</v>
      </c>
    </row>
    <row r="31" spans="1:7">
      <c r="A31" s="35">
        <v>13</v>
      </c>
      <c r="B31" s="12">
        <v>5369.25</v>
      </c>
      <c r="C31" s="36">
        <f t="shared" si="1"/>
        <v>5.3692500000000001</v>
      </c>
      <c r="D31" s="12">
        <f t="shared" si="2"/>
        <v>0.3758475</v>
      </c>
      <c r="E31" s="12">
        <f t="shared" si="0"/>
        <v>1.677890625E-2</v>
      </c>
      <c r="F31" s="12">
        <f>E31/Calculation!L$5*1000</f>
        <v>1.2110211081383774E-2</v>
      </c>
      <c r="G31" s="12">
        <f t="shared" si="3"/>
        <v>2.1111460005127811</v>
      </c>
    </row>
    <row r="32" spans="1:7">
      <c r="A32" s="35">
        <v>13.5</v>
      </c>
      <c r="B32" s="12">
        <v>6847.99</v>
      </c>
      <c r="C32" s="36">
        <f t="shared" si="1"/>
        <v>6.8479899999999994</v>
      </c>
      <c r="D32" s="12">
        <f t="shared" si="2"/>
        <v>0.47935929999999993</v>
      </c>
      <c r="E32" s="12">
        <f t="shared" si="0"/>
        <v>2.1399968749999998E-2</v>
      </c>
      <c r="F32" s="12">
        <f>E32/Calculation!L$5*1000</f>
        <v>1.5445472716525634E-2</v>
      </c>
      <c r="G32" s="12">
        <f t="shared" si="3"/>
        <v>2.5244812574814222</v>
      </c>
    </row>
    <row r="33" spans="1:7">
      <c r="A33" s="35">
        <v>14</v>
      </c>
      <c r="B33" s="12">
        <v>8023.19</v>
      </c>
      <c r="C33" s="36">
        <f t="shared" si="1"/>
        <v>8.0231899999999996</v>
      </c>
      <c r="D33" s="12">
        <f t="shared" si="2"/>
        <v>0.56162329999999994</v>
      </c>
      <c r="E33" s="12">
        <f t="shared" si="0"/>
        <v>2.507246875E-2</v>
      </c>
      <c r="F33" s="12">
        <f>E33/Calculation!L$5*1000</f>
        <v>1.8096107360627178E-2</v>
      </c>
      <c r="G33" s="12">
        <f t="shared" si="3"/>
        <v>3.0276049586387144</v>
      </c>
    </row>
    <row r="34" spans="1:7">
      <c r="A34" s="35">
        <v>14.5</v>
      </c>
      <c r="B34" s="12">
        <v>9389.7000000000007</v>
      </c>
      <c r="C34" s="36">
        <f t="shared" si="1"/>
        <v>9.3897000000000013</v>
      </c>
      <c r="D34" s="12">
        <f t="shared" si="2"/>
        <v>0.65727900000000006</v>
      </c>
      <c r="E34" s="12">
        <f t="shared" si="0"/>
        <v>2.9342812500000006E-2</v>
      </c>
      <c r="F34" s="12">
        <f>E34/Calculation!L$5*1000</f>
        <v>2.1178236996017927E-2</v>
      </c>
      <c r="G34" s="12">
        <f t="shared" si="3"/>
        <v>3.616720123988391</v>
      </c>
    </row>
    <row r="35" spans="1:7">
      <c r="A35" s="35">
        <v>15</v>
      </c>
      <c r="B35" s="12">
        <v>10460.81</v>
      </c>
      <c r="C35" s="36">
        <f t="shared" si="1"/>
        <v>10.460809999999999</v>
      </c>
      <c r="D35" s="12">
        <f t="shared" si="2"/>
        <v>0.73225669999999998</v>
      </c>
      <c r="E35" s="12">
        <f t="shared" si="0"/>
        <v>3.2690031250000001E-2</v>
      </c>
      <c r="F35" s="12">
        <f>E35/Calculation!L$5*1000</f>
        <v>2.3594099209805874E-2</v>
      </c>
      <c r="G35" s="12">
        <f t="shared" si="3"/>
        <v>4.2883051670757482</v>
      </c>
    </row>
    <row r="36" spans="1:7">
      <c r="A36" s="35">
        <v>15.5</v>
      </c>
      <c r="B36" s="12">
        <v>9437.52</v>
      </c>
      <c r="C36" s="36">
        <f t="shared" si="1"/>
        <v>9.437520000000001</v>
      </c>
      <c r="D36" s="12">
        <f t="shared" si="2"/>
        <v>0.66062640000000006</v>
      </c>
      <c r="E36" s="12">
        <f t="shared" si="0"/>
        <v>2.9492250000000005E-2</v>
      </c>
      <c r="F36" s="12">
        <f>E36/Calculation!L$5*1000</f>
        <v>2.1286093827775018E-2</v>
      </c>
      <c r="G36" s="12">
        <f t="shared" si="3"/>
        <v>4.9615080626394619</v>
      </c>
    </row>
    <row r="37" spans="1:7">
      <c r="A37" s="35">
        <v>16</v>
      </c>
      <c r="B37" s="12">
        <v>11588.67</v>
      </c>
      <c r="C37" s="36">
        <f t="shared" si="1"/>
        <v>11.58867</v>
      </c>
      <c r="D37" s="12">
        <f t="shared" si="2"/>
        <v>0.81120690000000006</v>
      </c>
      <c r="E37" s="12">
        <f t="shared" si="0"/>
        <v>3.6214593750000003E-2</v>
      </c>
      <c r="F37" s="12">
        <f>E37/Calculation!L$5*1000</f>
        <v>2.6137959650323551E-2</v>
      </c>
      <c r="G37" s="12">
        <f t="shared" si="3"/>
        <v>5.6728688648109404</v>
      </c>
    </row>
    <row r="38" spans="1:7">
      <c r="A38" s="35">
        <v>16.5</v>
      </c>
      <c r="B38" s="12">
        <v>11966.16</v>
      </c>
      <c r="C38" s="36">
        <f t="shared" si="1"/>
        <v>11.96616</v>
      </c>
      <c r="D38" s="12">
        <f t="shared" si="2"/>
        <v>0.83763120000000002</v>
      </c>
      <c r="E38" s="12">
        <f t="shared" si="0"/>
        <v>3.7394250000000004E-2</v>
      </c>
      <c r="F38" s="12">
        <f>E38/Calculation!L$5*1000</f>
        <v>2.6989379044300651E-2</v>
      </c>
      <c r="G38" s="12">
        <f t="shared" si="3"/>
        <v>6.4697789452303036</v>
      </c>
    </row>
    <row r="39" spans="1:7">
      <c r="A39" s="35">
        <v>17</v>
      </c>
      <c r="B39" s="12">
        <v>11912.28</v>
      </c>
      <c r="C39" s="36">
        <f t="shared" si="1"/>
        <v>11.912280000000001</v>
      </c>
      <c r="D39" s="12">
        <f t="shared" si="2"/>
        <v>0.83385960000000003</v>
      </c>
      <c r="E39" s="12">
        <f t="shared" si="0"/>
        <v>3.7225875000000005E-2</v>
      </c>
      <c r="F39" s="12">
        <f>E39/Calculation!L$5*1000</f>
        <v>2.6867854031856649E-2</v>
      </c>
      <c r="G39" s="12">
        <f>G38+(F39+F38)/2*30</f>
        <v>7.2776374413726632</v>
      </c>
    </row>
    <row r="40" spans="1:7">
      <c r="A40" s="35">
        <v>17.5</v>
      </c>
      <c r="B40" s="12">
        <v>11511.99</v>
      </c>
      <c r="C40" s="36">
        <f t="shared" si="1"/>
        <v>11.511989999999999</v>
      </c>
      <c r="D40" s="12">
        <f t="shared" si="2"/>
        <v>0.80583929999999993</v>
      </c>
      <c r="E40" s="12">
        <f t="shared" si="0"/>
        <v>3.5974968749999996E-2</v>
      </c>
      <c r="F40" s="12">
        <f>E40/Calculation!L$5*1000</f>
        <v>2.5965009799651568E-2</v>
      </c>
      <c r="G40" s="12">
        <f t="shared" si="3"/>
        <v>8.0701303988452864</v>
      </c>
    </row>
    <row r="41" spans="1:7">
      <c r="A41" s="35">
        <v>18</v>
      </c>
      <c r="B41" s="12">
        <v>10866.04</v>
      </c>
      <c r="C41" s="36">
        <f t="shared" si="1"/>
        <v>10.866040000000002</v>
      </c>
      <c r="D41" s="12">
        <f t="shared" si="2"/>
        <v>0.76062280000000015</v>
      </c>
      <c r="E41" s="12">
        <f t="shared" si="0"/>
        <v>3.3956375000000011E-2</v>
      </c>
      <c r="F41" s="12">
        <f>E41/Calculation!L$5*1000</f>
        <v>2.4508085490293686E-2</v>
      </c>
      <c r="G41" s="12">
        <f t="shared" si="3"/>
        <v>8.8272268281944655</v>
      </c>
    </row>
    <row r="42" spans="1:7">
      <c r="A42" s="35">
        <v>18.5</v>
      </c>
      <c r="B42" s="12">
        <v>9979.3700000000008</v>
      </c>
      <c r="C42" s="36">
        <f t="shared" si="1"/>
        <v>9.9793700000000012</v>
      </c>
      <c r="D42" s="12">
        <f t="shared" si="2"/>
        <v>0.69855590000000012</v>
      </c>
      <c r="E42" s="12">
        <f t="shared" si="0"/>
        <v>3.1185531250000006E-2</v>
      </c>
      <c r="F42" s="12">
        <f>E42/Calculation!L$5*1000</f>
        <v>2.2508223152065708E-2</v>
      </c>
      <c r="G42" s="12">
        <f t="shared" si="3"/>
        <v>9.5324714578298568</v>
      </c>
    </row>
    <row r="43" spans="1:7">
      <c r="A43" s="35">
        <v>19</v>
      </c>
      <c r="B43" s="12">
        <v>9206.85</v>
      </c>
      <c r="C43" s="36">
        <f t="shared" si="1"/>
        <v>9.2068500000000011</v>
      </c>
      <c r="D43" s="12">
        <f t="shared" si="2"/>
        <v>0.64447950000000009</v>
      </c>
      <c r="E43" s="12">
        <f t="shared" si="0"/>
        <v>2.8771406250000006E-2</v>
      </c>
      <c r="F43" s="12">
        <f>E43/Calculation!L$5*1000</f>
        <v>2.076582332628174E-2</v>
      </c>
      <c r="G43" s="12">
        <f t="shared" si="3"/>
        <v>10.181582155005069</v>
      </c>
    </row>
    <row r="44" spans="1:7">
      <c r="A44" s="35">
        <v>19.5</v>
      </c>
      <c r="B44" s="12">
        <v>8109.44</v>
      </c>
      <c r="C44" s="36">
        <f t="shared" si="1"/>
        <v>8.1094399999999993</v>
      </c>
      <c r="D44" s="12">
        <f t="shared" si="2"/>
        <v>0.56766079999999997</v>
      </c>
      <c r="E44" s="12">
        <f t="shared" si="0"/>
        <v>2.5342E-2</v>
      </c>
      <c r="F44" s="12">
        <f>E44/Calculation!L$5*1000</f>
        <v>1.8290642110502738E-2</v>
      </c>
      <c r="G44" s="12">
        <f t="shared" si="3"/>
        <v>10.767429136556837</v>
      </c>
    </row>
    <row r="45" spans="1:7">
      <c r="A45" s="35">
        <v>20</v>
      </c>
      <c r="B45" s="12">
        <v>7215.92</v>
      </c>
      <c r="C45" s="36">
        <f t="shared" si="1"/>
        <v>7.2159199999999997</v>
      </c>
      <c r="D45" s="12">
        <f t="shared" si="2"/>
        <v>0.50511439999999996</v>
      </c>
      <c r="E45" s="12">
        <f t="shared" si="0"/>
        <v>2.254975E-2</v>
      </c>
      <c r="F45" s="12">
        <f>E45/Calculation!L$5*1000</f>
        <v>1.6275329766052764E-2</v>
      </c>
      <c r="G45" s="12">
        <f t="shared" si="3"/>
        <v>11.285918714705168</v>
      </c>
    </row>
    <row r="46" spans="1:7">
      <c r="A46" s="35">
        <v>20.5</v>
      </c>
      <c r="B46" s="12">
        <v>6479.9</v>
      </c>
      <c r="C46" s="36">
        <f t="shared" si="1"/>
        <v>6.4798999999999998</v>
      </c>
      <c r="D46" s="12">
        <f t="shared" si="2"/>
        <v>0.45359299999999997</v>
      </c>
      <c r="E46" s="12">
        <f t="shared" si="0"/>
        <v>2.0249687499999999E-2</v>
      </c>
      <c r="F46" s="12">
        <f>E46/Calculation!L$5*1000</f>
        <v>1.4615254790940767E-2</v>
      </c>
      <c r="G46" s="12">
        <f t="shared" si="3"/>
        <v>11.749277483060071</v>
      </c>
    </row>
    <row r="47" spans="1:7">
      <c r="A47" s="35">
        <v>21</v>
      </c>
      <c r="B47" s="12">
        <v>5709.6</v>
      </c>
      <c r="C47" s="36">
        <f t="shared" si="1"/>
        <v>5.7096</v>
      </c>
      <c r="D47" s="12">
        <f t="shared" si="2"/>
        <v>0.39967200000000003</v>
      </c>
      <c r="E47" s="12">
        <f t="shared" si="0"/>
        <v>1.7842500000000001E-2</v>
      </c>
      <c r="F47" s="12">
        <f>E47/Calculation!L$5*1000</f>
        <v>1.2877862120457941E-2</v>
      </c>
      <c r="G47" s="12">
        <f t="shared" si="3"/>
        <v>12.161674236731052</v>
      </c>
    </row>
    <row r="48" spans="1:7">
      <c r="A48" s="35">
        <v>21.5</v>
      </c>
      <c r="B48" s="12">
        <v>5140.01</v>
      </c>
      <c r="C48" s="36">
        <f t="shared" si="1"/>
        <v>5.1400100000000002</v>
      </c>
      <c r="D48" s="12">
        <f t="shared" si="2"/>
        <v>0.35980070000000003</v>
      </c>
      <c r="E48" s="12">
        <f t="shared" si="0"/>
        <v>1.6062531250000001E-2</v>
      </c>
      <c r="F48" s="12">
        <f>E48/Calculation!L$5*1000</f>
        <v>1.1593165909656549E-2</v>
      </c>
      <c r="G48" s="12">
        <f t="shared" si="3"/>
        <v>12.52873965718277</v>
      </c>
    </row>
    <row r="49" spans="1:7">
      <c r="A49" s="35">
        <v>22</v>
      </c>
      <c r="B49" s="12">
        <v>4760.93</v>
      </c>
      <c r="C49" s="36">
        <f t="shared" si="1"/>
        <v>4.7609300000000001</v>
      </c>
      <c r="D49" s="12">
        <f t="shared" si="2"/>
        <v>0.33326509999999998</v>
      </c>
      <c r="E49" s="12">
        <f t="shared" si="0"/>
        <v>1.487790625E-2</v>
      </c>
      <c r="F49" s="12">
        <f>E49/Calculation!L$5*1000</f>
        <v>1.073816030985565E-2</v>
      </c>
      <c r="G49" s="12">
        <f t="shared" si="3"/>
        <v>12.863709550475454</v>
      </c>
    </row>
    <row r="50" spans="1:7">
      <c r="A50" s="35">
        <v>22.5</v>
      </c>
      <c r="B50" s="12">
        <v>4181.45</v>
      </c>
      <c r="C50" s="36">
        <f t="shared" si="1"/>
        <v>4.1814499999999999</v>
      </c>
      <c r="D50" s="12">
        <f t="shared" si="2"/>
        <v>0.2927015</v>
      </c>
      <c r="E50" s="12">
        <f t="shared" si="0"/>
        <v>1.3067031250000001E-2</v>
      </c>
      <c r="F50" s="12">
        <f>E50/Calculation!L$5*1000</f>
        <v>9.4311574477351934E-3</v>
      </c>
      <c r="G50" s="12">
        <f t="shared" si="3"/>
        <v>13.166249316839316</v>
      </c>
    </row>
    <row r="51" spans="1:7">
      <c r="A51" s="35">
        <v>23</v>
      </c>
      <c r="B51" s="12">
        <v>3655.38</v>
      </c>
      <c r="C51" s="36">
        <f t="shared" si="1"/>
        <v>3.6553800000000001</v>
      </c>
      <c r="D51" s="12">
        <f t="shared" si="2"/>
        <v>0.25587660000000001</v>
      </c>
      <c r="E51" s="12">
        <f t="shared" si="0"/>
        <v>1.1423062500000001E-2</v>
      </c>
      <c r="F51" s="12">
        <f>E51/Calculation!L$5*1000</f>
        <v>8.2446195246391255E-3</v>
      </c>
      <c r="G51" s="12">
        <f t="shared" si="3"/>
        <v>13.43138597142493</v>
      </c>
    </row>
    <row r="52" spans="1:7">
      <c r="A52" s="35">
        <v>23.5</v>
      </c>
      <c r="B52" s="12">
        <v>3390.6</v>
      </c>
      <c r="C52" s="36">
        <f t="shared" si="1"/>
        <v>3.3906000000000001</v>
      </c>
      <c r="D52" s="12">
        <f t="shared" si="2"/>
        <v>0.237342</v>
      </c>
      <c r="E52" s="12">
        <f t="shared" si="0"/>
        <v>1.0595625000000001E-2</v>
      </c>
      <c r="F52" s="12">
        <f>E52/Calculation!L$5*1000</f>
        <v>7.6474147585863621E-3</v>
      </c>
      <c r="G52" s="12">
        <f t="shared" si="3"/>
        <v>13.669766485673312</v>
      </c>
    </row>
    <row r="53" spans="1:7">
      <c r="A53" s="35">
        <v>24</v>
      </c>
      <c r="B53" s="12">
        <v>3107.32</v>
      </c>
      <c r="C53" s="36">
        <f t="shared" si="1"/>
        <v>3.1073200000000001</v>
      </c>
      <c r="D53" s="12">
        <f t="shared" si="2"/>
        <v>0.21751240000000002</v>
      </c>
      <c r="E53" s="12">
        <f t="shared" si="0"/>
        <v>9.710375000000002E-3</v>
      </c>
      <c r="F53" s="12">
        <f>E53/Calculation!L$6*1000</f>
        <v>7.3205052328733054E-3</v>
      </c>
      <c r="G53" s="12">
        <f t="shared" si="3"/>
        <v>13.894285285545207</v>
      </c>
    </row>
    <row r="54" spans="1:7">
      <c r="A54" s="35">
        <v>24.5</v>
      </c>
      <c r="B54" s="12">
        <v>2733.81</v>
      </c>
      <c r="C54" s="36">
        <f t="shared" si="1"/>
        <v>2.7338100000000001</v>
      </c>
      <c r="D54" s="12">
        <f t="shared" si="2"/>
        <v>0.1913667</v>
      </c>
      <c r="E54" s="12">
        <f t="shared" si="0"/>
        <v>8.5431562500000013E-3</v>
      </c>
      <c r="F54" s="12">
        <f>E54/Calculation!L$6*1000</f>
        <v>6.4405566245772459E-3</v>
      </c>
      <c r="G54" s="12">
        <f t="shared" si="3"/>
        <v>14.100701213406966</v>
      </c>
    </row>
    <row r="55" spans="1:7">
      <c r="A55" s="35">
        <v>25</v>
      </c>
      <c r="B55" s="12">
        <v>2420.2399999999998</v>
      </c>
      <c r="C55" s="36">
        <f t="shared" si="1"/>
        <v>2.4202399999999997</v>
      </c>
      <c r="D55" s="12">
        <f t="shared" si="2"/>
        <v>0.16941679999999998</v>
      </c>
      <c r="E55" s="12">
        <f t="shared" si="0"/>
        <v>7.5632499999999997E-3</v>
      </c>
      <c r="F55" s="12">
        <f>E55/Calculation!L$6*1000</f>
        <v>5.7018200844487473E-3</v>
      </c>
      <c r="G55" s="12">
        <f t="shared" si="3"/>
        <v>14.282836864042356</v>
      </c>
    </row>
    <row r="56" spans="1:7">
      <c r="A56" s="35">
        <v>25.5</v>
      </c>
      <c r="B56" s="12">
        <v>2200.56</v>
      </c>
      <c r="C56" s="36">
        <f t="shared" si="1"/>
        <v>2.2005599999999998</v>
      </c>
      <c r="D56" s="12">
        <f t="shared" si="2"/>
        <v>0.15403919999999999</v>
      </c>
      <c r="E56" s="12">
        <f t="shared" si="0"/>
        <v>6.8767500000000001E-3</v>
      </c>
      <c r="F56" s="12">
        <f>E56/Calculation!L$6*1000</f>
        <v>5.1842780902036732E-3</v>
      </c>
      <c r="G56" s="12">
        <f t="shared" si="3"/>
        <v>14.446128336662142</v>
      </c>
    </row>
    <row r="57" spans="1:7">
      <c r="A57" s="35">
        <v>26</v>
      </c>
      <c r="B57" s="12">
        <v>1960.8</v>
      </c>
      <c r="C57" s="36">
        <f t="shared" si="1"/>
        <v>1.9607999999999999</v>
      </c>
      <c r="D57" s="12">
        <f t="shared" si="2"/>
        <v>0.13725599999999999</v>
      </c>
      <c r="E57" s="12">
        <f t="shared" si="0"/>
        <v>6.1275000000000001E-3</v>
      </c>
      <c r="F57" s="12">
        <f>E57/Calculation!L$6*1000</f>
        <v>4.6194298175334285E-3</v>
      </c>
      <c r="G57" s="12">
        <f t="shared" si="3"/>
        <v>14.593183955278198</v>
      </c>
    </row>
    <row r="58" spans="1:7">
      <c r="A58" s="35">
        <v>26.5</v>
      </c>
      <c r="B58" s="12">
        <v>1751.17</v>
      </c>
      <c r="C58" s="36">
        <f t="shared" si="1"/>
        <v>1.7511700000000001</v>
      </c>
      <c r="D58" s="12">
        <f t="shared" si="2"/>
        <v>0.12258190000000001</v>
      </c>
      <c r="E58" s="12">
        <f t="shared" si="0"/>
        <v>5.4724062500000007E-3</v>
      </c>
      <c r="F58" s="12">
        <f>E58/Calculation!L$6*1000</f>
        <v>4.1255645214045367E-3</v>
      </c>
      <c r="G58" s="12">
        <f t="shared" si="3"/>
        <v>14.724358870362266</v>
      </c>
    </row>
    <row r="59" spans="1:7">
      <c r="A59" s="35">
        <v>27</v>
      </c>
      <c r="B59" s="12">
        <v>1577.73</v>
      </c>
      <c r="C59" s="36">
        <f t="shared" si="1"/>
        <v>1.5777300000000001</v>
      </c>
      <c r="D59" s="12">
        <f t="shared" si="2"/>
        <v>0.1104411</v>
      </c>
      <c r="E59" s="12">
        <f t="shared" si="0"/>
        <v>4.9304062500000008E-3</v>
      </c>
      <c r="F59" s="12">
        <f>E59/Calculation!L$6*1000</f>
        <v>3.7169588973974999E-3</v>
      </c>
      <c r="G59" s="12">
        <f t="shared" si="3"/>
        <v>14.841996721644296</v>
      </c>
    </row>
    <row r="60" spans="1:7">
      <c r="A60" s="35">
        <v>27.5</v>
      </c>
      <c r="B60" s="12">
        <v>1449.24</v>
      </c>
      <c r="C60" s="36">
        <f t="shared" si="1"/>
        <v>1.4492400000000001</v>
      </c>
      <c r="D60" s="12">
        <f t="shared" si="2"/>
        <v>0.1014468</v>
      </c>
      <c r="E60" s="12">
        <f t="shared" si="0"/>
        <v>4.5288750000000008E-3</v>
      </c>
      <c r="F60" s="12">
        <f>E60/Calculation!L$6*1000</f>
        <v>3.4142505450643346E-3</v>
      </c>
      <c r="G60" s="12">
        <f t="shared" si="3"/>
        <v>14.948964863281224</v>
      </c>
    </row>
    <row r="61" spans="1:7">
      <c r="A61" s="35">
        <v>28</v>
      </c>
      <c r="B61" s="12">
        <v>1303.7</v>
      </c>
      <c r="C61" s="36">
        <f t="shared" si="1"/>
        <v>1.3037000000000001</v>
      </c>
      <c r="D61" s="12">
        <f t="shared" si="2"/>
        <v>9.1259000000000007E-2</v>
      </c>
      <c r="E61" s="12">
        <f t="shared" si="0"/>
        <v>4.0740625000000004E-3</v>
      </c>
      <c r="F61" s="12">
        <f>E61/Calculation!L$6*1000</f>
        <v>3.0713742620962522E-3</v>
      </c>
      <c r="G61" s="12">
        <f t="shared" si="3"/>
        <v>15.046249235388633</v>
      </c>
    </row>
    <row r="62" spans="1:7">
      <c r="A62" s="35">
        <v>28.5</v>
      </c>
      <c r="B62" s="12">
        <v>1169.95</v>
      </c>
      <c r="C62" s="36">
        <f t="shared" si="1"/>
        <v>1.16995</v>
      </c>
      <c r="D62" s="12">
        <f t="shared" si="2"/>
        <v>8.1896500000000011E-2</v>
      </c>
      <c r="E62" s="12">
        <f t="shared" si="0"/>
        <v>3.6560937500000009E-3</v>
      </c>
      <c r="F62" s="12">
        <f>E62/Calculation!L$6*1000</f>
        <v>2.7562739264704386E-3</v>
      </c>
      <c r="G62" s="12">
        <f t="shared" si="3"/>
        <v>15.133663958217133</v>
      </c>
    </row>
    <row r="63" spans="1:7">
      <c r="A63" s="35">
        <v>29</v>
      </c>
      <c r="B63" s="12">
        <v>1063.46</v>
      </c>
      <c r="C63" s="36">
        <f t="shared" si="1"/>
        <v>1.0634600000000001</v>
      </c>
      <c r="D63" s="12">
        <f t="shared" si="2"/>
        <v>7.44422E-2</v>
      </c>
      <c r="E63" s="12">
        <f t="shared" si="0"/>
        <v>3.3233125000000003E-3</v>
      </c>
      <c r="F63" s="12">
        <f>E63/Calculation!L$6*1000</f>
        <v>2.5053951620532945E-3</v>
      </c>
      <c r="G63" s="12">
        <f t="shared" si="3"/>
        <v>15.212588994544989</v>
      </c>
    </row>
    <row r="64" spans="1:7">
      <c r="A64" s="35">
        <v>29.5</v>
      </c>
      <c r="B64" s="12">
        <v>962.87</v>
      </c>
      <c r="C64" s="36">
        <f t="shared" si="1"/>
        <v>0.96287</v>
      </c>
      <c r="D64" s="12">
        <f t="shared" si="2"/>
        <v>6.74009E-2</v>
      </c>
      <c r="E64" s="12">
        <f t="shared" si="0"/>
        <v>3.0089687500000004E-3</v>
      </c>
      <c r="F64" s="12">
        <f>E64/Calculation!L$6*1000</f>
        <v>2.2684161507590841E-3</v>
      </c>
      <c r="G64" s="12">
        <f t="shared" si="3"/>
        <v>15.284196164237175</v>
      </c>
    </row>
    <row r="65" spans="1:7">
      <c r="A65" s="35">
        <v>30</v>
      </c>
      <c r="B65" s="12">
        <v>882.36</v>
      </c>
      <c r="C65" s="36">
        <f t="shared" si="1"/>
        <v>0.88236000000000003</v>
      </c>
      <c r="D65" s="12">
        <f t="shared" si="2"/>
        <v>6.1765199999999999E-2</v>
      </c>
      <c r="E65" s="12">
        <f t="shared" si="0"/>
        <v>2.7573750000000003E-3</v>
      </c>
      <c r="F65" s="12">
        <f>E65/Calculation!L$6*1000</f>
        <v>2.078743417890043E-3</v>
      </c>
      <c r="G65" s="12">
        <f t="shared" si="3"/>
        <v>15.349403557766912</v>
      </c>
    </row>
    <row r="66" spans="1:7">
      <c r="A66" s="35">
        <v>30.5</v>
      </c>
      <c r="B66" s="12">
        <v>810.94</v>
      </c>
      <c r="C66" s="36">
        <f t="shared" si="1"/>
        <v>0.81094000000000011</v>
      </c>
      <c r="D66" s="12">
        <f t="shared" si="2"/>
        <v>5.6765800000000005E-2</v>
      </c>
      <c r="E66" s="12">
        <f t="shared" si="0"/>
        <v>2.5341875000000004E-3</v>
      </c>
      <c r="F66" s="12">
        <f>E66/Calculation!L$6*1000</f>
        <v>1.9104857283917579E-3</v>
      </c>
      <c r="G66" s="12">
        <f t="shared" si="3"/>
        <v>15.409241994961139</v>
      </c>
    </row>
    <row r="67" spans="1:7">
      <c r="A67" s="35">
        <v>31</v>
      </c>
      <c r="B67" s="12">
        <v>730.12</v>
      </c>
      <c r="C67" s="36">
        <f t="shared" si="1"/>
        <v>0.73011999999999999</v>
      </c>
      <c r="D67" s="12">
        <f t="shared" si="2"/>
        <v>5.1108399999999998E-2</v>
      </c>
      <c r="E67" s="12">
        <f t="shared" si="0"/>
        <v>2.2816250000000002E-3</v>
      </c>
      <c r="F67" s="12">
        <f>E67/Calculation!L$6*1000</f>
        <v>1.7200826695111728E-3</v>
      </c>
      <c r="G67" s="12">
        <f t="shared" si="3"/>
        <v>15.463700520929683</v>
      </c>
    </row>
    <row r="68" spans="1:7">
      <c r="A68" s="35">
        <v>31.5</v>
      </c>
      <c r="B68" s="12">
        <v>660.3</v>
      </c>
      <c r="C68" s="36">
        <f t="shared" si="1"/>
        <v>0.6603</v>
      </c>
      <c r="D68" s="12">
        <f t="shared" si="2"/>
        <v>4.6220999999999998E-2</v>
      </c>
      <c r="E68" s="12">
        <f t="shared" si="0"/>
        <v>2.0634375000000002E-3</v>
      </c>
      <c r="F68" s="12">
        <f>E68/Calculation!L$6*1000</f>
        <v>1.5555944045885981E-3</v>
      </c>
      <c r="G68" s="12">
        <f t="shared" si="3"/>
        <v>15.512835677041179</v>
      </c>
    </row>
    <row r="69" spans="1:7">
      <c r="A69" s="35">
        <v>32</v>
      </c>
      <c r="B69" s="12">
        <v>625.70000000000005</v>
      </c>
      <c r="C69" s="36">
        <f t="shared" si="1"/>
        <v>0.62570000000000003</v>
      </c>
      <c r="D69" s="12">
        <f t="shared" si="2"/>
        <v>4.3799000000000005E-2</v>
      </c>
      <c r="E69" s="12">
        <f t="shared" si="0"/>
        <v>1.9553125000000005E-3</v>
      </c>
      <c r="F69" s="12">
        <f>E69/Calculation!L$6*1000</f>
        <v>1.4740805981388551E-3</v>
      </c>
      <c r="G69" s="12">
        <f t="shared" si="3"/>
        <v>15.558280802082091</v>
      </c>
    </row>
    <row r="70" spans="1:7">
      <c r="A70" s="35">
        <v>32.5</v>
      </c>
      <c r="B70" s="12">
        <v>575.33000000000004</v>
      </c>
      <c r="C70" s="36">
        <f t="shared" ref="C70:C101" si="4">B70/1000</f>
        <v>0.57533000000000001</v>
      </c>
      <c r="D70" s="12">
        <f t="shared" ref="D70:D101" si="5">C70/1000*$B$1</f>
        <v>4.0273099999999999E-2</v>
      </c>
      <c r="E70" s="12">
        <f t="shared" ref="E70:E101" si="6">D70/22.4</f>
        <v>1.79790625E-3</v>
      </c>
      <c r="F70" s="12">
        <f>E70/Calculation!L$6*1000</f>
        <v>1.3554144007147631E-3</v>
      </c>
      <c r="G70" s="12">
        <f t="shared" si="3"/>
        <v>15.600723227064895</v>
      </c>
    </row>
    <row r="71" spans="1:7">
      <c r="A71" s="35">
        <v>33</v>
      </c>
      <c r="B71" s="12">
        <v>516.03</v>
      </c>
      <c r="C71" s="36">
        <f t="shared" si="4"/>
        <v>0.51602999999999999</v>
      </c>
      <c r="D71" s="12">
        <f t="shared" si="5"/>
        <v>3.6122099999999997E-2</v>
      </c>
      <c r="E71" s="12">
        <f t="shared" si="6"/>
        <v>1.6125937499999999E-3</v>
      </c>
      <c r="F71" s="12">
        <f>E71/Calculation!L$6*1000</f>
        <v>1.2157101023774863E-3</v>
      </c>
      <c r="G71" s="12">
        <f t="shared" ref="G71:G101" si="7">G70+(F71+F70)/2*30</f>
        <v>15.63929009461128</v>
      </c>
    </row>
    <row r="72" spans="1:7">
      <c r="A72" s="35">
        <v>33.5</v>
      </c>
      <c r="B72" s="12">
        <v>474.1</v>
      </c>
      <c r="C72" s="36">
        <f t="shared" si="4"/>
        <v>0.47410000000000002</v>
      </c>
      <c r="D72" s="12">
        <f t="shared" si="5"/>
        <v>3.3187000000000001E-2</v>
      </c>
      <c r="E72" s="12">
        <f t="shared" si="6"/>
        <v>1.4815625000000002E-3</v>
      </c>
      <c r="F72" s="12">
        <f>E72/Calculation!L$6*1000</f>
        <v>1.1169276195902686E-3</v>
      </c>
      <c r="G72" s="12">
        <f t="shared" si="7"/>
        <v>15.674279660440796</v>
      </c>
    </row>
    <row r="73" spans="1:7">
      <c r="A73" s="35">
        <v>34</v>
      </c>
      <c r="B73" s="12">
        <v>427.07</v>
      </c>
      <c r="C73" s="36">
        <f t="shared" si="4"/>
        <v>0.42707000000000001</v>
      </c>
      <c r="D73" s="12">
        <f t="shared" si="5"/>
        <v>2.9894899999999999E-2</v>
      </c>
      <c r="E73" s="12">
        <f t="shared" si="6"/>
        <v>1.3345937500000001E-3</v>
      </c>
      <c r="F73" s="12">
        <f>E73/Calculation!L$6*1000</f>
        <v>1.006130095967973E-3</v>
      </c>
      <c r="G73" s="12">
        <f t="shared" si="7"/>
        <v>15.706125526174169</v>
      </c>
    </row>
    <row r="74" spans="1:7">
      <c r="A74" s="35">
        <v>34.5</v>
      </c>
      <c r="B74" s="12">
        <v>410.49</v>
      </c>
      <c r="C74" s="36">
        <f t="shared" si="4"/>
        <v>0.41049000000000002</v>
      </c>
      <c r="D74" s="12">
        <f t="shared" si="5"/>
        <v>2.8734300000000001E-2</v>
      </c>
      <c r="E74" s="12">
        <f t="shared" si="6"/>
        <v>1.2827812500000001E-3</v>
      </c>
      <c r="F74" s="12">
        <f>E74/Calculation!L$6*1000</f>
        <v>9.6706943380217114E-4</v>
      </c>
      <c r="G74" s="12">
        <f t="shared" si="7"/>
        <v>15.735723519120722</v>
      </c>
    </row>
    <row r="75" spans="1:7">
      <c r="A75" s="35">
        <v>35</v>
      </c>
      <c r="B75" s="12">
        <v>375.1</v>
      </c>
      <c r="C75" s="36">
        <f t="shared" si="4"/>
        <v>0.37510000000000004</v>
      </c>
      <c r="D75" s="12">
        <f t="shared" si="5"/>
        <v>2.6257000000000006E-2</v>
      </c>
      <c r="E75" s="12">
        <f t="shared" si="6"/>
        <v>1.1721875000000003E-3</v>
      </c>
      <c r="F75" s="12">
        <f>E75/Calculation!L$6*1000</f>
        <v>8.8369447396817089E-4</v>
      </c>
      <c r="G75" s="12">
        <f t="shared" si="7"/>
        <v>15.763484977737276</v>
      </c>
    </row>
    <row r="76" spans="1:7">
      <c r="A76" s="35">
        <v>35.5</v>
      </c>
      <c r="B76" s="12">
        <v>339.39</v>
      </c>
      <c r="C76" s="36">
        <f t="shared" si="4"/>
        <v>0.33938999999999997</v>
      </c>
      <c r="D76" s="12">
        <f t="shared" si="5"/>
        <v>2.3757299999999999E-2</v>
      </c>
      <c r="E76" s="12">
        <f t="shared" si="6"/>
        <v>1.0605937499999999E-3</v>
      </c>
      <c r="F76" s="12">
        <f>E76/Calculation!L$6*1000</f>
        <v>7.9956562921902814E-4</v>
      </c>
      <c r="G76" s="12">
        <f t="shared" si="7"/>
        <v>15.788733879285084</v>
      </c>
    </row>
    <row r="77" spans="1:7">
      <c r="A77" s="35">
        <v>36</v>
      </c>
      <c r="B77" s="12">
        <v>313.25</v>
      </c>
      <c r="C77" s="36">
        <f t="shared" si="4"/>
        <v>0.31324999999999997</v>
      </c>
      <c r="D77" s="12">
        <f t="shared" si="5"/>
        <v>2.1927499999999999E-2</v>
      </c>
      <c r="E77" s="12">
        <f t="shared" si="6"/>
        <v>9.7890624999999996E-4</v>
      </c>
      <c r="F77" s="12">
        <f>E77/Calculation!L$6*1000</f>
        <v>7.3798265521335491E-4</v>
      </c>
      <c r="G77" s="12">
        <f t="shared" si="7"/>
        <v>15.811797103551569</v>
      </c>
    </row>
    <row r="78" spans="1:7">
      <c r="A78" s="35">
        <v>36.5</v>
      </c>
      <c r="B78" s="12">
        <v>294.76</v>
      </c>
      <c r="C78" s="36">
        <f t="shared" si="4"/>
        <v>0.29475999999999997</v>
      </c>
      <c r="D78" s="12">
        <f t="shared" si="5"/>
        <v>2.0633199999999997E-2</v>
      </c>
      <c r="E78" s="12">
        <f t="shared" si="6"/>
        <v>9.2112499999999996E-4</v>
      </c>
      <c r="F78" s="12">
        <f>E78/Calculation!L$6*1000</f>
        <v>6.9442224246029857E-4</v>
      </c>
      <c r="G78" s="12">
        <f t="shared" si="7"/>
        <v>15.833283177016675</v>
      </c>
    </row>
    <row r="79" spans="1:7">
      <c r="A79" s="35">
        <v>37</v>
      </c>
      <c r="B79" s="12">
        <v>276.27</v>
      </c>
      <c r="C79" s="36">
        <f t="shared" si="4"/>
        <v>0.27626999999999996</v>
      </c>
      <c r="D79" s="12">
        <f t="shared" si="5"/>
        <v>1.9338899999999996E-2</v>
      </c>
      <c r="E79" s="12">
        <f t="shared" si="6"/>
        <v>8.6334374999999985E-4</v>
      </c>
      <c r="F79" s="12">
        <f>E79/Calculation!L$6*1000</f>
        <v>6.5086182970724201E-4</v>
      </c>
      <c r="G79" s="12">
        <f t="shared" si="7"/>
        <v>15.853462438099188</v>
      </c>
    </row>
    <row r="80" spans="1:7">
      <c r="A80" s="35">
        <v>37.5</v>
      </c>
      <c r="B80" s="12">
        <v>244.22</v>
      </c>
      <c r="C80" s="36">
        <f t="shared" si="4"/>
        <v>0.24421999999999999</v>
      </c>
      <c r="D80" s="12">
        <f t="shared" si="5"/>
        <v>1.70954E-2</v>
      </c>
      <c r="E80" s="12">
        <f t="shared" si="6"/>
        <v>7.6318750000000009E-4</v>
      </c>
      <c r="F80" s="12">
        <f>E80/Calculation!L$6*1000</f>
        <v>5.7535554367503777E-4</v>
      </c>
      <c r="G80" s="12">
        <f t="shared" si="7"/>
        <v>15.871855698699921</v>
      </c>
    </row>
    <row r="81" spans="1:7">
      <c r="A81" s="35">
        <v>38</v>
      </c>
      <c r="B81" s="12">
        <v>226.05</v>
      </c>
      <c r="C81" s="36">
        <f t="shared" si="4"/>
        <v>0.22605</v>
      </c>
      <c r="D81" s="12">
        <f t="shared" si="5"/>
        <v>1.5823500000000001E-2</v>
      </c>
      <c r="E81" s="12">
        <f t="shared" si="6"/>
        <v>7.0640625000000011E-4</v>
      </c>
      <c r="F81" s="12">
        <f>E81/Calculation!L$6*1000</f>
        <v>5.325490158371235E-4</v>
      </c>
      <c r="G81" s="12">
        <f t="shared" si="7"/>
        <v>15.888474267092603</v>
      </c>
    </row>
    <row r="82" spans="1:7">
      <c r="A82" s="35">
        <v>38.5</v>
      </c>
      <c r="B82" s="12">
        <v>212.66</v>
      </c>
      <c r="C82" s="36">
        <f t="shared" si="4"/>
        <v>0.21265999999999999</v>
      </c>
      <c r="D82" s="12">
        <f t="shared" si="5"/>
        <v>1.4886199999999999E-2</v>
      </c>
      <c r="E82" s="12">
        <f t="shared" si="6"/>
        <v>6.6456250000000001E-4</v>
      </c>
      <c r="F82" s="12">
        <f>E82/Calculation!L$6*1000</f>
        <v>5.0100364391914476E-4</v>
      </c>
      <c r="G82" s="12">
        <f t="shared" si="7"/>
        <v>15.903977556988947</v>
      </c>
    </row>
    <row r="83" spans="1:7">
      <c r="A83" s="35">
        <v>39</v>
      </c>
      <c r="B83" s="12">
        <v>196.88</v>
      </c>
      <c r="C83" s="36">
        <f t="shared" si="4"/>
        <v>0.19688</v>
      </c>
      <c r="D83" s="12">
        <f t="shared" si="5"/>
        <v>1.37816E-2</v>
      </c>
      <c r="E83" s="12">
        <f t="shared" si="6"/>
        <v>6.1525000000000002E-4</v>
      </c>
      <c r="F83" s="12">
        <f>E83/Calculation!L$6*1000</f>
        <v>4.638276940411982E-4</v>
      </c>
      <c r="G83" s="12">
        <f t="shared" si="7"/>
        <v>15.918450027058352</v>
      </c>
    </row>
    <row r="84" spans="1:7">
      <c r="A84" s="35">
        <v>39.5</v>
      </c>
      <c r="B84" s="12">
        <v>194.49</v>
      </c>
      <c r="C84" s="36">
        <f t="shared" si="4"/>
        <v>0.19449</v>
      </c>
      <c r="D84" s="12">
        <f t="shared" si="5"/>
        <v>1.3614299999999999E-2</v>
      </c>
      <c r="E84" s="12">
        <f t="shared" si="6"/>
        <v>6.0778125000000003E-4</v>
      </c>
      <c r="F84" s="12">
        <f>E84/Calculation!L$6*1000</f>
        <v>4.5819711608123038E-4</v>
      </c>
      <c r="G84" s="12">
        <f t="shared" si="7"/>
        <v>15.932280399210189</v>
      </c>
    </row>
    <row r="85" spans="1:7">
      <c r="A85" s="35">
        <v>40</v>
      </c>
      <c r="B85" s="12">
        <v>174.72</v>
      </c>
      <c r="C85" s="36">
        <f t="shared" si="4"/>
        <v>0.17471999999999999</v>
      </c>
      <c r="D85" s="12">
        <f t="shared" si="5"/>
        <v>1.2230399999999999E-2</v>
      </c>
      <c r="E85" s="12">
        <f t="shared" si="6"/>
        <v>5.4599999999999994E-4</v>
      </c>
      <c r="F85" s="12">
        <f>E85/Calculation!L$6*1000</f>
        <v>4.1162116366760533E-4</v>
      </c>
      <c r="G85" s="12">
        <f t="shared" si="7"/>
        <v>15.945327673406421</v>
      </c>
    </row>
    <row r="86" spans="1:7">
      <c r="A86" s="35">
        <v>40.5</v>
      </c>
      <c r="B86" s="12">
        <v>166.11</v>
      </c>
      <c r="C86" s="36">
        <f t="shared" si="4"/>
        <v>0.16611000000000001</v>
      </c>
      <c r="D86" s="12">
        <f t="shared" si="5"/>
        <v>1.1627700000000001E-2</v>
      </c>
      <c r="E86" s="12">
        <f t="shared" si="6"/>
        <v>5.1909375000000013E-4</v>
      </c>
      <c r="F86" s="12">
        <f>E86/Calculation!L$6*1000</f>
        <v>3.9133694766956245E-4</v>
      </c>
      <c r="G86" s="12">
        <f t="shared" si="7"/>
        <v>15.957372045076479</v>
      </c>
    </row>
    <row r="87" spans="1:7">
      <c r="A87" s="35">
        <v>41</v>
      </c>
      <c r="B87" s="12">
        <v>150.01</v>
      </c>
      <c r="C87" s="36">
        <f t="shared" si="4"/>
        <v>0.15001</v>
      </c>
      <c r="D87" s="12">
        <f t="shared" si="5"/>
        <v>1.05007E-2</v>
      </c>
      <c r="E87" s="12">
        <f t="shared" si="6"/>
        <v>4.6878125000000001E-4</v>
      </c>
      <c r="F87" s="12">
        <f>E87/Calculation!L$6*1000</f>
        <v>3.5340711287647371E-4</v>
      </c>
      <c r="G87" s="12">
        <f t="shared" si="7"/>
        <v>15.96854320598467</v>
      </c>
    </row>
    <row r="88" spans="1:7">
      <c r="A88" s="35">
        <v>41.5</v>
      </c>
      <c r="B88" s="12">
        <v>0</v>
      </c>
      <c r="C88" s="36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E88/Calculation!L$6*1000</f>
        <v>0</v>
      </c>
      <c r="G88" s="12">
        <f t="shared" si="7"/>
        <v>15.973844312677818</v>
      </c>
    </row>
    <row r="89" spans="1:7">
      <c r="A89" s="35">
        <v>42</v>
      </c>
      <c r="B89" s="12">
        <v>0</v>
      </c>
      <c r="C89" s="36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E89/Calculation!L$6*1000</f>
        <v>0</v>
      </c>
      <c r="G89" s="12">
        <f t="shared" si="7"/>
        <v>15.973844312677818</v>
      </c>
    </row>
    <row r="90" spans="1:7">
      <c r="A90" s="35">
        <v>42.5</v>
      </c>
      <c r="B90" s="12">
        <v>0</v>
      </c>
      <c r="C90" s="36">
        <f t="shared" si="4"/>
        <v>0</v>
      </c>
      <c r="D90" s="12">
        <f t="shared" si="5"/>
        <v>0</v>
      </c>
      <c r="E90" s="12">
        <f t="shared" si="6"/>
        <v>0</v>
      </c>
      <c r="F90" s="12">
        <f>E90/Calculation!L$6*1000</f>
        <v>0</v>
      </c>
      <c r="G90" s="12">
        <f t="shared" si="7"/>
        <v>15.973844312677818</v>
      </c>
    </row>
    <row r="91" spans="1:7">
      <c r="A91" s="35">
        <v>43</v>
      </c>
      <c r="B91" s="12">
        <v>0</v>
      </c>
      <c r="C91" s="36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E91/Calculation!L$6*1000</f>
        <v>0</v>
      </c>
      <c r="G91" s="12">
        <f t="shared" si="7"/>
        <v>15.973844312677818</v>
      </c>
    </row>
    <row r="92" spans="1:7">
      <c r="A92" s="35">
        <v>43.5</v>
      </c>
      <c r="B92" s="12">
        <v>0</v>
      </c>
      <c r="C92" s="36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E92/Calculation!L$6*1000</f>
        <v>0</v>
      </c>
      <c r="G92" s="12">
        <f t="shared" si="7"/>
        <v>15.973844312677818</v>
      </c>
    </row>
    <row r="93" spans="1:7">
      <c r="A93" s="35">
        <v>44</v>
      </c>
      <c r="B93" s="12">
        <v>0</v>
      </c>
      <c r="C93" s="36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E93/Calculation!L$6*1000</f>
        <v>0</v>
      </c>
      <c r="G93" s="12">
        <f t="shared" si="7"/>
        <v>15.973844312677818</v>
      </c>
    </row>
    <row r="94" spans="1:7">
      <c r="A94" s="35">
        <v>44.5</v>
      </c>
      <c r="B94" s="12">
        <v>0</v>
      </c>
      <c r="C94" s="36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E94/Calculation!L$6*1000</f>
        <v>0</v>
      </c>
      <c r="G94" s="12">
        <f t="shared" si="7"/>
        <v>15.973844312677818</v>
      </c>
    </row>
    <row r="95" spans="1:7">
      <c r="A95" s="35">
        <v>45</v>
      </c>
      <c r="B95" s="12">
        <v>156.38999999999999</v>
      </c>
      <c r="C95" s="36">
        <f t="shared" si="4"/>
        <v>0.15638999999999997</v>
      </c>
      <c r="D95" s="12">
        <f t="shared" si="5"/>
        <v>1.0947299999999998E-2</v>
      </c>
      <c r="E95" s="12">
        <f t="shared" si="6"/>
        <v>4.8871875E-4</v>
      </c>
      <c r="F95" s="12">
        <f>E95/Calculation!L$6*1000</f>
        <v>3.6843769337212002E-4</v>
      </c>
      <c r="G95" s="12">
        <f t="shared" si="7"/>
        <v>15.979370878078399</v>
      </c>
    </row>
    <row r="96" spans="1:7">
      <c r="A96" s="35">
        <v>45.5</v>
      </c>
      <c r="B96" s="12">
        <v>157.34</v>
      </c>
      <c r="C96" s="36">
        <f t="shared" si="4"/>
        <v>0.15734000000000001</v>
      </c>
      <c r="D96" s="12">
        <f t="shared" si="5"/>
        <v>1.1013800000000001E-2</v>
      </c>
      <c r="E96" s="12">
        <f t="shared" si="6"/>
        <v>4.9168750000000005E-4</v>
      </c>
      <c r="F96" s="12">
        <f>E96/Calculation!L$6*1000</f>
        <v>3.7067578921394826E-4</v>
      </c>
      <c r="G96" s="12">
        <f t="shared" si="7"/>
        <v>15.990457580317189</v>
      </c>
    </row>
    <row r="97" spans="1:7">
      <c r="A97" s="35">
        <v>46</v>
      </c>
      <c r="B97" s="12">
        <v>169.78</v>
      </c>
      <c r="C97" s="36">
        <f t="shared" si="4"/>
        <v>0.16978000000000001</v>
      </c>
      <c r="D97" s="12">
        <f t="shared" si="5"/>
        <v>1.1884600000000002E-2</v>
      </c>
      <c r="E97" s="12">
        <f t="shared" si="6"/>
        <v>5.3056250000000011E-4</v>
      </c>
      <c r="F97" s="12">
        <f>E97/Calculation!L$6*1000</f>
        <v>3.9998306529009882E-4</v>
      </c>
      <c r="G97" s="12">
        <f t="shared" si="7"/>
        <v>16.002017463134749</v>
      </c>
    </row>
    <row r="98" spans="1:7">
      <c r="A98" s="35">
        <v>46.5</v>
      </c>
      <c r="B98" s="12">
        <v>177.91</v>
      </c>
      <c r="C98" s="36">
        <f t="shared" si="4"/>
        <v>0.17790999999999998</v>
      </c>
      <c r="D98" s="12">
        <f t="shared" si="5"/>
        <v>1.2453699999999998E-2</v>
      </c>
      <c r="E98" s="12">
        <f t="shared" si="6"/>
        <v>5.5596874999999993E-4</v>
      </c>
      <c r="F98" s="12">
        <f>E98/Calculation!L$6*1000</f>
        <v>4.1913645391542849E-4</v>
      </c>
      <c r="G98" s="12">
        <f t="shared" si="7"/>
        <v>16.014304255922831</v>
      </c>
    </row>
    <row r="99" spans="1:7">
      <c r="A99" s="35">
        <v>47</v>
      </c>
      <c r="B99" s="12">
        <v>182.05</v>
      </c>
      <c r="C99" s="36">
        <f t="shared" si="4"/>
        <v>0.18205000000000002</v>
      </c>
      <c r="D99" s="12">
        <f t="shared" si="5"/>
        <v>1.2743500000000001E-2</v>
      </c>
      <c r="E99" s="12">
        <f t="shared" si="6"/>
        <v>5.6890625000000008E-4</v>
      </c>
      <c r="F99" s="12">
        <f>E99/Calculation!L$6*1000</f>
        <v>4.2888984000507993E-4</v>
      </c>
      <c r="G99" s="12">
        <f t="shared" si="7"/>
        <v>16.027024650331636</v>
      </c>
    </row>
    <row r="100" spans="1:7">
      <c r="A100" s="35">
        <v>47.5</v>
      </c>
      <c r="B100" s="12">
        <v>192.09</v>
      </c>
      <c r="C100" s="36">
        <f t="shared" si="4"/>
        <v>0.19209000000000001</v>
      </c>
      <c r="D100" s="12">
        <f t="shared" si="5"/>
        <v>1.3446300000000001E-2</v>
      </c>
      <c r="E100" s="12">
        <f t="shared" si="6"/>
        <v>6.0028125000000012E-4</v>
      </c>
      <c r="F100" s="12">
        <f>E100/Calculation!L$6*1000</f>
        <v>4.5254297921766442E-4</v>
      </c>
      <c r="G100" s="12">
        <f t="shared" si="7"/>
        <v>16.040246142619978</v>
      </c>
    </row>
    <row r="101" spans="1:7">
      <c r="A101" s="35">
        <v>48</v>
      </c>
      <c r="B101" s="12">
        <v>213.14</v>
      </c>
      <c r="C101" s="36">
        <f t="shared" si="4"/>
        <v>0.21314</v>
      </c>
      <c r="D101" s="12">
        <f t="shared" si="5"/>
        <v>1.49198E-2</v>
      </c>
      <c r="E101" s="12">
        <f t="shared" si="6"/>
        <v>6.660625000000001E-4</v>
      </c>
      <c r="F101" s="12">
        <f>E101/Calculation!L$7*1000</f>
        <v>5.2428237354043062E-4</v>
      </c>
      <c r="G101" s="12">
        <f t="shared" si="7"/>
        <v>16.054898522911348</v>
      </c>
    </row>
    <row r="102" spans="1:7">
      <c r="B102" s="10">
        <v>237.69</v>
      </c>
    </row>
    <row r="103" spans="1:7">
      <c r="B103" s="10">
        <v>261.60000000000002</v>
      </c>
    </row>
    <row r="104" spans="1:7">
      <c r="B104" s="10">
        <v>304.8</v>
      </c>
    </row>
    <row r="105" spans="1:7">
      <c r="B105" s="10">
        <v>342.42</v>
      </c>
    </row>
    <row r="106" spans="1:7">
      <c r="B106" s="10">
        <v>401.57</v>
      </c>
    </row>
    <row r="107" spans="1:7">
      <c r="B107" s="10">
        <v>455.29</v>
      </c>
    </row>
    <row r="108" spans="1:7">
      <c r="B108" s="10">
        <v>515.07000000000005</v>
      </c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P8" sqref="P8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18" t="s">
        <v>41</v>
      </c>
      <c r="B1" s="118"/>
      <c r="D1" s="143" t="s">
        <v>4</v>
      </c>
      <c r="E1" s="143" t="s">
        <v>5</v>
      </c>
      <c r="F1" s="118" t="s">
        <v>143</v>
      </c>
      <c r="G1" s="118"/>
      <c r="H1" s="118"/>
      <c r="I1" s="118"/>
      <c r="J1" s="118" t="s">
        <v>42</v>
      </c>
      <c r="K1" s="118"/>
      <c r="L1" s="118"/>
      <c r="M1" s="118"/>
      <c r="N1" s="144" t="s">
        <v>43</v>
      </c>
      <c r="O1" s="116"/>
      <c r="P1" s="116"/>
      <c r="Q1" s="145"/>
      <c r="R1" s="118" t="s">
        <v>65</v>
      </c>
      <c r="S1" s="118"/>
      <c r="T1" s="118"/>
      <c r="U1" s="118"/>
    </row>
    <row r="2" spans="1:21">
      <c r="A2" s="118" t="s">
        <v>34</v>
      </c>
      <c r="B2" s="118"/>
      <c r="D2" s="143"/>
      <c r="E2" s="143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18" t="s">
        <v>35</v>
      </c>
      <c r="B3" s="14" t="s">
        <v>38</v>
      </c>
      <c r="D3" s="16">
        <v>0</v>
      </c>
      <c r="E3" s="67">
        <v>-0.16666666666666666</v>
      </c>
      <c r="F3" s="53">
        <v>48.749259917110727</v>
      </c>
      <c r="G3" s="53">
        <v>0.58976062667717577</v>
      </c>
      <c r="H3" s="13">
        <f>F3*Calculation!J3/Calculation!F9</f>
        <v>48.749259917110727</v>
      </c>
      <c r="I3" s="13">
        <f>G3*Calculation!J3/Calculation!F9</f>
        <v>0.58976062667717577</v>
      </c>
      <c r="J3" s="13">
        <v>0</v>
      </c>
      <c r="K3" s="13">
        <v>0</v>
      </c>
      <c r="L3" s="13">
        <f>J3*Calculation!J3/Calculation!F9</f>
        <v>0</v>
      </c>
      <c r="M3" s="13">
        <f>K3*Calculation!J3/Calculation!F9</f>
        <v>0</v>
      </c>
      <c r="N3" s="13">
        <v>48.792672772689428</v>
      </c>
      <c r="O3" s="13">
        <v>0.66360895404400755</v>
      </c>
      <c r="P3" s="13">
        <f>N3*Calculation!J3/Calculation!F9</f>
        <v>48.792672772689428</v>
      </c>
      <c r="Q3" s="13">
        <f>O3*Calculation!J3/Calculation!F9</f>
        <v>0.66360895404400755</v>
      </c>
      <c r="R3" s="13">
        <v>0</v>
      </c>
      <c r="S3" s="13">
        <v>0</v>
      </c>
      <c r="T3" s="13">
        <f>R3*Calculation!J3/Calculation!F9</f>
        <v>0</v>
      </c>
      <c r="U3" s="13">
        <f>S3*Calculation!J3/Calculation!F9</f>
        <v>0</v>
      </c>
    </row>
    <row r="4" spans="1:21">
      <c r="A4" s="118"/>
      <c r="B4" s="14" t="s">
        <v>39</v>
      </c>
      <c r="D4" s="16">
        <v>0</v>
      </c>
      <c r="E4" s="70">
        <v>0.16666666666666666</v>
      </c>
      <c r="F4" s="53">
        <v>48.893576080521029</v>
      </c>
      <c r="G4" s="53">
        <v>0.3975319950841234</v>
      </c>
      <c r="H4" s="13">
        <f>F4*Calculation!J4/Calculation!L3</f>
        <v>48.893576080521029</v>
      </c>
      <c r="I4" s="13">
        <f>G4*Calculation!J4/Calculation!L3</f>
        <v>0.3975319950841234</v>
      </c>
      <c r="J4" s="13">
        <v>0</v>
      </c>
      <c r="K4" s="13">
        <v>0</v>
      </c>
      <c r="L4" s="13">
        <f>J4*Calculation!J4/Calculation!L3</f>
        <v>0</v>
      </c>
      <c r="M4" s="13">
        <f>K4*Calculation!J4/Calculation!L3</f>
        <v>0</v>
      </c>
      <c r="N4" s="13">
        <v>49.325562031640303</v>
      </c>
      <c r="O4" s="13">
        <v>0.49062181057972626</v>
      </c>
      <c r="P4" s="13">
        <f>N4*Calculation!J4/Calculation!L3</f>
        <v>49.32556203164031</v>
      </c>
      <c r="Q4" s="13">
        <f>O4*Calculation!J4/Calculation!L3</f>
        <v>0.49062181057972626</v>
      </c>
      <c r="R4" s="13">
        <v>0</v>
      </c>
      <c r="S4" s="13">
        <v>0</v>
      </c>
      <c r="T4" s="13">
        <f>R4*Calculation!J4/Calculation!L3</f>
        <v>0</v>
      </c>
      <c r="U4" s="13">
        <f>S4*Calculation!J4/Calculation!L3</f>
        <v>0</v>
      </c>
    </row>
    <row r="5" spans="1:21">
      <c r="A5" s="15" t="s">
        <v>37</v>
      </c>
      <c r="B5" s="15">
        <v>180.16</v>
      </c>
      <c r="D5" s="16">
        <v>1</v>
      </c>
      <c r="E5" s="70">
        <v>12</v>
      </c>
      <c r="F5" s="53">
        <v>44.693605683836587</v>
      </c>
      <c r="G5" s="53">
        <v>0.53883930282023018</v>
      </c>
      <c r="H5" s="13">
        <f>F5*Calculation!J5/Calculation!L4</f>
        <v>46.064001955675479</v>
      </c>
      <c r="I5" s="13">
        <f>G5*Calculation!J5/Calculation!L4</f>
        <v>0.55536120478823725</v>
      </c>
      <c r="J5" s="13">
        <v>0</v>
      </c>
      <c r="K5" s="13">
        <v>0</v>
      </c>
      <c r="L5" s="13">
        <f>J5*Calculation!J5/Calculation!L4</f>
        <v>0</v>
      </c>
      <c r="M5" s="13">
        <f>K5*Calculation!J5/Calculation!L4</f>
        <v>0</v>
      </c>
      <c r="N5" s="13">
        <v>44.65167915625868</v>
      </c>
      <c r="O5" s="13">
        <v>0.62693568264204425</v>
      </c>
      <c r="P5" s="13">
        <f>N5*Calculation!J5/Calculation!L4</f>
        <v>46.020789876032467</v>
      </c>
      <c r="Q5" s="13">
        <f>O5*Calculation!J5/Calculation!L4</f>
        <v>0.64615879764988393</v>
      </c>
      <c r="R5" s="13">
        <v>2.8242450575711491</v>
      </c>
      <c r="S5" s="13">
        <v>4.34499239626331E-2</v>
      </c>
      <c r="T5" s="13">
        <f>R5*Calculation!J5/Calculation!L4</f>
        <v>2.9108421185698465</v>
      </c>
      <c r="U5" s="13">
        <f>S5*Calculation!J5/Calculation!L4</f>
        <v>4.4782186439536138E-2</v>
      </c>
    </row>
    <row r="6" spans="1:21">
      <c r="A6" s="15" t="s">
        <v>40</v>
      </c>
      <c r="B6" s="15">
        <v>180.16</v>
      </c>
      <c r="D6" s="16">
        <v>2</v>
      </c>
      <c r="E6" s="70">
        <v>24</v>
      </c>
      <c r="F6" s="53">
        <v>23.852871521610417</v>
      </c>
      <c r="G6" s="53">
        <v>0.41675275977800658</v>
      </c>
      <c r="H6" s="13">
        <f>F6*Calculation!J6/Calculation!L5</f>
        <v>26.254187233529635</v>
      </c>
      <c r="I6" s="13">
        <f>G6*Calculation!J6/Calculation!L5</f>
        <v>0.45870808365311955</v>
      </c>
      <c r="J6" s="13">
        <v>0.6216696269982237</v>
      </c>
      <c r="K6" s="13">
        <v>4.4404973357015987E-2</v>
      </c>
      <c r="L6" s="13">
        <f>J6*Calculation!J6/Calculation!L5</f>
        <v>0.68425433683415748</v>
      </c>
      <c r="M6" s="13">
        <f>K6*Calculation!J6/Calculation!L5</f>
        <v>4.8875309773868399E-2</v>
      </c>
      <c r="N6" s="13">
        <v>35.63696919233972</v>
      </c>
      <c r="O6" s="13">
        <v>0.67602941316184706</v>
      </c>
      <c r="P6" s="13">
        <f>N6*Calculation!J6/Calculation!L5</f>
        <v>39.224613303415239</v>
      </c>
      <c r="Q6" s="13">
        <f>O6*Calculation!J6/Calculation!L5</f>
        <v>0.74408663009165488</v>
      </c>
      <c r="R6" s="13">
        <v>23.448475631834313</v>
      </c>
      <c r="S6" s="13">
        <v>0.39425469154366605</v>
      </c>
      <c r="T6" s="13">
        <f>R6*Calculation!J6/Calculation!L5</f>
        <v>25.809080010400013</v>
      </c>
      <c r="U6" s="13">
        <f>S6*Calculation!J6/Calculation!L5</f>
        <v>0.43394509043102619</v>
      </c>
    </row>
    <row r="7" spans="1:21">
      <c r="A7" s="32" t="s">
        <v>117</v>
      </c>
      <c r="B7" s="32">
        <v>46.03</v>
      </c>
      <c r="D7" s="16">
        <v>3</v>
      </c>
      <c r="E7" s="70">
        <v>48</v>
      </c>
      <c r="F7" s="53">
        <v>20.922143280047365</v>
      </c>
      <c r="G7" s="53">
        <v>0.22239460037472822</v>
      </c>
      <c r="H7" s="13">
        <f>F7*Calculation!J7/Calculation!L6</f>
        <v>23.895925640074179</v>
      </c>
      <c r="I7" s="13">
        <f>G7*Calculation!J7/Calculation!L6</f>
        <v>0.25400480066382986</v>
      </c>
      <c r="J7" s="13">
        <v>1.8650088809946714</v>
      </c>
      <c r="K7" s="13">
        <v>9.6778395726924288E-2</v>
      </c>
      <c r="L7" s="13">
        <f>J7*Calculation!J7/Calculation!L6</f>
        <v>2.1300931239118124</v>
      </c>
      <c r="M7" s="13">
        <f>K7*Calculation!J7/Calculation!L6</f>
        <v>0.1105340555650291</v>
      </c>
      <c r="N7" s="13">
        <v>36.491812378573407</v>
      </c>
      <c r="O7" s="13">
        <v>0.421724560937497</v>
      </c>
      <c r="P7" s="13">
        <f>N7*Calculation!J7/Calculation!L6</f>
        <v>41.678599720781307</v>
      </c>
      <c r="Q7" s="13">
        <f>O7*Calculation!J7/Calculation!L6</f>
        <v>0.48166665402611397</v>
      </c>
      <c r="R7" s="13">
        <v>25.331305670215077</v>
      </c>
      <c r="S7" s="13">
        <v>0.35565295554518606</v>
      </c>
      <c r="T7" s="13">
        <f>R7*Calculation!J7/Calculation!L6</f>
        <v>28.931787176828784</v>
      </c>
      <c r="U7" s="13">
        <f>S7*Calculation!J7/Calculation!L6</f>
        <v>0.40620391829001634</v>
      </c>
    </row>
    <row r="8" spans="1:21">
      <c r="A8" s="15" t="s">
        <v>43</v>
      </c>
      <c r="B8" s="15">
        <v>60.05</v>
      </c>
    </row>
    <row r="9" spans="1:21">
      <c r="A9" s="32" t="s">
        <v>67</v>
      </c>
      <c r="B9" s="32">
        <v>74.08</v>
      </c>
      <c r="D9" s="143" t="s">
        <v>4</v>
      </c>
      <c r="E9" s="143" t="s">
        <v>60</v>
      </c>
      <c r="F9" s="118" t="s">
        <v>44</v>
      </c>
      <c r="G9" s="118"/>
      <c r="H9" s="118"/>
      <c r="I9" s="118"/>
      <c r="J9" s="118" t="s">
        <v>66</v>
      </c>
      <c r="K9" s="118"/>
      <c r="L9" s="118"/>
      <c r="M9" s="118"/>
      <c r="N9" s="144" t="s">
        <v>67</v>
      </c>
      <c r="O9" s="116"/>
      <c r="P9" s="116"/>
      <c r="Q9" s="145"/>
    </row>
    <row r="10" spans="1:21">
      <c r="A10" s="32" t="s">
        <v>66</v>
      </c>
      <c r="B10" s="32">
        <v>88.11</v>
      </c>
      <c r="D10" s="143"/>
      <c r="E10" s="143"/>
      <c r="F10" s="20" t="s">
        <v>48</v>
      </c>
      <c r="G10" s="20" t="s">
        <v>23</v>
      </c>
      <c r="H10" s="20" t="s">
        <v>48</v>
      </c>
      <c r="I10" s="20" t="s">
        <v>23</v>
      </c>
      <c r="J10" s="20" t="s">
        <v>48</v>
      </c>
      <c r="K10" s="20" t="s">
        <v>23</v>
      </c>
      <c r="L10" s="20" t="s">
        <v>48</v>
      </c>
      <c r="M10" s="20" t="s">
        <v>23</v>
      </c>
      <c r="N10" s="20" t="s">
        <v>48</v>
      </c>
      <c r="O10" s="20" t="s">
        <v>23</v>
      </c>
      <c r="P10" s="20" t="s">
        <v>48</v>
      </c>
      <c r="Q10" s="20" t="s">
        <v>23</v>
      </c>
    </row>
    <row r="11" spans="1:21">
      <c r="A11" s="15" t="s">
        <v>42</v>
      </c>
      <c r="B11" s="15">
        <v>90.08</v>
      </c>
      <c r="D11" s="16">
        <v>0</v>
      </c>
      <c r="E11" s="67">
        <v>-0.16666666666666666</v>
      </c>
      <c r="F11" s="13">
        <v>0</v>
      </c>
      <c r="G11" s="13">
        <v>0</v>
      </c>
      <c r="H11" s="13">
        <f>F11*Calculation!J3/Calculation!F9</f>
        <v>0</v>
      </c>
      <c r="I11" s="13">
        <f>G11*Calculation!J3/Calculation!F9</f>
        <v>0</v>
      </c>
      <c r="J11" s="13">
        <v>0</v>
      </c>
      <c r="K11" s="13">
        <v>0</v>
      </c>
      <c r="L11" s="13">
        <f>J11*Calculation!J3/Calculation!F9</f>
        <v>0</v>
      </c>
      <c r="M11" s="13">
        <f>K11*Calculation!J3/Calculation!F9</f>
        <v>0</v>
      </c>
      <c r="N11" s="13">
        <v>0</v>
      </c>
      <c r="O11" s="13">
        <v>0</v>
      </c>
      <c r="P11" s="13">
        <f>N11*Calculation!J3/Calculation!F9</f>
        <v>0</v>
      </c>
      <c r="Q11" s="13">
        <f>O11*Calculation!J3/Calculation!F9</f>
        <v>0</v>
      </c>
    </row>
    <row r="12" spans="1:21">
      <c r="A12" s="15" t="s">
        <v>44</v>
      </c>
      <c r="B12" s="15">
        <v>46.07</v>
      </c>
      <c r="D12" s="16">
        <v>0</v>
      </c>
      <c r="E12" s="70">
        <v>0.16666666666666666</v>
      </c>
      <c r="F12" s="13">
        <v>0</v>
      </c>
      <c r="G12" s="13">
        <v>0</v>
      </c>
      <c r="H12" s="13">
        <f>F12*Calculation!J4/Calculation!L3</f>
        <v>0</v>
      </c>
      <c r="I12" s="13">
        <f>G12*Calculation!J4/Calculation!L3</f>
        <v>0</v>
      </c>
      <c r="J12" s="13">
        <v>0.59017137668823061</v>
      </c>
      <c r="K12" s="13">
        <v>3.9315646522957139E-2</v>
      </c>
      <c r="L12" s="13">
        <f>J12*Calculation!J4/Calculation!L3</f>
        <v>0.59017137668823061</v>
      </c>
      <c r="M12" s="13">
        <f>K12*Calculation!J4/Calculation!L3</f>
        <v>3.9315646522957139E-2</v>
      </c>
      <c r="N12" s="13">
        <v>0</v>
      </c>
      <c r="O12" s="13">
        <v>0</v>
      </c>
      <c r="P12" s="13">
        <f>N12*Calculation!J4/Calculation!L3</f>
        <v>0</v>
      </c>
      <c r="Q12" s="13">
        <f>O12*Calculation!J4/Calculation!L3</f>
        <v>0</v>
      </c>
    </row>
    <row r="13" spans="1:21">
      <c r="D13" s="16">
        <v>1</v>
      </c>
      <c r="E13" s="70">
        <v>12</v>
      </c>
      <c r="F13" s="13">
        <v>0</v>
      </c>
      <c r="G13" s="13">
        <v>0</v>
      </c>
      <c r="H13" s="13">
        <f>F13*Calculation!J5/Calculation!L4</f>
        <v>0</v>
      </c>
      <c r="I13" s="13">
        <f>G13*Calculation!J5/Calculation!L4</f>
        <v>0</v>
      </c>
      <c r="J13" s="13">
        <v>5.9546778647902254</v>
      </c>
      <c r="K13" s="13">
        <v>0.10727081208154834</v>
      </c>
      <c r="L13" s="13">
        <f>J13*Calculation!J5/Calculation!L4</f>
        <v>6.1372603219684629</v>
      </c>
      <c r="M13" s="13">
        <f>K13*Calculation!J5/Calculation!L4</f>
        <v>0.11055995196418815</v>
      </c>
      <c r="N13" s="13">
        <v>0</v>
      </c>
      <c r="O13" s="13">
        <v>0</v>
      </c>
      <c r="P13" s="13">
        <f>N13*Calculation!J5/Calculation!L4</f>
        <v>0</v>
      </c>
      <c r="Q13" s="13">
        <f>O13*Calculation!J5/Calculation!L4</f>
        <v>0</v>
      </c>
    </row>
    <row r="14" spans="1:21">
      <c r="D14" s="16">
        <v>2</v>
      </c>
      <c r="E14" s="70">
        <v>24</v>
      </c>
      <c r="F14" s="13">
        <v>0</v>
      </c>
      <c r="G14" s="13">
        <v>0</v>
      </c>
      <c r="H14" s="13">
        <f>F14*Calculation!J6/Calculation!L5</f>
        <v>0</v>
      </c>
      <c r="I14" s="13">
        <f>G14*Calculation!J6/Calculation!L5</f>
        <v>0</v>
      </c>
      <c r="J14" s="13">
        <v>25.309272500283736</v>
      </c>
      <c r="K14" s="13">
        <v>0.41046740029565382</v>
      </c>
      <c r="L14" s="13">
        <f>J14*Calculation!J6/Calculation!L5</f>
        <v>27.857206976730918</v>
      </c>
      <c r="M14" s="13">
        <f>K14*Calculation!J6/Calculation!L5</f>
        <v>0.45178996461113219</v>
      </c>
      <c r="N14" s="13">
        <v>0</v>
      </c>
      <c r="O14" s="13">
        <v>0</v>
      </c>
      <c r="P14" s="13">
        <f>N14*Calculation!J6/Calculation!L5</f>
        <v>0</v>
      </c>
      <c r="Q14" s="13">
        <f>O14*Calculation!J6/Calculation!L5</f>
        <v>0</v>
      </c>
    </row>
    <row r="15" spans="1:21">
      <c r="D15" s="16">
        <v>3</v>
      </c>
      <c r="E15" s="70">
        <v>48</v>
      </c>
      <c r="F15" s="13">
        <v>0</v>
      </c>
      <c r="G15" s="13">
        <v>0</v>
      </c>
      <c r="H15" s="13">
        <f>F15*Calculation!J7/Calculation!L6</f>
        <v>0</v>
      </c>
      <c r="I15" s="13">
        <f>G15*Calculation!J7/Calculation!L6</f>
        <v>0</v>
      </c>
      <c r="J15" s="13">
        <v>25.400068096697311</v>
      </c>
      <c r="K15" s="13">
        <v>0.24022256825010491</v>
      </c>
      <c r="L15" s="13">
        <f>J15*Calculation!J7/Calculation!L6</f>
        <v>29.010323195249878</v>
      </c>
      <c r="M15" s="13">
        <f>K15*Calculation!J7/Calculation!L6</f>
        <v>0.2743667582778907</v>
      </c>
      <c r="N15" s="13">
        <v>0</v>
      </c>
      <c r="O15" s="13">
        <v>0</v>
      </c>
      <c r="P15" s="13">
        <f>N15*Calculation!J7/Calculation!L6</f>
        <v>0</v>
      </c>
      <c r="Q15" s="13">
        <f>O15*Calculation!J7/Calculation!L6</f>
        <v>0</v>
      </c>
    </row>
  </sheetData>
  <mergeCells count="14">
    <mergeCell ref="F9:I9"/>
    <mergeCell ref="J9:M9"/>
    <mergeCell ref="N9:Q9"/>
    <mergeCell ref="N1:Q1"/>
    <mergeCell ref="A1:B1"/>
    <mergeCell ref="A2:B2"/>
    <mergeCell ref="A3:A4"/>
    <mergeCell ref="D9:D10"/>
    <mergeCell ref="E9:E10"/>
    <mergeCell ref="R1:U1"/>
    <mergeCell ref="D1:D2"/>
    <mergeCell ref="E1:E2"/>
    <mergeCell ref="F1:I1"/>
    <mergeCell ref="J1:M1"/>
  </mergeCells>
  <phoneticPr fontId="2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1"/>
  <sheetViews>
    <sheetView topLeftCell="A4" workbookViewId="0">
      <selection activeCell="G7" sqref="G7:H11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143</v>
      </c>
      <c r="B2" s="17">
        <v>180.16</v>
      </c>
    </row>
    <row r="4" spans="1:8">
      <c r="A4" s="146" t="s">
        <v>144</v>
      </c>
      <c r="B4" s="147"/>
      <c r="C4" s="147"/>
      <c r="D4" s="147"/>
      <c r="E4" s="147"/>
      <c r="F4" s="147"/>
      <c r="G4" s="147"/>
      <c r="H4" s="148"/>
    </row>
    <row r="5" spans="1:8">
      <c r="A5" s="149" t="s">
        <v>62</v>
      </c>
      <c r="B5" s="147"/>
      <c r="C5" s="148"/>
      <c r="D5" s="150" t="s">
        <v>45</v>
      </c>
      <c r="E5" s="150" t="s">
        <v>46</v>
      </c>
      <c r="F5" s="150" t="s">
        <v>47</v>
      </c>
      <c r="G5" s="152" t="s">
        <v>63</v>
      </c>
      <c r="H5" s="152" t="s">
        <v>64</v>
      </c>
    </row>
    <row r="6" spans="1:8">
      <c r="A6" s="29" t="s">
        <v>4</v>
      </c>
      <c r="B6" s="29" t="s">
        <v>5</v>
      </c>
      <c r="C6" s="29" t="s">
        <v>19</v>
      </c>
      <c r="D6" s="151"/>
      <c r="E6" s="151"/>
      <c r="F6" s="151"/>
      <c r="G6" s="153"/>
      <c r="H6" s="153"/>
    </row>
    <row r="7" spans="1:8">
      <c r="A7" s="16">
        <v>0</v>
      </c>
      <c r="B7" s="67">
        <v>-0.16666666666666666</v>
      </c>
      <c r="C7" s="16">
        <v>2</v>
      </c>
      <c r="D7" s="19">
        <v>4.33</v>
      </c>
      <c r="E7" s="16">
        <v>4.4210000000000003</v>
      </c>
      <c r="F7" s="16">
        <v>4.423</v>
      </c>
      <c r="G7" s="19">
        <f>(C7*1000*AVERAGE(D7:F7)/$B$2)</f>
        <v>48.749259917110727</v>
      </c>
      <c r="H7" s="19">
        <f>(C7*1000*STDEV(D7:F7))/$B$2</f>
        <v>0.58976062667717577</v>
      </c>
    </row>
    <row r="8" spans="1:8">
      <c r="A8" s="16">
        <v>0</v>
      </c>
      <c r="B8" s="70">
        <v>0.16666666666666666</v>
      </c>
      <c r="C8" s="16">
        <v>2</v>
      </c>
      <c r="D8" s="16">
        <v>4.3630000000000004</v>
      </c>
      <c r="E8" s="16">
        <v>4.4240000000000004</v>
      </c>
      <c r="F8" s="16">
        <v>4.4260000000000002</v>
      </c>
      <c r="G8" s="19">
        <f t="shared" ref="G8:G11" si="0">(C8*1000*AVERAGE(D8:F8))/$B$2</f>
        <v>48.893576080521029</v>
      </c>
      <c r="H8" s="19">
        <f t="shared" ref="H8:H11" si="1">(C8*1000*STDEV(D8:F8))/$B$2</f>
        <v>0.3975319950841234</v>
      </c>
    </row>
    <row r="9" spans="1:8">
      <c r="A9" s="16">
        <v>1</v>
      </c>
      <c r="B9" s="70">
        <v>12</v>
      </c>
      <c r="C9" s="16">
        <v>2</v>
      </c>
      <c r="D9" s="19">
        <v>3.972</v>
      </c>
      <c r="E9" s="16">
        <v>4.0659999999999998</v>
      </c>
      <c r="F9" s="19">
        <v>4.04</v>
      </c>
      <c r="G9" s="19">
        <f t="shared" si="0"/>
        <v>44.693605683836587</v>
      </c>
      <c r="H9" s="19">
        <f t="shared" si="1"/>
        <v>0.53883930282023018</v>
      </c>
    </row>
    <row r="10" spans="1:8">
      <c r="A10" s="16">
        <v>2</v>
      </c>
      <c r="B10" s="70">
        <v>24</v>
      </c>
      <c r="C10" s="16">
        <v>2</v>
      </c>
      <c r="D10" s="16">
        <v>2.1080000000000001</v>
      </c>
      <c r="E10" s="16">
        <v>2.1560000000000001</v>
      </c>
      <c r="F10" s="16">
        <v>2.1819999999999999</v>
      </c>
      <c r="G10" s="19">
        <f t="shared" si="0"/>
        <v>23.852871521610417</v>
      </c>
      <c r="H10" s="19">
        <f t="shared" si="1"/>
        <v>0.41675275977800658</v>
      </c>
    </row>
    <row r="11" spans="1:8">
      <c r="A11" s="16">
        <v>3</v>
      </c>
      <c r="B11" s="70">
        <v>48</v>
      </c>
      <c r="C11" s="16">
        <v>2</v>
      </c>
      <c r="D11" s="16">
        <v>1.8620000000000001</v>
      </c>
      <c r="E11" s="19">
        <v>1.9</v>
      </c>
      <c r="F11" s="16">
        <v>1.8919999999999999</v>
      </c>
      <c r="G11" s="19">
        <f t="shared" si="0"/>
        <v>20.922143280047365</v>
      </c>
      <c r="H11" s="19">
        <f t="shared" si="1"/>
        <v>0.22239460037472822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1"/>
  <sheetViews>
    <sheetView workbookViewId="0">
      <selection activeCell="G7" sqref="G7:H12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65</v>
      </c>
      <c r="B2" s="17">
        <v>46.03</v>
      </c>
    </row>
    <row r="4" spans="1:8">
      <c r="A4" s="146" t="s">
        <v>65</v>
      </c>
      <c r="B4" s="147"/>
      <c r="C4" s="147"/>
      <c r="D4" s="147"/>
      <c r="E4" s="147"/>
      <c r="F4" s="147"/>
      <c r="G4" s="147"/>
      <c r="H4" s="148"/>
    </row>
    <row r="5" spans="1:8">
      <c r="A5" s="149" t="s">
        <v>62</v>
      </c>
      <c r="B5" s="147"/>
      <c r="C5" s="148"/>
      <c r="D5" s="150" t="s">
        <v>45</v>
      </c>
      <c r="E5" s="150" t="s">
        <v>46</v>
      </c>
      <c r="F5" s="150" t="s">
        <v>47</v>
      </c>
      <c r="G5" s="152" t="s">
        <v>63</v>
      </c>
      <c r="H5" s="152" t="s">
        <v>64</v>
      </c>
    </row>
    <row r="6" spans="1:8">
      <c r="A6" s="29" t="s">
        <v>4</v>
      </c>
      <c r="B6" s="29" t="s">
        <v>60</v>
      </c>
      <c r="C6" s="29" t="s">
        <v>19</v>
      </c>
      <c r="D6" s="151"/>
      <c r="E6" s="151"/>
      <c r="F6" s="151"/>
      <c r="G6" s="153"/>
      <c r="H6" s="153"/>
    </row>
    <row r="7" spans="1:8">
      <c r="A7" s="71">
        <v>0</v>
      </c>
      <c r="B7" s="67">
        <v>-0.16666666666666666</v>
      </c>
      <c r="C7" s="16">
        <v>2</v>
      </c>
      <c r="D7" s="56">
        <v>0</v>
      </c>
      <c r="E7" s="56">
        <v>0</v>
      </c>
      <c r="F7" s="56">
        <v>0</v>
      </c>
      <c r="G7" s="16">
        <f>(C7*1000*AVERAGE(D7:F7))/$B$2</f>
        <v>0</v>
      </c>
      <c r="H7" s="19">
        <f t="shared" ref="H7:H9" si="0">(C7*1000*STDEV(D7:F7))/$B$2</f>
        <v>0</v>
      </c>
    </row>
    <row r="8" spans="1:8">
      <c r="A8" s="72">
        <v>0</v>
      </c>
      <c r="B8" s="70">
        <v>0.16666666666666666</v>
      </c>
      <c r="C8" s="16">
        <v>2</v>
      </c>
      <c r="D8" s="56">
        <v>0</v>
      </c>
      <c r="E8" s="56">
        <v>0</v>
      </c>
      <c r="F8" s="56">
        <v>0</v>
      </c>
      <c r="G8" s="16">
        <f t="shared" ref="G8:G10" si="1">(C8*1000*AVERAGE(D8:F8))/$B$2</f>
        <v>0</v>
      </c>
      <c r="H8" s="19">
        <f t="shared" si="0"/>
        <v>0</v>
      </c>
    </row>
    <row r="9" spans="1:8">
      <c r="A9" s="72">
        <v>1</v>
      </c>
      <c r="B9" s="70">
        <v>12</v>
      </c>
      <c r="C9" s="16">
        <v>2</v>
      </c>
      <c r="D9" s="56">
        <v>6.4000000000000001E-2</v>
      </c>
      <c r="E9" s="56">
        <v>6.6000000000000003E-2</v>
      </c>
      <c r="F9" s="56">
        <v>6.5000000000000002E-2</v>
      </c>
      <c r="G9" s="16">
        <f t="shared" si="1"/>
        <v>2.8242450575711491</v>
      </c>
      <c r="H9" s="19">
        <f t="shared" si="0"/>
        <v>4.34499239626331E-2</v>
      </c>
    </row>
    <row r="10" spans="1:8">
      <c r="A10" s="72">
        <v>2</v>
      </c>
      <c r="B10" s="70">
        <v>24</v>
      </c>
      <c r="C10" s="16">
        <v>2</v>
      </c>
      <c r="D10" s="56">
        <v>0.53</v>
      </c>
      <c r="E10" s="56">
        <v>0.54100000000000004</v>
      </c>
      <c r="F10" s="56">
        <v>0.54800000000000004</v>
      </c>
      <c r="G10" s="16">
        <f t="shared" si="1"/>
        <v>23.448475631834313</v>
      </c>
      <c r="H10" s="19">
        <f t="shared" ref="H10:H11" si="2">(C10*1000*STDEV(D10:F10))/$B$2</f>
        <v>0.39425469154366605</v>
      </c>
    </row>
    <row r="11" spans="1:8">
      <c r="A11" s="72">
        <v>3</v>
      </c>
      <c r="B11" s="70">
        <v>48</v>
      </c>
      <c r="C11" s="16">
        <v>2</v>
      </c>
      <c r="D11" s="56">
        <v>0.57399999999999995</v>
      </c>
      <c r="E11" s="56">
        <v>0.59</v>
      </c>
      <c r="F11" s="56">
        <v>0.58499999999999996</v>
      </c>
      <c r="G11" s="16">
        <f t="shared" ref="G11" si="3">(C11*1000*AVERAGE(D11:F11))/$B$2</f>
        <v>25.331305670215077</v>
      </c>
      <c r="H11" s="19">
        <f t="shared" si="2"/>
        <v>0.35565295554518606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7" sqref="G7:H11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46" t="s">
        <v>43</v>
      </c>
      <c r="B4" s="147"/>
      <c r="C4" s="147"/>
      <c r="D4" s="147"/>
      <c r="E4" s="147"/>
      <c r="F4" s="147"/>
      <c r="G4" s="147"/>
      <c r="H4" s="148"/>
    </row>
    <row r="5" spans="1:8">
      <c r="A5" s="149" t="s">
        <v>62</v>
      </c>
      <c r="B5" s="147"/>
      <c r="C5" s="148"/>
      <c r="D5" s="150" t="s">
        <v>45</v>
      </c>
      <c r="E5" s="150" t="s">
        <v>46</v>
      </c>
      <c r="F5" s="150" t="s">
        <v>47</v>
      </c>
      <c r="G5" s="152" t="s">
        <v>63</v>
      </c>
      <c r="H5" s="152" t="s">
        <v>64</v>
      </c>
    </row>
    <row r="6" spans="1:8">
      <c r="A6" s="22" t="s">
        <v>4</v>
      </c>
      <c r="B6" s="22" t="s">
        <v>60</v>
      </c>
      <c r="C6" s="22" t="s">
        <v>19</v>
      </c>
      <c r="D6" s="151"/>
      <c r="E6" s="151"/>
      <c r="F6" s="151"/>
      <c r="G6" s="153"/>
      <c r="H6" s="153"/>
    </row>
    <row r="7" spans="1:8">
      <c r="A7" s="71">
        <v>0</v>
      </c>
      <c r="B7" s="67">
        <v>-0.16666666666666666</v>
      </c>
      <c r="C7" s="16">
        <v>2</v>
      </c>
      <c r="D7" s="19">
        <v>1.4419999999999999</v>
      </c>
      <c r="E7" s="19">
        <v>1.476</v>
      </c>
      <c r="F7" s="19">
        <v>1.4770000000000001</v>
      </c>
      <c r="G7" s="16">
        <f>(C7*1000*AVERAGE(D7:F7))/$B$2</f>
        <v>48.792672772689428</v>
      </c>
      <c r="H7" s="19">
        <f>(C7*1000*STDEV(D7:F7))/$B$2</f>
        <v>0.66360895404400755</v>
      </c>
    </row>
    <row r="8" spans="1:8">
      <c r="A8" s="72">
        <v>0</v>
      </c>
      <c r="B8" s="70">
        <v>0.16666666666666666</v>
      </c>
      <c r="C8" s="16">
        <v>2</v>
      </c>
      <c r="D8" s="19">
        <v>1.464</v>
      </c>
      <c r="E8" s="19">
        <v>1.4890000000000001</v>
      </c>
      <c r="F8" s="19">
        <v>1.49</v>
      </c>
      <c r="G8" s="16">
        <f t="shared" ref="G8:G11" si="0">(C8*1000*AVERAGE(D8:F8))/$B$2</f>
        <v>49.325562031640303</v>
      </c>
      <c r="H8" s="19">
        <f t="shared" ref="H8:H11" si="1">(C8*1000*STDEV(D8:F8))/$B$2</f>
        <v>0.49062181057972626</v>
      </c>
    </row>
    <row r="9" spans="1:8">
      <c r="A9" s="72">
        <v>1</v>
      </c>
      <c r="B9" s="70">
        <v>12</v>
      </c>
      <c r="C9" s="16">
        <v>2</v>
      </c>
      <c r="D9" s="19">
        <v>1.319</v>
      </c>
      <c r="E9" s="19">
        <v>1.353</v>
      </c>
      <c r="F9" s="19">
        <v>1.35</v>
      </c>
      <c r="G9" s="16">
        <f t="shared" si="0"/>
        <v>44.65167915625868</v>
      </c>
      <c r="H9" s="19">
        <f t="shared" si="1"/>
        <v>0.62693568264204425</v>
      </c>
    </row>
    <row r="10" spans="1:8">
      <c r="A10" s="72">
        <v>2</v>
      </c>
      <c r="B10" s="70">
        <v>24</v>
      </c>
      <c r="C10" s="16">
        <v>2</v>
      </c>
      <c r="D10" s="19">
        <v>1.048</v>
      </c>
      <c r="E10" s="19">
        <v>1.0740000000000001</v>
      </c>
      <c r="F10" s="19">
        <v>1.0880000000000001</v>
      </c>
      <c r="G10" s="16">
        <f t="shared" si="0"/>
        <v>35.63696919233972</v>
      </c>
      <c r="H10" s="19">
        <f t="shared" si="1"/>
        <v>0.67602941316184706</v>
      </c>
    </row>
    <row r="11" spans="1:8">
      <c r="A11" s="72">
        <v>3</v>
      </c>
      <c r="B11" s="70">
        <v>48</v>
      </c>
      <c r="C11" s="16">
        <v>2</v>
      </c>
      <c r="D11" s="19">
        <v>1.0820000000000001</v>
      </c>
      <c r="E11" s="19">
        <v>1.107</v>
      </c>
      <c r="F11" s="19">
        <v>1.0980000000000001</v>
      </c>
      <c r="G11" s="16">
        <f t="shared" si="0"/>
        <v>36.491812378573407</v>
      </c>
      <c r="H11" s="19">
        <f t="shared" si="1"/>
        <v>0.421724560937497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1"/>
  <sheetViews>
    <sheetView workbookViewId="0">
      <selection activeCell="B7" sqref="B7:B11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67</v>
      </c>
      <c r="B2" s="17">
        <v>74.08</v>
      </c>
    </row>
    <row r="4" spans="1:8">
      <c r="A4" s="146" t="s">
        <v>67</v>
      </c>
      <c r="B4" s="147"/>
      <c r="C4" s="147"/>
      <c r="D4" s="147"/>
      <c r="E4" s="147"/>
      <c r="F4" s="147"/>
      <c r="G4" s="147"/>
      <c r="H4" s="148"/>
    </row>
    <row r="5" spans="1:8">
      <c r="A5" s="149" t="s">
        <v>62</v>
      </c>
      <c r="B5" s="147"/>
      <c r="C5" s="148"/>
      <c r="D5" s="150" t="s">
        <v>45</v>
      </c>
      <c r="E5" s="150" t="s">
        <v>46</v>
      </c>
      <c r="F5" s="150" t="s">
        <v>47</v>
      </c>
      <c r="G5" s="152" t="s">
        <v>63</v>
      </c>
      <c r="H5" s="152" t="s">
        <v>64</v>
      </c>
    </row>
    <row r="6" spans="1:8">
      <c r="A6" s="29" t="s">
        <v>4</v>
      </c>
      <c r="B6" s="29" t="s">
        <v>60</v>
      </c>
      <c r="C6" s="29" t="s">
        <v>19</v>
      </c>
      <c r="D6" s="151"/>
      <c r="E6" s="151"/>
      <c r="F6" s="151"/>
      <c r="G6" s="153"/>
      <c r="H6" s="153"/>
    </row>
    <row r="7" spans="1:8">
      <c r="A7" s="71">
        <v>0</v>
      </c>
      <c r="B7" s="67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72">
        <v>0</v>
      </c>
      <c r="B8" s="70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1" si="0">(C8*1000*AVERAGE(D8:F8))/$B$2</f>
        <v>0</v>
      </c>
      <c r="H8" s="19">
        <f t="shared" ref="H8:H11" si="1">(C8*1000*STDEV(D8:F8))/$B$2</f>
        <v>0</v>
      </c>
    </row>
    <row r="9" spans="1:8">
      <c r="A9" s="72">
        <v>1</v>
      </c>
      <c r="B9" s="70">
        <v>12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72">
        <v>2</v>
      </c>
      <c r="B10" s="70">
        <v>24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72">
        <v>3</v>
      </c>
      <c r="B11" s="70">
        <v>48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1"/>
  <sheetViews>
    <sheetView topLeftCell="A3" workbookViewId="0">
      <selection activeCell="G7" sqref="G7:H11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66</v>
      </c>
      <c r="B2" s="17">
        <v>88.11</v>
      </c>
    </row>
    <row r="4" spans="1:8">
      <c r="A4" s="146" t="s">
        <v>66</v>
      </c>
      <c r="B4" s="147"/>
      <c r="C4" s="147"/>
      <c r="D4" s="147"/>
      <c r="E4" s="147"/>
      <c r="F4" s="147"/>
      <c r="G4" s="147"/>
      <c r="H4" s="148"/>
    </row>
    <row r="5" spans="1:8">
      <c r="A5" s="149" t="s">
        <v>62</v>
      </c>
      <c r="B5" s="147"/>
      <c r="C5" s="148"/>
      <c r="D5" s="150" t="s">
        <v>45</v>
      </c>
      <c r="E5" s="150" t="s">
        <v>46</v>
      </c>
      <c r="F5" s="150" t="s">
        <v>47</v>
      </c>
      <c r="G5" s="152" t="s">
        <v>63</v>
      </c>
      <c r="H5" s="152" t="s">
        <v>64</v>
      </c>
    </row>
    <row r="6" spans="1:8">
      <c r="A6" s="29" t="s">
        <v>4</v>
      </c>
      <c r="B6" s="29" t="s">
        <v>60</v>
      </c>
      <c r="C6" s="29" t="s">
        <v>19</v>
      </c>
      <c r="D6" s="151"/>
      <c r="E6" s="151"/>
      <c r="F6" s="151"/>
      <c r="G6" s="153"/>
      <c r="H6" s="153"/>
    </row>
    <row r="7" spans="1:8">
      <c r="A7" s="71">
        <v>0</v>
      </c>
      <c r="B7" s="67">
        <v>-0.16666666666666666</v>
      </c>
      <c r="C7" s="16">
        <v>2</v>
      </c>
      <c r="D7" s="57">
        <v>0</v>
      </c>
      <c r="E7" s="58">
        <v>0</v>
      </c>
      <c r="F7" s="5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72">
        <v>0</v>
      </c>
      <c r="B8" s="70">
        <v>0.16666666666666666</v>
      </c>
      <c r="C8" s="16">
        <v>2</v>
      </c>
      <c r="D8" s="59">
        <v>2.7E-2</v>
      </c>
      <c r="E8" s="60">
        <v>2.7E-2</v>
      </c>
      <c r="F8" s="60">
        <v>2.4E-2</v>
      </c>
      <c r="G8" s="16">
        <f>(C8*1000*AVERAGE(D8:F8))/$B$2</f>
        <v>0.59017137668823061</v>
      </c>
      <c r="H8" s="19">
        <f t="shared" ref="H8:H11" si="0">(C8*1000*STDEV(D8:F8))/$B$2</f>
        <v>3.9315646522957139E-2</v>
      </c>
    </row>
    <row r="9" spans="1:8">
      <c r="A9" s="72">
        <v>1</v>
      </c>
      <c r="B9" s="70">
        <v>12</v>
      </c>
      <c r="C9" s="16">
        <v>2</v>
      </c>
      <c r="D9" s="59">
        <v>0.25700000000000001</v>
      </c>
      <c r="E9" s="60">
        <v>0.26600000000000001</v>
      </c>
      <c r="F9" s="60">
        <v>0.26400000000000001</v>
      </c>
      <c r="G9" s="16">
        <f t="shared" ref="G9:G11" si="1">(C9*1000*AVERAGE(D9:F9))/$B$2</f>
        <v>5.9546778647902254</v>
      </c>
      <c r="H9" s="19">
        <f t="shared" si="0"/>
        <v>0.10727081208154834</v>
      </c>
    </row>
    <row r="10" spans="1:8">
      <c r="A10" s="72">
        <v>2</v>
      </c>
      <c r="B10" s="70">
        <v>24</v>
      </c>
      <c r="C10" s="16">
        <v>2</v>
      </c>
      <c r="D10" s="43">
        <v>1.0960000000000001</v>
      </c>
      <c r="E10" s="43">
        <v>1.117</v>
      </c>
      <c r="F10" s="43">
        <v>1.1319999999999999</v>
      </c>
      <c r="G10" s="16">
        <f t="shared" si="1"/>
        <v>25.309272500283736</v>
      </c>
      <c r="H10" s="19">
        <f t="shared" si="0"/>
        <v>0.41046740029565382</v>
      </c>
    </row>
    <row r="11" spans="1:8">
      <c r="A11" s="72">
        <v>3</v>
      </c>
      <c r="B11" s="70">
        <v>48</v>
      </c>
      <c r="C11" s="16">
        <v>2</v>
      </c>
      <c r="D11" s="43">
        <v>1.107</v>
      </c>
      <c r="E11" s="43">
        <v>1.123</v>
      </c>
      <c r="F11" s="43">
        <v>1.127</v>
      </c>
      <c r="G11" s="16">
        <f t="shared" si="1"/>
        <v>25.400068096697311</v>
      </c>
      <c r="H11" s="19">
        <f t="shared" si="0"/>
        <v>0.24022256825010491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7" sqref="G7:H11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46" t="s">
        <v>42</v>
      </c>
      <c r="B4" s="147"/>
      <c r="C4" s="147"/>
      <c r="D4" s="147"/>
      <c r="E4" s="147"/>
      <c r="F4" s="147"/>
      <c r="G4" s="147"/>
      <c r="H4" s="148"/>
    </row>
    <row r="5" spans="1:8">
      <c r="A5" s="149" t="s">
        <v>62</v>
      </c>
      <c r="B5" s="147"/>
      <c r="C5" s="148"/>
      <c r="D5" s="150" t="s">
        <v>45</v>
      </c>
      <c r="E5" s="150" t="s">
        <v>46</v>
      </c>
      <c r="F5" s="150" t="s">
        <v>47</v>
      </c>
      <c r="G5" s="152" t="s">
        <v>63</v>
      </c>
      <c r="H5" s="152" t="s">
        <v>64</v>
      </c>
    </row>
    <row r="6" spans="1:8">
      <c r="A6" s="22" t="s">
        <v>4</v>
      </c>
      <c r="B6" s="22" t="s">
        <v>60</v>
      </c>
      <c r="C6" s="22" t="s">
        <v>19</v>
      </c>
      <c r="D6" s="151"/>
      <c r="E6" s="151"/>
      <c r="F6" s="151"/>
      <c r="G6" s="153"/>
      <c r="H6" s="153"/>
    </row>
    <row r="7" spans="1:8">
      <c r="A7" s="71">
        <v>0</v>
      </c>
      <c r="B7" s="67">
        <v>-0.16666666666666666</v>
      </c>
      <c r="C7" s="16">
        <v>2</v>
      </c>
      <c r="D7" s="42">
        <v>0</v>
      </c>
      <c r="E7" s="42">
        <v>0</v>
      </c>
      <c r="F7" s="42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72">
        <v>0</v>
      </c>
      <c r="B8" s="70">
        <v>0.16666666666666666</v>
      </c>
      <c r="C8" s="16">
        <v>2</v>
      </c>
      <c r="D8" s="42">
        <v>0</v>
      </c>
      <c r="E8" s="42">
        <v>0</v>
      </c>
      <c r="F8" s="42">
        <v>0</v>
      </c>
      <c r="G8" s="16">
        <f t="shared" ref="G8:G11" si="0">(C8*1000*AVERAGE(D8:F8))/$B$2</f>
        <v>0</v>
      </c>
      <c r="H8" s="19">
        <f t="shared" ref="H8:H11" si="1">(C8*1000*STDEV(D8:F8))/$B$2</f>
        <v>0</v>
      </c>
    </row>
    <row r="9" spans="1:8">
      <c r="A9" s="72">
        <v>1</v>
      </c>
      <c r="B9" s="70">
        <v>12</v>
      </c>
      <c r="C9" s="16">
        <v>2</v>
      </c>
      <c r="D9" s="42">
        <v>0</v>
      </c>
      <c r="E9" s="42">
        <v>0</v>
      </c>
      <c r="F9" s="42">
        <v>0</v>
      </c>
      <c r="G9" s="16">
        <f t="shared" si="0"/>
        <v>0</v>
      </c>
      <c r="H9" s="19">
        <f t="shared" si="1"/>
        <v>0</v>
      </c>
    </row>
    <row r="10" spans="1:8">
      <c r="A10" s="72">
        <v>2</v>
      </c>
      <c r="B10" s="70">
        <v>24</v>
      </c>
      <c r="C10" s="16">
        <v>2</v>
      </c>
      <c r="D10" s="56">
        <v>2.5999999999999999E-2</v>
      </c>
      <c r="E10" s="56">
        <v>2.8000000000000001E-2</v>
      </c>
      <c r="F10" s="56">
        <v>0.03</v>
      </c>
      <c r="G10" s="16">
        <f t="shared" si="0"/>
        <v>0.6216696269982237</v>
      </c>
      <c r="H10" s="19">
        <f t="shared" si="1"/>
        <v>4.4404973357015987E-2</v>
      </c>
    </row>
    <row r="11" spans="1:8">
      <c r="A11" s="72">
        <v>3</v>
      </c>
      <c r="B11" s="70">
        <v>48</v>
      </c>
      <c r="C11" s="16">
        <v>2</v>
      </c>
      <c r="D11" s="56">
        <v>8.1000000000000003E-2</v>
      </c>
      <c r="E11" s="56">
        <v>8.8999999999999996E-2</v>
      </c>
      <c r="F11" s="56">
        <v>8.2000000000000003E-2</v>
      </c>
      <c r="G11" s="16">
        <f t="shared" si="0"/>
        <v>1.8650088809946714</v>
      </c>
      <c r="H11" s="19">
        <f t="shared" si="1"/>
        <v>9.6778395726924288E-2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46" t="s">
        <v>44</v>
      </c>
      <c r="B4" s="147"/>
      <c r="C4" s="147"/>
      <c r="D4" s="147"/>
      <c r="E4" s="147"/>
      <c r="F4" s="147"/>
      <c r="G4" s="147"/>
      <c r="H4" s="148"/>
    </row>
    <row r="5" spans="1:8">
      <c r="A5" s="149" t="s">
        <v>62</v>
      </c>
      <c r="B5" s="147"/>
      <c r="C5" s="148"/>
      <c r="D5" s="150" t="s">
        <v>45</v>
      </c>
      <c r="E5" s="150" t="s">
        <v>46</v>
      </c>
      <c r="F5" s="150" t="s">
        <v>47</v>
      </c>
      <c r="G5" s="152" t="s">
        <v>63</v>
      </c>
      <c r="H5" s="152" t="s">
        <v>64</v>
      </c>
    </row>
    <row r="6" spans="1:8">
      <c r="A6" s="22" t="s">
        <v>4</v>
      </c>
      <c r="B6" s="22" t="s">
        <v>60</v>
      </c>
      <c r="C6" s="22" t="s">
        <v>19</v>
      </c>
      <c r="D6" s="151"/>
      <c r="E6" s="151"/>
      <c r="F6" s="151"/>
      <c r="G6" s="153"/>
      <c r="H6" s="153"/>
    </row>
    <row r="7" spans="1:8">
      <c r="A7" s="71">
        <v>0</v>
      </c>
      <c r="B7" s="67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72">
        <v>0</v>
      </c>
      <c r="B8" s="70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1" si="0">(C8*1000*AVERAGE(D8:F8))/$B$2</f>
        <v>0</v>
      </c>
      <c r="H8" s="19">
        <f t="shared" ref="H8:H11" si="1">(C8*1000*STDEV(D8:F8))/$B$2</f>
        <v>0</v>
      </c>
    </row>
    <row r="9" spans="1:8">
      <c r="A9" s="72">
        <v>1</v>
      </c>
      <c r="B9" s="70">
        <v>12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72">
        <v>2</v>
      </c>
      <c r="B10" s="70">
        <v>24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72">
        <v>3</v>
      </c>
      <c r="B11" s="70">
        <v>48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8"/>
  <sheetViews>
    <sheetView workbookViewId="0">
      <selection activeCell="B12" sqref="B12"/>
    </sheetView>
  </sheetViews>
  <sheetFormatPr baseColWidth="10" defaultColWidth="8.83203125" defaultRowHeight="14" x14ac:dyDescent="0"/>
  <cols>
    <col min="1" max="1" width="27.6640625" customWidth="1"/>
  </cols>
  <sheetData>
    <row r="1" spans="1:5">
      <c r="B1" s="31" t="s">
        <v>78</v>
      </c>
      <c r="C1" s="31" t="s">
        <v>79</v>
      </c>
    </row>
    <row r="2" spans="1:5">
      <c r="A2" s="31" t="s">
        <v>145</v>
      </c>
      <c r="B2" s="76">
        <f>Metabolites!H4-Metabolites!H7</f>
        <v>24.997650440446851</v>
      </c>
      <c r="C2" s="76">
        <f>Metabolites!I4+Metabolites!I7</f>
        <v>0.6515367957479532</v>
      </c>
    </row>
    <row r="3" spans="1:5">
      <c r="A3" s="31" t="s">
        <v>124</v>
      </c>
      <c r="B3" s="76">
        <f>Metabolites!P4-Metabolites!P7</f>
        <v>7.6469623108590028</v>
      </c>
      <c r="C3" s="76">
        <f>Metabolites!Q4+Metabolites!Q7</f>
        <v>0.97228846460584029</v>
      </c>
    </row>
    <row r="4" spans="1:5">
      <c r="A4" s="31" t="s">
        <v>125</v>
      </c>
      <c r="B4" s="76">
        <f>Metabolites!T7-Metabolites!T4</f>
        <v>28.931787176828784</v>
      </c>
      <c r="C4" s="76">
        <f>Metabolites!U4+Metabolites!U7</f>
        <v>0.40620391829001634</v>
      </c>
    </row>
    <row r="5" spans="1:5">
      <c r="A5" s="31" t="s">
        <v>126</v>
      </c>
      <c r="B5" s="76">
        <f>Metabolites!L7-Metabolites!L4</f>
        <v>2.1300931239118124</v>
      </c>
      <c r="C5" s="76">
        <f>Metabolites!M7+Metabolites!M4</f>
        <v>0.1105340555650291</v>
      </c>
    </row>
    <row r="6" spans="1:5">
      <c r="A6" s="31" t="s">
        <v>127</v>
      </c>
      <c r="B6" s="76">
        <f>Metabolites!L15-Metabolites!L12</f>
        <v>28.420151818561649</v>
      </c>
      <c r="C6" s="76">
        <f>Metabolites!M15+Metabolites!M12</f>
        <v>0.31368240480084786</v>
      </c>
    </row>
    <row r="7" spans="1:5">
      <c r="A7" s="31" t="s">
        <v>80</v>
      </c>
      <c r="B7" s="76">
        <f>'H2'!G101</f>
        <v>0</v>
      </c>
      <c r="C7" s="76"/>
    </row>
    <row r="8" spans="1:5">
      <c r="A8" s="31" t="s">
        <v>81</v>
      </c>
      <c r="B8" s="76">
        <f>'CO2'!G101</f>
        <v>16.054898522911348</v>
      </c>
      <c r="C8" s="76"/>
    </row>
    <row r="9" spans="1:5">
      <c r="A9" s="31" t="s">
        <v>128</v>
      </c>
      <c r="B9" s="76" t="e">
        <f>Calculation!#REF!*1.5/1000</f>
        <v>#REF!</v>
      </c>
      <c r="C9" s="76"/>
    </row>
    <row r="10" spans="1:5" ht="16">
      <c r="A10" s="31" t="s">
        <v>129</v>
      </c>
      <c r="B10" s="76" t="e">
        <f>Calculation!#REF!*1.5/1000</f>
        <v>#REF!</v>
      </c>
      <c r="C10" s="76"/>
    </row>
    <row r="12" spans="1:5">
      <c r="A12" s="31" t="s">
        <v>82</v>
      </c>
      <c r="B12" s="73">
        <f>((4*$B$6)+(3*$B$5)+($B$4)+(B8))/((6*$B$2)+(2*$B$3))</f>
        <v>0.99865528103244317</v>
      </c>
    </row>
    <row r="14" spans="1:5">
      <c r="A14" s="63"/>
      <c r="B14" s="63"/>
      <c r="C14" s="63" t="s">
        <v>131</v>
      </c>
      <c r="D14" s="63" t="s">
        <v>132</v>
      </c>
    </row>
    <row r="15" spans="1:5">
      <c r="A15" s="63" t="s">
        <v>167</v>
      </c>
      <c r="B15" s="63" t="s">
        <v>133</v>
      </c>
      <c r="C15" s="77">
        <f>B2</f>
        <v>24.997650440446851</v>
      </c>
      <c r="D15" s="77">
        <f>B2</f>
        <v>24.997650440446851</v>
      </c>
      <c r="E15" s="63"/>
    </row>
    <row r="16" spans="1:5">
      <c r="A16" s="63" t="s">
        <v>159</v>
      </c>
      <c r="B16" s="63" t="s">
        <v>134</v>
      </c>
      <c r="C16" s="77">
        <f>2*C15</f>
        <v>49.995300880893701</v>
      </c>
      <c r="D16" s="77">
        <f>2*B2</f>
        <v>49.995300880893701</v>
      </c>
      <c r="E16" s="63"/>
    </row>
    <row r="17" spans="1:5">
      <c r="A17" s="63" t="s">
        <v>160</v>
      </c>
      <c r="B17" s="63" t="s">
        <v>135</v>
      </c>
      <c r="C17" s="77">
        <f>B5</f>
        <v>2.1300931239118124</v>
      </c>
      <c r="D17" s="77">
        <f>B5</f>
        <v>2.1300931239118124</v>
      </c>
      <c r="E17" s="63"/>
    </row>
    <row r="18" spans="1:5">
      <c r="A18" s="63" t="s">
        <v>161</v>
      </c>
      <c r="B18" s="63" t="s">
        <v>136</v>
      </c>
      <c r="C18" s="77">
        <f>B4</f>
        <v>28.931787176828784</v>
      </c>
      <c r="D18" s="77">
        <f>B4</f>
        <v>28.931787176828784</v>
      </c>
      <c r="E18" s="63"/>
    </row>
    <row r="19" spans="1:5">
      <c r="A19" s="63" t="s">
        <v>162</v>
      </c>
      <c r="B19" s="63" t="s">
        <v>137</v>
      </c>
      <c r="C19" s="78">
        <f>C16-C17-C18</f>
        <v>18.933420580153104</v>
      </c>
      <c r="D19" s="78">
        <f>B8</f>
        <v>16.054898522911348</v>
      </c>
      <c r="E19" s="63"/>
    </row>
    <row r="20" spans="1:5">
      <c r="A20" s="63" t="s">
        <v>163</v>
      </c>
      <c r="B20" s="63" t="s">
        <v>138</v>
      </c>
      <c r="C20" s="77">
        <f>B3</f>
        <v>7.6469623108590028</v>
      </c>
      <c r="D20" s="77">
        <f>B3</f>
        <v>7.6469623108590028</v>
      </c>
      <c r="E20" s="63"/>
    </row>
    <row r="21" spans="1:5">
      <c r="A21" s="63" t="s">
        <v>164</v>
      </c>
      <c r="B21" s="63" t="s">
        <v>140</v>
      </c>
      <c r="C21" s="77">
        <f>C16-C17+C20</f>
        <v>55.512170067840891</v>
      </c>
      <c r="D21" s="77">
        <f>B6</f>
        <v>28.420151818561649</v>
      </c>
      <c r="E21" s="63"/>
    </row>
    <row r="22" spans="1:5">
      <c r="A22" s="63" t="s">
        <v>165</v>
      </c>
      <c r="B22" s="63" t="s">
        <v>141</v>
      </c>
      <c r="C22" s="78">
        <f>C21/2</f>
        <v>27.756085033920446</v>
      </c>
      <c r="D22" s="78">
        <f>B6</f>
        <v>28.420151818561649</v>
      </c>
      <c r="E22" s="63"/>
    </row>
    <row r="23" spans="1:5">
      <c r="A23" s="63" t="s">
        <v>166</v>
      </c>
      <c r="B23" s="63"/>
      <c r="E23" s="63"/>
    </row>
    <row r="24" spans="1:5">
      <c r="A24" s="63"/>
      <c r="B24" s="63"/>
      <c r="C24" s="64"/>
      <c r="D24" s="64"/>
      <c r="E24" s="63"/>
    </row>
    <row r="25" spans="1:5">
      <c r="A25" s="63"/>
      <c r="B25" s="63"/>
      <c r="C25" s="63"/>
      <c r="D25" s="63"/>
      <c r="E25" s="63"/>
    </row>
    <row r="26" spans="1:5">
      <c r="A26" s="63"/>
      <c r="B26" s="63"/>
      <c r="C26" s="63"/>
      <c r="D26" s="63"/>
      <c r="E26" s="63"/>
    </row>
    <row r="27" spans="1:5">
      <c r="A27" s="63"/>
      <c r="B27" s="63"/>
      <c r="C27" s="63"/>
      <c r="D27" s="63"/>
      <c r="E27" s="63"/>
    </row>
    <row r="28" spans="1:5">
      <c r="C28" s="63"/>
      <c r="D28" s="63"/>
      <c r="E28" s="6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A4" sqref="A4:D7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2.5" style="2" customWidth="1"/>
    <col min="10" max="10" width="15" style="2" bestFit="1" customWidth="1"/>
    <col min="11" max="11" width="10.6640625" style="2" bestFit="1" customWidth="1"/>
    <col min="12" max="12" width="38.1640625" style="2" customWidth="1"/>
    <col min="13" max="16384" width="8.83203125" style="2"/>
  </cols>
  <sheetData>
    <row r="1" spans="1:12">
      <c r="A1" s="119" t="s">
        <v>4</v>
      </c>
      <c r="B1" s="119" t="s">
        <v>118</v>
      </c>
      <c r="C1" s="119" t="s">
        <v>118</v>
      </c>
      <c r="D1" s="119" t="s">
        <v>5</v>
      </c>
      <c r="E1" s="4" t="s">
        <v>7</v>
      </c>
      <c r="F1" s="4" t="s">
        <v>9</v>
      </c>
      <c r="G1" s="118" t="s">
        <v>11</v>
      </c>
      <c r="H1" s="118" t="s">
        <v>12</v>
      </c>
      <c r="I1" s="118" t="s">
        <v>170</v>
      </c>
      <c r="J1" s="4" t="s">
        <v>13</v>
      </c>
      <c r="K1" s="4" t="s">
        <v>16</v>
      </c>
      <c r="L1" s="4" t="s">
        <v>16</v>
      </c>
    </row>
    <row r="2" spans="1:12">
      <c r="A2" s="120"/>
      <c r="B2" s="120"/>
      <c r="C2" s="120"/>
      <c r="D2" s="120"/>
      <c r="E2" s="5" t="s">
        <v>8</v>
      </c>
      <c r="F2" s="5" t="s">
        <v>10</v>
      </c>
      <c r="G2" s="118"/>
      <c r="H2" s="118"/>
      <c r="I2" s="118"/>
      <c r="J2" s="5" t="s">
        <v>14</v>
      </c>
      <c r="K2" s="5" t="s">
        <v>17</v>
      </c>
      <c r="L2" s="5" t="s">
        <v>142</v>
      </c>
    </row>
    <row r="3" spans="1:12">
      <c r="A3" s="33" t="s">
        <v>6</v>
      </c>
      <c r="B3" s="32">
        <v>-10</v>
      </c>
      <c r="C3" s="32">
        <f>B3</f>
        <v>-10</v>
      </c>
      <c r="D3" s="13">
        <f>C3/60</f>
        <v>-0.16666666666666666</v>
      </c>
      <c r="E3" s="3">
        <v>83</v>
      </c>
      <c r="F3" s="1">
        <f>E3</f>
        <v>83</v>
      </c>
      <c r="G3" s="1">
        <v>0</v>
      </c>
      <c r="H3" s="1">
        <v>0</v>
      </c>
      <c r="I3" s="32">
        <v>0</v>
      </c>
      <c r="J3" s="1">
        <f>$F$9+G3+H3+I3</f>
        <v>1500</v>
      </c>
      <c r="K3" s="13">
        <f>F3*1500/J3</f>
        <v>83</v>
      </c>
      <c r="L3" s="13">
        <f>$F$10-K3</f>
        <v>1492</v>
      </c>
    </row>
    <row r="4" spans="1:12">
      <c r="A4" s="1">
        <v>0</v>
      </c>
      <c r="B4" s="32">
        <v>10</v>
      </c>
      <c r="C4" s="32">
        <f>B4</f>
        <v>10</v>
      </c>
      <c r="D4" s="13">
        <f t="shared" ref="D4:D7" si="0">C4/60</f>
        <v>0.16666666666666666</v>
      </c>
      <c r="E4" s="1">
        <v>57</v>
      </c>
      <c r="F4" s="1">
        <f>E4+F3</f>
        <v>140</v>
      </c>
      <c r="G4" s="40">
        <v>0</v>
      </c>
      <c r="H4" s="1">
        <v>0</v>
      </c>
      <c r="I4" s="32">
        <v>0</v>
      </c>
      <c r="J4" s="1">
        <f>$F$10-F3+G4+H4+I4</f>
        <v>1492</v>
      </c>
      <c r="K4" s="13">
        <f>E4*L3/J4</f>
        <v>57</v>
      </c>
      <c r="L4" s="13">
        <f>L3-K4</f>
        <v>1435</v>
      </c>
    </row>
    <row r="5" spans="1:12">
      <c r="A5" s="1">
        <v>1</v>
      </c>
      <c r="B5" s="32">
        <v>710</v>
      </c>
      <c r="C5" s="32">
        <f>C4+B5</f>
        <v>720</v>
      </c>
      <c r="D5" s="13">
        <f t="shared" si="0"/>
        <v>12</v>
      </c>
      <c r="E5" s="1">
        <v>51</v>
      </c>
      <c r="F5" s="1">
        <f t="shared" ref="F5:F7" si="1">E5+F4</f>
        <v>191</v>
      </c>
      <c r="G5" s="40">
        <v>16</v>
      </c>
      <c r="H5" s="1">
        <v>2</v>
      </c>
      <c r="I5" s="32">
        <v>26</v>
      </c>
      <c r="J5" s="40">
        <f>$F$10-F4+G5+H5+I5</f>
        <v>1479</v>
      </c>
      <c r="K5" s="13">
        <f>E5*L4/J5</f>
        <v>49.482758620689658</v>
      </c>
      <c r="L5" s="13">
        <f>L4-K5</f>
        <v>1385.5172413793102</v>
      </c>
    </row>
    <row r="6" spans="1:12">
      <c r="A6" s="1">
        <v>2</v>
      </c>
      <c r="B6" s="32">
        <v>720</v>
      </c>
      <c r="C6" s="32">
        <f>C5+B6</f>
        <v>1440</v>
      </c>
      <c r="D6" s="13">
        <f t="shared" si="0"/>
        <v>24</v>
      </c>
      <c r="E6" s="1">
        <v>65</v>
      </c>
      <c r="F6" s="1">
        <f t="shared" si="1"/>
        <v>256</v>
      </c>
      <c r="G6" s="40">
        <v>77</v>
      </c>
      <c r="H6" s="23">
        <v>12</v>
      </c>
      <c r="I6" s="32">
        <v>52</v>
      </c>
      <c r="J6" s="40">
        <f>$F$10-F5+G6+H6+I6</f>
        <v>1525</v>
      </c>
      <c r="K6" s="13">
        <f>E6*L5/J6</f>
        <v>59.054833239118139</v>
      </c>
      <c r="L6" s="13">
        <f t="shared" ref="L6" si="2">L5-K6</f>
        <v>1326.4624081401921</v>
      </c>
    </row>
    <row r="7" spans="1:12">
      <c r="A7" s="1">
        <v>3</v>
      </c>
      <c r="B7" s="32">
        <v>1440</v>
      </c>
      <c r="C7" s="32">
        <f>C6+B7</f>
        <v>2880</v>
      </c>
      <c r="D7" s="13">
        <f t="shared" si="0"/>
        <v>48</v>
      </c>
      <c r="E7" s="1">
        <v>64</v>
      </c>
      <c r="F7" s="1">
        <f t="shared" si="1"/>
        <v>320</v>
      </c>
      <c r="G7" s="40">
        <v>81</v>
      </c>
      <c r="H7" s="23">
        <v>12</v>
      </c>
      <c r="I7" s="32">
        <v>103</v>
      </c>
      <c r="J7" s="40">
        <f t="shared" ref="J7" si="3">$F$10-F6+G7+H7+I7</f>
        <v>1515</v>
      </c>
      <c r="K7" s="13">
        <f>E7*L6/J7</f>
        <v>56.035375657407457</v>
      </c>
      <c r="L7" s="13">
        <f>L6-K7</f>
        <v>1270.4270324827846</v>
      </c>
    </row>
    <row r="9" spans="1:12">
      <c r="A9" s="115" t="s">
        <v>15</v>
      </c>
      <c r="B9" s="116"/>
      <c r="C9" s="116"/>
      <c r="D9" s="116"/>
      <c r="E9" s="117"/>
      <c r="F9" s="1">
        <v>1500</v>
      </c>
    </row>
    <row r="10" spans="1:12">
      <c r="A10" s="115" t="s">
        <v>169</v>
      </c>
      <c r="B10" s="116"/>
      <c r="C10" s="116"/>
      <c r="D10" s="116"/>
      <c r="E10" s="117"/>
      <c r="F10" s="40">
        <v>1575</v>
      </c>
    </row>
  </sheetData>
  <mergeCells count="9">
    <mergeCell ref="I1:I2"/>
    <mergeCell ref="A10:E10"/>
    <mergeCell ref="A1:A2"/>
    <mergeCell ref="D1:D2"/>
    <mergeCell ref="G1:G2"/>
    <mergeCell ref="H1:H2"/>
    <mergeCell ref="A9:E9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A8" sqref="A8:XFD21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19" t="s">
        <v>4</v>
      </c>
      <c r="B1" s="119" t="s">
        <v>118</v>
      </c>
      <c r="C1" s="119" t="s">
        <v>118</v>
      </c>
      <c r="D1" s="119" t="s">
        <v>5</v>
      </c>
      <c r="E1" s="124" t="s">
        <v>18</v>
      </c>
      <c r="F1" s="124"/>
      <c r="G1" s="124"/>
      <c r="H1" s="124"/>
      <c r="I1" s="124" t="s">
        <v>20</v>
      </c>
      <c r="J1" s="124"/>
      <c r="K1" s="124"/>
      <c r="L1" s="124"/>
      <c r="M1" s="124" t="s">
        <v>21</v>
      </c>
      <c r="N1" s="124"/>
      <c r="O1" s="124"/>
      <c r="P1" s="124"/>
      <c r="Q1" s="38" t="s">
        <v>22</v>
      </c>
      <c r="R1" s="38" t="s">
        <v>22</v>
      </c>
      <c r="S1" s="38" t="s">
        <v>22</v>
      </c>
    </row>
    <row r="2" spans="1:19">
      <c r="A2" s="120"/>
      <c r="B2" s="120"/>
      <c r="C2" s="120"/>
      <c r="D2" s="120"/>
      <c r="E2" s="41" t="s">
        <v>19</v>
      </c>
      <c r="F2" s="41" t="s">
        <v>68</v>
      </c>
      <c r="G2" s="41" t="s">
        <v>119</v>
      </c>
      <c r="H2" s="41" t="s">
        <v>70</v>
      </c>
      <c r="I2" s="41" t="s">
        <v>19</v>
      </c>
      <c r="J2" s="41" t="s">
        <v>68</v>
      </c>
      <c r="K2" s="41" t="s">
        <v>69</v>
      </c>
      <c r="L2" s="41" t="s">
        <v>70</v>
      </c>
      <c r="M2" s="41" t="s">
        <v>19</v>
      </c>
      <c r="N2" s="41" t="s">
        <v>68</v>
      </c>
      <c r="O2" s="41" t="s">
        <v>69</v>
      </c>
      <c r="P2" s="41" t="s">
        <v>71</v>
      </c>
      <c r="Q2" s="39" t="s">
        <v>70</v>
      </c>
      <c r="R2" s="39" t="s">
        <v>23</v>
      </c>
      <c r="S2" s="39" t="s">
        <v>72</v>
      </c>
    </row>
    <row r="3" spans="1:19" s="6" customFormat="1">
      <c r="A3" s="40" t="s">
        <v>6</v>
      </c>
      <c r="B3" s="32">
        <v>-10</v>
      </c>
      <c r="C3" s="32">
        <f>B3</f>
        <v>-10</v>
      </c>
      <c r="D3" s="13">
        <f>C3/60</f>
        <v>-0.16666666666666666</v>
      </c>
      <c r="Q3" s="121"/>
      <c r="R3" s="122"/>
      <c r="S3" s="123"/>
    </row>
    <row r="4" spans="1:19">
      <c r="A4" s="40">
        <v>0</v>
      </c>
      <c r="B4" s="32">
        <v>10</v>
      </c>
      <c r="C4" s="32">
        <f>B4</f>
        <v>10</v>
      </c>
      <c r="D4" s="13">
        <f t="shared" ref="D4:D7" si="0">C4/60</f>
        <v>0.16666666666666666</v>
      </c>
      <c r="Q4" s="46" t="e">
        <f>AVERAGE('Flow cytometer'!P4,'Flow cytometer'!L4,'Flow cytometer'!H4)*Calculation!L4/Calculation!N3</f>
        <v>#DIV/0!</v>
      </c>
      <c r="R4" s="46" t="e">
        <f>STDEV('Flow cytometer'!P4,'Flow cytometer'!L4,'Flow cytometer'!H4)*Calculation!L4/Calculation!N3</f>
        <v>#DIV/0!</v>
      </c>
      <c r="S4" s="47" t="e">
        <f t="shared" ref="S4:S7" si="1">LOG(Q4)</f>
        <v>#DIV/0!</v>
      </c>
    </row>
    <row r="5" spans="1:19">
      <c r="A5" s="40">
        <v>1</v>
      </c>
      <c r="B5" s="32">
        <v>710</v>
      </c>
      <c r="C5" s="32">
        <f>C4+B5</f>
        <v>720</v>
      </c>
      <c r="D5" s="13">
        <f t="shared" si="0"/>
        <v>12</v>
      </c>
      <c r="Q5" s="46" t="e">
        <f>AVERAGE('Flow cytometer'!P5,'Flow cytometer'!L5,'Flow cytometer'!H5)*Calculation!L5/Calculation!N4</f>
        <v>#DIV/0!</v>
      </c>
      <c r="R5" s="46" t="e">
        <f>STDEV('Flow cytometer'!P5,'Flow cytometer'!L5,'Flow cytometer'!H5)*Calculation!L5/Calculation!N4</f>
        <v>#DIV/0!</v>
      </c>
      <c r="S5" s="47" t="e">
        <f t="shared" si="1"/>
        <v>#DIV/0!</v>
      </c>
    </row>
    <row r="6" spans="1:19">
      <c r="A6" s="40">
        <v>2</v>
      </c>
      <c r="B6" s="32">
        <v>720</v>
      </c>
      <c r="C6" s="32">
        <f>C5+B6</f>
        <v>1440</v>
      </c>
      <c r="D6" s="13">
        <f t="shared" si="0"/>
        <v>24</v>
      </c>
      <c r="Q6" s="46" t="e">
        <f>AVERAGE('Flow cytometer'!P6,'Flow cytometer'!L6,'Flow cytometer'!H6)*Calculation!L6/Calculation!N5</f>
        <v>#DIV/0!</v>
      </c>
      <c r="R6" s="46" t="e">
        <f>STDEV('Flow cytometer'!P6,'Flow cytometer'!L6,'Flow cytometer'!H6)*Calculation!L6/Calculation!N5</f>
        <v>#DIV/0!</v>
      </c>
      <c r="S6" s="47" t="e">
        <f t="shared" si="1"/>
        <v>#DIV/0!</v>
      </c>
    </row>
    <row r="7" spans="1:19">
      <c r="A7" s="40">
        <v>3</v>
      </c>
      <c r="B7" s="32">
        <v>1440</v>
      </c>
      <c r="C7" s="32">
        <f>C6+B7</f>
        <v>2880</v>
      </c>
      <c r="D7" s="13">
        <f t="shared" si="0"/>
        <v>48</v>
      </c>
      <c r="Q7" s="46" t="e">
        <f>AVERAGE('Flow cytometer'!P7,'Flow cytometer'!L7,'Flow cytometer'!H7)*Calculation!L7/Calculation!N6</f>
        <v>#DIV/0!</v>
      </c>
      <c r="R7" s="46" t="e">
        <f>STDEV('Flow cytometer'!P7,'Flow cytometer'!L7,'Flow cytometer'!H7)*Calculation!L7/Calculation!N6</f>
        <v>#DIV/0!</v>
      </c>
      <c r="S7" s="47" t="e">
        <f t="shared" si="1"/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7"/>
  <sheetViews>
    <sheetView topLeftCell="E2" workbookViewId="0">
      <selection activeCell="O13" sqref="O13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  <col min="21" max="23" width="14.83203125" customWidth="1"/>
    <col min="24" max="24" width="14.83203125" bestFit="1" customWidth="1"/>
  </cols>
  <sheetData>
    <row r="1" spans="1:24">
      <c r="A1" s="119" t="s">
        <v>4</v>
      </c>
      <c r="B1" s="119" t="s">
        <v>118</v>
      </c>
      <c r="C1" s="119" t="s">
        <v>118</v>
      </c>
      <c r="D1" s="119" t="s">
        <v>5</v>
      </c>
      <c r="E1" s="118" t="s">
        <v>120</v>
      </c>
      <c r="F1" s="118"/>
      <c r="G1" s="118"/>
      <c r="H1" s="118"/>
      <c r="I1" s="118" t="s">
        <v>121</v>
      </c>
      <c r="J1" s="118"/>
      <c r="K1" s="118"/>
      <c r="L1" s="118"/>
      <c r="M1" s="118" t="s">
        <v>122</v>
      </c>
      <c r="N1" s="118"/>
      <c r="O1" s="118"/>
      <c r="P1" s="118"/>
      <c r="Q1" s="25" t="s">
        <v>123</v>
      </c>
      <c r="R1" s="25" t="s">
        <v>123</v>
      </c>
      <c r="S1" s="25" t="s">
        <v>123</v>
      </c>
      <c r="T1" s="61" t="s">
        <v>123</v>
      </c>
      <c r="U1" s="74" t="s">
        <v>120</v>
      </c>
      <c r="V1" s="74" t="s">
        <v>121</v>
      </c>
      <c r="W1" s="74" t="s">
        <v>122</v>
      </c>
      <c r="X1" s="74" t="s">
        <v>123</v>
      </c>
    </row>
    <row r="2" spans="1:24">
      <c r="A2" s="120"/>
      <c r="B2" s="120"/>
      <c r="C2" s="120"/>
      <c r="D2" s="120"/>
      <c r="E2" s="24" t="s">
        <v>19</v>
      </c>
      <c r="F2" s="24" t="s">
        <v>68</v>
      </c>
      <c r="G2" s="24" t="s">
        <v>69</v>
      </c>
      <c r="H2" s="24" t="s">
        <v>70</v>
      </c>
      <c r="I2" s="24" t="s">
        <v>19</v>
      </c>
      <c r="J2" s="24" t="s">
        <v>68</v>
      </c>
      <c r="K2" s="24" t="s">
        <v>69</v>
      </c>
      <c r="L2" s="24" t="s">
        <v>70</v>
      </c>
      <c r="M2" s="24" t="s">
        <v>19</v>
      </c>
      <c r="N2" s="24" t="s">
        <v>68</v>
      </c>
      <c r="O2" s="24" t="s">
        <v>69</v>
      </c>
      <c r="P2" s="24" t="s">
        <v>71</v>
      </c>
      <c r="Q2" s="26" t="s">
        <v>70</v>
      </c>
      <c r="R2" s="26" t="s">
        <v>23</v>
      </c>
      <c r="S2" s="26" t="s">
        <v>72</v>
      </c>
      <c r="T2" s="62" t="s">
        <v>139</v>
      </c>
      <c r="U2" s="75" t="s">
        <v>151</v>
      </c>
      <c r="V2" s="75" t="s">
        <v>151</v>
      </c>
      <c r="W2" s="75" t="s">
        <v>151</v>
      </c>
      <c r="X2" s="75" t="s">
        <v>150</v>
      </c>
    </row>
    <row r="3" spans="1:24">
      <c r="A3" s="40" t="s">
        <v>6</v>
      </c>
      <c r="B3" s="32">
        <v>-10</v>
      </c>
      <c r="C3" s="32">
        <f>B3</f>
        <v>-10</v>
      </c>
      <c r="D3" s="13">
        <f>C3/60</f>
        <v>-0.16666666666666666</v>
      </c>
      <c r="E3" s="44" t="s">
        <v>102</v>
      </c>
      <c r="F3" s="44" t="s">
        <v>102</v>
      </c>
      <c r="G3" s="44" t="s">
        <v>102</v>
      </c>
      <c r="H3" s="45" t="s">
        <v>102</v>
      </c>
      <c r="I3" s="44" t="s">
        <v>102</v>
      </c>
      <c r="J3" s="44" t="s">
        <v>102</v>
      </c>
      <c r="K3" s="44" t="s">
        <v>102</v>
      </c>
      <c r="L3" s="45" t="s">
        <v>102</v>
      </c>
      <c r="M3" s="44" t="s">
        <v>102</v>
      </c>
      <c r="N3" s="44" t="s">
        <v>102</v>
      </c>
      <c r="O3" s="44" t="s">
        <v>102</v>
      </c>
      <c r="P3" s="45" t="s">
        <v>102</v>
      </c>
      <c r="Q3" s="125" t="s">
        <v>102</v>
      </c>
      <c r="R3" s="126"/>
      <c r="S3" s="127"/>
      <c r="T3" s="45" t="s">
        <v>102</v>
      </c>
      <c r="U3" s="45" t="s">
        <v>102</v>
      </c>
      <c r="V3" s="45" t="s">
        <v>102</v>
      </c>
      <c r="W3" s="45" t="s">
        <v>102</v>
      </c>
      <c r="X3" s="45" t="s">
        <v>102</v>
      </c>
    </row>
    <row r="4" spans="1:24">
      <c r="A4" s="40">
        <v>0</v>
      </c>
      <c r="B4" s="32">
        <v>10</v>
      </c>
      <c r="C4" s="32">
        <f>B4</f>
        <v>10</v>
      </c>
      <c r="D4" s="13">
        <f>C4/60</f>
        <v>0.16666666666666666</v>
      </c>
      <c r="E4" s="32">
        <v>1</v>
      </c>
      <c r="F4" s="32">
        <v>11413</v>
      </c>
      <c r="G4" s="32">
        <v>7</v>
      </c>
      <c r="H4" s="45">
        <f>('Flow cytometer'!F4/'Flow cytometer'!G4)*POWER(10,'Flow cytometer'!E4+2)*10.2</f>
        <v>16630371.428571427</v>
      </c>
      <c r="I4" s="32">
        <v>1</v>
      </c>
      <c r="J4" s="32">
        <v>9727</v>
      </c>
      <c r="K4" s="32">
        <v>7</v>
      </c>
      <c r="L4" s="45">
        <f>('Flow cytometer'!J4/'Flow cytometer'!K4)*POWER(10,'Flow cytometer'!I4+2)*10.2</f>
        <v>14173628.571428571</v>
      </c>
      <c r="M4" s="32">
        <v>1</v>
      </c>
      <c r="N4" s="32">
        <v>10272</v>
      </c>
      <c r="O4" s="32">
        <v>7</v>
      </c>
      <c r="P4" s="45">
        <f>('Flow cytometer'!N4/'Flow cytometer'!O4)*POWER(10,'Flow cytometer'!M4+2)*10.2</f>
        <v>14967771.428571427</v>
      </c>
      <c r="Q4" s="48">
        <f>AVERAGE(H4,L4,P4)*Calculation!J4/Calculation!L3</f>
        <v>15257257.142857142</v>
      </c>
      <c r="R4" s="49">
        <f>STDEV(H4,L4,P4)*Calculation!J4/Calculation!L3</f>
        <v>1253693.6829274702</v>
      </c>
      <c r="S4" s="50">
        <f>LOG(Q4)</f>
        <v>7.1834764658082833</v>
      </c>
      <c r="T4" s="50">
        <f>LN(Q4)</f>
        <v>16.540565826043704</v>
      </c>
      <c r="U4" s="50">
        <f>LOG(H4)</f>
        <v>7.2209019490137232</v>
      </c>
      <c r="V4" s="50">
        <f>LOG(L4)</f>
        <v>7.1514810476231432</v>
      </c>
      <c r="W4" s="50">
        <f>LOG(P4)</f>
        <v>7.1751571424724387</v>
      </c>
      <c r="X4" s="50">
        <f xml:space="preserve"> STDEV(U4:W4)*Calculation!J4/Calculation!L3</f>
        <v>3.5290240253014735E-2</v>
      </c>
    </row>
    <row r="5" spans="1:24">
      <c r="A5" s="40">
        <v>1</v>
      </c>
      <c r="B5" s="32">
        <v>710</v>
      </c>
      <c r="C5" s="32">
        <f>C4+B5</f>
        <v>720</v>
      </c>
      <c r="D5" s="13">
        <f t="shared" ref="D5:D7" si="0">C5/60</f>
        <v>12</v>
      </c>
      <c r="E5" s="32">
        <v>2</v>
      </c>
      <c r="F5" s="32">
        <v>26646</v>
      </c>
      <c r="G5" s="32">
        <v>7</v>
      </c>
      <c r="H5" s="45">
        <f>('Flow cytometer'!F5/'Flow cytometer'!G5)*POWER(10,'Flow cytometer'!E5+2)*10.2</f>
        <v>388270285.71428567</v>
      </c>
      <c r="I5" s="32">
        <v>2</v>
      </c>
      <c r="J5" s="32">
        <v>28449</v>
      </c>
      <c r="K5" s="32">
        <v>7</v>
      </c>
      <c r="L5" s="45">
        <f>('Flow cytometer'!J5/'Flow cytometer'!K5)*POWER(10,'Flow cytometer'!I5+2)*10.2</f>
        <v>414542571.4285714</v>
      </c>
      <c r="M5" s="32">
        <v>2</v>
      </c>
      <c r="N5" s="32">
        <v>28617</v>
      </c>
      <c r="O5" s="32">
        <v>7</v>
      </c>
      <c r="P5" s="45">
        <f>('Flow cytometer'!N5/'Flow cytometer'!O5)*POWER(10,'Flow cytometer'!M5+2)*10.2</f>
        <v>416990571.4285714</v>
      </c>
      <c r="Q5" s="48">
        <f>AVERAGE(H5,L5,P5)*Calculation!J5/Calculation!L4</f>
        <v>419068355.59980094</v>
      </c>
      <c r="R5" s="49">
        <f>STDEV(H5,L5,P5)*Calculation!J5/Calculation!L4</f>
        <v>16410308.627118755</v>
      </c>
      <c r="S5" s="50">
        <f t="shared" ref="S5:S7" si="1">LOG(Q5)</f>
        <v>8.6222848679270161</v>
      </c>
      <c r="T5" s="50">
        <f t="shared" ref="T5:T7" si="2">LN(Q5)</f>
        <v>19.85354460443688</v>
      </c>
      <c r="U5" s="50">
        <f t="shared" ref="U5:U7" si="3">LOG(H5)</f>
        <v>8.5891341553049809</v>
      </c>
      <c r="V5" s="50">
        <f t="shared" ref="V5:V7" si="4">LOG(L5)</f>
        <v>8.6175691370265657</v>
      </c>
      <c r="W5" s="50">
        <f t="shared" ref="W5:W7" si="5">LOG(P5)</f>
        <v>8.620126235254725</v>
      </c>
      <c r="X5" s="50">
        <f xml:space="preserve"> STDEV(U5:W5)*Calculation!J5/Calculation!L4</f>
        <v>1.7730162720605111E-2</v>
      </c>
    </row>
    <row r="6" spans="1:24">
      <c r="A6" s="40">
        <v>2</v>
      </c>
      <c r="B6" s="32">
        <v>720</v>
      </c>
      <c r="C6" s="32">
        <f>C5+B6</f>
        <v>1440</v>
      </c>
      <c r="D6" s="13">
        <f t="shared" si="0"/>
        <v>24</v>
      </c>
      <c r="E6" s="32">
        <v>3</v>
      </c>
      <c r="F6" s="32">
        <v>4113</v>
      </c>
      <c r="G6" s="32">
        <v>7</v>
      </c>
      <c r="H6" s="45">
        <f>('Flow cytometer'!F6/'Flow cytometer'!G6)*POWER(10,'Flow cytometer'!E6+2)*10.2</f>
        <v>599322857.14285707</v>
      </c>
      <c r="I6" s="32">
        <v>3</v>
      </c>
      <c r="J6" s="32">
        <v>4279</v>
      </c>
      <c r="K6" s="32">
        <v>7</v>
      </c>
      <c r="L6" s="45">
        <f>('Flow cytometer'!J6/'Flow cytometer'!K6)*POWER(10,'Flow cytometer'!I6+2)*10.2</f>
        <v>623511428.57142854</v>
      </c>
      <c r="M6" s="32">
        <v>3</v>
      </c>
      <c r="N6" s="32">
        <v>3884</v>
      </c>
      <c r="O6" s="32">
        <v>7</v>
      </c>
      <c r="P6" s="45">
        <f>('Flow cytometer'!N6/'Flow cytometer'!O6)*POWER(10,'Flow cytometer'!M6+2)*10.2</f>
        <v>565954285.71428573</v>
      </c>
      <c r="Q6" s="48">
        <f>AVERAGE(H6,L6,P6)*Calculation!J6/Calculation!L5</f>
        <v>656289817.25094223</v>
      </c>
      <c r="R6" s="49">
        <f>STDEV(H6,L6,P6)*Calculation!J6/Calculation!L5</f>
        <v>31809779.510571066</v>
      </c>
      <c r="S6" s="50">
        <f t="shared" si="1"/>
        <v>8.8170956659573143</v>
      </c>
      <c r="T6" s="50">
        <f t="shared" si="2"/>
        <v>20.302113043935719</v>
      </c>
      <c r="U6" s="50">
        <f t="shared" si="3"/>
        <v>8.7776608412568358</v>
      </c>
      <c r="V6" s="50">
        <f t="shared" si="4"/>
        <v>8.7948444182315928</v>
      </c>
      <c r="W6" s="50">
        <f t="shared" si="5"/>
        <v>8.7527813529836287</v>
      </c>
      <c r="X6" s="50">
        <f xml:space="preserve"> STDEV(U6:W6)*Calculation!J6/Calculation!L5</f>
        <v>2.3277610724726998E-2</v>
      </c>
    </row>
    <row r="7" spans="1:24">
      <c r="A7" s="40">
        <v>3</v>
      </c>
      <c r="B7" s="32">
        <v>1440</v>
      </c>
      <c r="C7" s="32">
        <f>C6+B7</f>
        <v>2880</v>
      </c>
      <c r="D7" s="13">
        <f t="shared" si="0"/>
        <v>48</v>
      </c>
      <c r="E7" s="32">
        <v>3</v>
      </c>
      <c r="F7" s="32">
        <v>5425</v>
      </c>
      <c r="G7" s="32">
        <v>7</v>
      </c>
      <c r="H7" s="45">
        <f>('Flow cytometer'!F7/'Flow cytometer'!G7)*POWER(10,'Flow cytometer'!E7+2)*10.2</f>
        <v>790500000</v>
      </c>
      <c r="I7" s="32">
        <v>3</v>
      </c>
      <c r="J7" s="32">
        <v>5117</v>
      </c>
      <c r="K7" s="32">
        <v>7</v>
      </c>
      <c r="L7" s="45">
        <f>('Flow cytometer'!J7/'Flow cytometer'!K7)*POWER(10,'Flow cytometer'!I7+2)*10.2</f>
        <v>745620000</v>
      </c>
      <c r="M7" s="32">
        <v>3</v>
      </c>
      <c r="N7" s="32">
        <v>5678</v>
      </c>
      <c r="O7" s="32">
        <v>7</v>
      </c>
      <c r="P7" s="45">
        <f>('Flow cytometer'!N7/'Flow cytometer'!O7)*POWER(10,'Flow cytometer'!M7+2)*10.2</f>
        <v>827365714.28571427</v>
      </c>
      <c r="Q7" s="48">
        <f>AVERAGE(H7,L7,P7)*Calculation!J7/Calculation!L6</f>
        <v>899807094.71273589</v>
      </c>
      <c r="R7" s="49">
        <f>STDEV(H7,L7,P7)*Calculation!J7/Calculation!L6</f>
        <v>46757070.002629779</v>
      </c>
      <c r="S7" s="50">
        <f t="shared" si="1"/>
        <v>8.9541494131265527</v>
      </c>
      <c r="T7" s="50">
        <f t="shared" si="2"/>
        <v>20.617690959106582</v>
      </c>
      <c r="U7" s="50">
        <f t="shared" si="3"/>
        <v>8.8979018742682285</v>
      </c>
      <c r="V7" s="50">
        <f t="shared" si="4"/>
        <v>8.8725175487197774</v>
      </c>
      <c r="W7" s="50">
        <f t="shared" si="5"/>
        <v>8.9176975199374997</v>
      </c>
      <c r="X7" s="50">
        <f xml:space="preserve"> STDEV(U7:W7)*Calculation!J7/Calculation!L6</f>
        <v>2.5866541565343296E-2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14" workbookViewId="0">
      <selection sqref="A1:V68"/>
    </sheetView>
  </sheetViews>
  <sheetFormatPr baseColWidth="10" defaultRowHeight="14" x14ac:dyDescent="0"/>
  <sheetData>
    <row r="1" spans="1:22">
      <c r="A1" s="81"/>
      <c r="B1" s="133" t="s">
        <v>4</v>
      </c>
      <c r="C1" s="135" t="s">
        <v>171</v>
      </c>
      <c r="D1" s="136" t="s">
        <v>18</v>
      </c>
      <c r="E1" s="136"/>
      <c r="F1" s="136"/>
      <c r="G1" s="136"/>
      <c r="H1" s="136" t="s">
        <v>20</v>
      </c>
      <c r="I1" s="136"/>
      <c r="J1" s="136"/>
      <c r="K1" s="136"/>
      <c r="L1" s="136" t="s">
        <v>21</v>
      </c>
      <c r="M1" s="136"/>
      <c r="N1" s="136"/>
      <c r="O1" s="136"/>
      <c r="P1" s="82" t="s">
        <v>22</v>
      </c>
      <c r="Q1" s="82" t="s">
        <v>22</v>
      </c>
      <c r="R1" s="82" t="s">
        <v>22</v>
      </c>
      <c r="S1" s="128" t="s">
        <v>172</v>
      </c>
      <c r="T1" s="81"/>
      <c r="U1" s="81"/>
      <c r="V1" s="81"/>
    </row>
    <row r="2" spans="1:22">
      <c r="A2" s="81"/>
      <c r="B2" s="134"/>
      <c r="C2" s="134"/>
      <c r="D2" s="83" t="s">
        <v>19</v>
      </c>
      <c r="E2" s="83" t="s">
        <v>68</v>
      </c>
      <c r="F2" s="83" t="s">
        <v>69</v>
      </c>
      <c r="G2" s="83" t="s">
        <v>70</v>
      </c>
      <c r="H2" s="83" t="s">
        <v>19</v>
      </c>
      <c r="I2" s="83" t="s">
        <v>68</v>
      </c>
      <c r="J2" s="83" t="s">
        <v>69</v>
      </c>
      <c r="K2" s="83" t="s">
        <v>70</v>
      </c>
      <c r="L2" s="83" t="s">
        <v>19</v>
      </c>
      <c r="M2" s="83" t="s">
        <v>68</v>
      </c>
      <c r="N2" s="83" t="s">
        <v>69</v>
      </c>
      <c r="O2" s="83" t="s">
        <v>71</v>
      </c>
      <c r="P2" s="84" t="s">
        <v>70</v>
      </c>
      <c r="Q2" s="84" t="s">
        <v>23</v>
      </c>
      <c r="R2" s="84" t="s">
        <v>72</v>
      </c>
      <c r="S2" s="129"/>
      <c r="T2" s="81"/>
      <c r="U2" s="81"/>
      <c r="V2" s="81"/>
    </row>
    <row r="3" spans="1:22">
      <c r="A3" s="81"/>
      <c r="B3" s="85"/>
      <c r="C3" s="85"/>
      <c r="D3" s="86"/>
      <c r="E3" s="86"/>
      <c r="F3" s="86"/>
      <c r="G3" s="87"/>
      <c r="H3" s="86"/>
      <c r="I3" s="86"/>
      <c r="J3" s="86"/>
      <c r="K3" s="87"/>
      <c r="L3" s="86"/>
      <c r="M3" s="86"/>
      <c r="N3" s="86"/>
      <c r="O3" s="87"/>
      <c r="P3" s="130"/>
      <c r="Q3" s="131"/>
      <c r="R3" s="132"/>
      <c r="S3" s="81"/>
      <c r="T3" s="81"/>
      <c r="U3" s="81"/>
      <c r="V3" s="81"/>
    </row>
    <row r="4" spans="1:22">
      <c r="A4" s="81"/>
      <c r="B4" s="88" t="s">
        <v>173</v>
      </c>
      <c r="C4" s="89">
        <v>500</v>
      </c>
      <c r="D4" s="89">
        <v>2</v>
      </c>
      <c r="E4" s="89">
        <v>26960</v>
      </c>
      <c r="F4" s="89">
        <v>7</v>
      </c>
      <c r="G4" s="87">
        <f t="shared" ref="G4:G19" si="0">(E4/F4)*(10.2)*POWER(10,D4+2)</f>
        <v>392845714.28571427</v>
      </c>
      <c r="H4" s="89">
        <v>2</v>
      </c>
      <c r="I4" s="89">
        <v>28998</v>
      </c>
      <c r="J4" s="89">
        <v>7</v>
      </c>
      <c r="K4" s="87">
        <f t="shared" ref="K4:K19" si="1">(I4/J4)*(10.2)*POWER(10,H4+2)</f>
        <v>422542285.71428567</v>
      </c>
      <c r="L4" s="89">
        <v>2</v>
      </c>
      <c r="M4" s="89">
        <v>29053</v>
      </c>
      <c r="N4" s="89">
        <v>7</v>
      </c>
      <c r="O4" s="87">
        <f t="shared" ref="O4:O19" si="2">(M4/N4)*(10.2)*POWER(10,L4+2)</f>
        <v>423343714.28571433</v>
      </c>
      <c r="P4" s="90">
        <f t="shared" ref="P4:P19" si="3">AVERAGE(O4,K4,G4)</f>
        <v>412910571.4285714</v>
      </c>
      <c r="Q4" s="90">
        <f t="shared" ref="Q4:Q19" si="4">STDEV(O4,K4,G4)</f>
        <v>17381295.724462688</v>
      </c>
      <c r="R4" s="91">
        <f>LOG(P4)</f>
        <v>8.6158560019212569</v>
      </c>
      <c r="S4" s="81"/>
      <c r="T4" s="81"/>
      <c r="U4" s="81"/>
      <c r="V4" s="81"/>
    </row>
    <row r="5" spans="1:22">
      <c r="A5" s="81"/>
      <c r="B5" s="88" t="s">
        <v>174</v>
      </c>
      <c r="C5" s="89">
        <v>500</v>
      </c>
      <c r="D5" s="89">
        <v>1</v>
      </c>
      <c r="E5" s="89">
        <v>25770</v>
      </c>
      <c r="F5" s="89">
        <v>7</v>
      </c>
      <c r="G5" s="87">
        <f t="shared" si="0"/>
        <v>37550571.428571425</v>
      </c>
      <c r="H5" s="89">
        <v>1</v>
      </c>
      <c r="I5" s="89">
        <v>24760</v>
      </c>
      <c r="J5" s="89">
        <v>7</v>
      </c>
      <c r="K5" s="87">
        <f t="shared" si="1"/>
        <v>36078857.142857142</v>
      </c>
      <c r="L5" s="89">
        <v>1</v>
      </c>
      <c r="M5" s="89">
        <v>27526</v>
      </c>
      <c r="N5" s="89">
        <v>7</v>
      </c>
      <c r="O5" s="87">
        <f t="shared" si="2"/>
        <v>40109314.285714284</v>
      </c>
      <c r="P5" s="90">
        <f t="shared" si="3"/>
        <v>37912914.285714291</v>
      </c>
      <c r="Q5" s="90">
        <f t="shared" si="4"/>
        <v>2039513.5338344474</v>
      </c>
      <c r="R5" s="91">
        <f t="shared" ref="R5:R19" si="5">LOG(P5)</f>
        <v>7.5787871690098934</v>
      </c>
      <c r="S5" s="81"/>
      <c r="T5" s="81"/>
      <c r="U5" s="81"/>
      <c r="V5" s="81"/>
    </row>
    <row r="6" spans="1:22">
      <c r="A6" s="81"/>
      <c r="B6" s="88" t="s">
        <v>175</v>
      </c>
      <c r="C6" s="89">
        <v>500</v>
      </c>
      <c r="D6" s="89">
        <v>0</v>
      </c>
      <c r="E6" s="89">
        <v>2493</v>
      </c>
      <c r="F6" s="89">
        <v>7</v>
      </c>
      <c r="G6" s="87">
        <f t="shared" si="0"/>
        <v>363265.71428571426</v>
      </c>
      <c r="H6" s="89">
        <v>0</v>
      </c>
      <c r="I6" s="89">
        <v>2459</v>
      </c>
      <c r="J6" s="89">
        <v>7</v>
      </c>
      <c r="K6" s="87">
        <f t="shared" si="1"/>
        <v>358311.42857142852</v>
      </c>
      <c r="L6" s="89">
        <v>0</v>
      </c>
      <c r="M6" s="89">
        <v>2550</v>
      </c>
      <c r="N6" s="89">
        <v>7</v>
      </c>
      <c r="O6" s="87">
        <f t="shared" si="2"/>
        <v>371571.42857142852</v>
      </c>
      <c r="P6" s="90">
        <f t="shared" si="3"/>
        <v>364382.8571428571</v>
      </c>
      <c r="Q6" s="90">
        <f t="shared" si="4"/>
        <v>6700.2168712996863</v>
      </c>
      <c r="R6" s="91">
        <f t="shared" si="5"/>
        <v>5.5615579368427026</v>
      </c>
      <c r="S6" s="92" t="s">
        <v>133</v>
      </c>
      <c r="T6" s="81"/>
      <c r="U6" s="81"/>
      <c r="V6" s="81"/>
    </row>
    <row r="7" spans="1:22">
      <c r="A7" s="81"/>
      <c r="B7" s="88" t="s">
        <v>176</v>
      </c>
      <c r="C7" s="89">
        <v>500</v>
      </c>
      <c r="D7" s="89">
        <f>LOG(705/250)</f>
        <v>0.45024910831936105</v>
      </c>
      <c r="E7" s="89">
        <v>946</v>
      </c>
      <c r="F7" s="89">
        <v>7</v>
      </c>
      <c r="G7" s="87">
        <f>(E7/F7)*(1)*POWER(10,D7+2)</f>
        <v>38110.285714285717</v>
      </c>
      <c r="H7" s="89">
        <f>LOG(705/250)</f>
        <v>0.45024910831936105</v>
      </c>
      <c r="I7" s="89">
        <v>885</v>
      </c>
      <c r="J7" s="89">
        <v>7</v>
      </c>
      <c r="K7" s="87">
        <f t="shared" si="1"/>
        <v>363659.1428571429</v>
      </c>
      <c r="L7" s="89">
        <f>LOG(705/250)</f>
        <v>0.45024910831936105</v>
      </c>
      <c r="M7" s="89">
        <v>947</v>
      </c>
      <c r="N7" s="89">
        <v>7</v>
      </c>
      <c r="O7" s="87">
        <f>(M7/N7)*(1)*POWER(10,L7+2)</f>
        <v>38150.571428571435</v>
      </c>
      <c r="P7" s="90">
        <f t="shared" si="3"/>
        <v>146640.00000000003</v>
      </c>
      <c r="Q7" s="90">
        <f t="shared" si="4"/>
        <v>187944.09190121258</v>
      </c>
      <c r="R7" s="91">
        <f t="shared" si="5"/>
        <v>5.1662524519541604</v>
      </c>
      <c r="S7" s="81"/>
      <c r="T7" s="81"/>
      <c r="U7" s="81"/>
      <c r="V7" s="81"/>
    </row>
    <row r="8" spans="1:22">
      <c r="A8" s="81"/>
      <c r="B8" s="88" t="s">
        <v>177</v>
      </c>
      <c r="C8" s="89">
        <v>500</v>
      </c>
      <c r="D8" s="89">
        <f>LOG(705/250)</f>
        <v>0.45024910831936105</v>
      </c>
      <c r="E8" s="89">
        <v>1248</v>
      </c>
      <c r="F8" s="89">
        <v>70</v>
      </c>
      <c r="G8" s="87">
        <f>(E8/F8)*(1)*POWER(10,D8+2)</f>
        <v>5027.6571428571442</v>
      </c>
      <c r="H8" s="89">
        <f>LOG(705/250)</f>
        <v>0.45024910831936105</v>
      </c>
      <c r="I8" s="89">
        <v>1303</v>
      </c>
      <c r="J8" s="89">
        <v>70</v>
      </c>
      <c r="K8" s="87">
        <f t="shared" si="1"/>
        <v>53542.131428571432</v>
      </c>
      <c r="L8" s="89">
        <f>LOG(705/250)</f>
        <v>0.45024910831936105</v>
      </c>
      <c r="M8" s="89">
        <v>1278</v>
      </c>
      <c r="N8" s="89">
        <v>70</v>
      </c>
      <c r="O8" s="87">
        <f>(M8/N8)*(1)*POWER(10,L8+2)</f>
        <v>5148.5142857142864</v>
      </c>
      <c r="P8" s="90">
        <f t="shared" si="3"/>
        <v>21239.434285714287</v>
      </c>
      <c r="Q8" s="90">
        <f t="shared" si="4"/>
        <v>27975.021602129429</v>
      </c>
      <c r="R8" s="91">
        <f t="shared" si="5"/>
        <v>4.3271429450900092</v>
      </c>
      <c r="S8" s="81"/>
      <c r="T8" s="81"/>
      <c r="U8" s="81"/>
      <c r="V8" s="81"/>
    </row>
    <row r="9" spans="1:22">
      <c r="A9" s="81"/>
      <c r="B9" s="88" t="s">
        <v>178</v>
      </c>
      <c r="C9" s="89">
        <v>900</v>
      </c>
      <c r="D9" s="89">
        <v>2</v>
      </c>
      <c r="E9" s="89">
        <v>26822</v>
      </c>
      <c r="F9" s="89">
        <v>7</v>
      </c>
      <c r="G9" s="87">
        <f t="shared" si="0"/>
        <v>390834857.14285713</v>
      </c>
      <c r="H9" s="89">
        <v>2</v>
      </c>
      <c r="I9" s="89">
        <v>25452</v>
      </c>
      <c r="J9" s="89">
        <v>7</v>
      </c>
      <c r="K9" s="87">
        <f t="shared" si="1"/>
        <v>370872000</v>
      </c>
      <c r="L9" s="89">
        <v>2</v>
      </c>
      <c r="M9" s="89">
        <v>29126</v>
      </c>
      <c r="N9" s="89">
        <v>7</v>
      </c>
      <c r="O9" s="87">
        <f t="shared" si="2"/>
        <v>424407428.57142854</v>
      </c>
      <c r="P9" s="90">
        <f t="shared" si="3"/>
        <v>395371428.57142854</v>
      </c>
      <c r="Q9" s="90">
        <f t="shared" si="4"/>
        <v>27054498.485954784</v>
      </c>
      <c r="R9" s="91">
        <f t="shared" si="5"/>
        <v>8.5970052819172</v>
      </c>
      <c r="S9" s="81"/>
      <c r="T9" s="81"/>
      <c r="U9" s="81"/>
      <c r="V9" s="81"/>
    </row>
    <row r="10" spans="1:22">
      <c r="A10" s="81"/>
      <c r="B10" s="88" t="s">
        <v>179</v>
      </c>
      <c r="C10" s="89">
        <v>900</v>
      </c>
      <c r="D10" s="89">
        <v>1</v>
      </c>
      <c r="E10" s="89">
        <v>11669</v>
      </c>
      <c r="F10" s="89">
        <v>7</v>
      </c>
      <c r="G10" s="87">
        <f t="shared" si="0"/>
        <v>17003399.999999996</v>
      </c>
      <c r="H10" s="89">
        <v>1</v>
      </c>
      <c r="I10" s="89">
        <v>13970</v>
      </c>
      <c r="J10" s="89">
        <v>20</v>
      </c>
      <c r="K10" s="87">
        <f t="shared" si="1"/>
        <v>7124700</v>
      </c>
      <c r="L10" s="89">
        <v>1</v>
      </c>
      <c r="M10" s="89">
        <v>12995</v>
      </c>
      <c r="N10" s="89">
        <v>7</v>
      </c>
      <c r="O10" s="87">
        <f t="shared" si="2"/>
        <v>18935571.428571429</v>
      </c>
      <c r="P10" s="90">
        <f t="shared" si="3"/>
        <v>14354557.142857142</v>
      </c>
      <c r="Q10" s="90">
        <f t="shared" si="4"/>
        <v>6335333.2459262749</v>
      </c>
      <c r="R10" s="91">
        <f t="shared" si="5"/>
        <v>7.1569897984779303</v>
      </c>
      <c r="S10" s="92" t="s">
        <v>133</v>
      </c>
      <c r="T10" s="81"/>
      <c r="U10" s="81"/>
      <c r="V10" s="81"/>
    </row>
    <row r="11" spans="1:22">
      <c r="A11" s="81"/>
      <c r="B11" s="88" t="s">
        <v>180</v>
      </c>
      <c r="C11" s="89">
        <v>900</v>
      </c>
      <c r="D11" s="89">
        <v>1</v>
      </c>
      <c r="E11" s="89">
        <v>6123</v>
      </c>
      <c r="F11" s="89">
        <v>7</v>
      </c>
      <c r="G11" s="87">
        <f t="shared" si="0"/>
        <v>8922085.7142857127</v>
      </c>
      <c r="H11" s="89">
        <v>1</v>
      </c>
      <c r="I11" s="89">
        <v>6639</v>
      </c>
      <c r="J11" s="89">
        <v>7</v>
      </c>
      <c r="K11" s="87">
        <f t="shared" si="1"/>
        <v>9673971.4285714272</v>
      </c>
      <c r="L11" s="89">
        <v>1</v>
      </c>
      <c r="M11" s="89">
        <v>7021</v>
      </c>
      <c r="N11" s="89">
        <v>7</v>
      </c>
      <c r="O11" s="87">
        <f t="shared" si="2"/>
        <v>10230599.999999998</v>
      </c>
      <c r="P11" s="90">
        <f t="shared" si="3"/>
        <v>9608885.7142857127</v>
      </c>
      <c r="Q11" s="90">
        <f t="shared" si="4"/>
        <v>656680.68468065432</v>
      </c>
      <c r="R11" s="91">
        <f t="shared" si="5"/>
        <v>6.9826730280228597</v>
      </c>
      <c r="S11" s="92" t="s">
        <v>133</v>
      </c>
      <c r="T11" s="81"/>
      <c r="U11" s="81"/>
      <c r="V11" s="81"/>
    </row>
    <row r="12" spans="1:22">
      <c r="A12" s="81"/>
      <c r="B12" s="88" t="s">
        <v>181</v>
      </c>
      <c r="C12" s="89">
        <v>900</v>
      </c>
      <c r="D12" s="89">
        <v>1</v>
      </c>
      <c r="E12" s="89">
        <v>29009</v>
      </c>
      <c r="F12" s="89">
        <v>7</v>
      </c>
      <c r="G12" s="87">
        <f t="shared" si="0"/>
        <v>42270257.142857142</v>
      </c>
      <c r="H12" s="89">
        <v>1</v>
      </c>
      <c r="I12" s="89">
        <v>29016</v>
      </c>
      <c r="J12" s="89">
        <v>7</v>
      </c>
      <c r="K12" s="87">
        <f t="shared" si="1"/>
        <v>42280457.142857134</v>
      </c>
      <c r="L12" s="89">
        <v>1</v>
      </c>
      <c r="M12" s="89">
        <v>31568</v>
      </c>
      <c r="N12" s="89">
        <v>7</v>
      </c>
      <c r="O12" s="87">
        <f t="shared" si="2"/>
        <v>45999085.714285709</v>
      </c>
      <c r="P12" s="90">
        <f t="shared" si="3"/>
        <v>43516599.999999993</v>
      </c>
      <c r="Q12" s="90">
        <f t="shared" si="4"/>
        <v>2149901.7422255576</v>
      </c>
      <c r="R12" s="91">
        <f t="shared" si="5"/>
        <v>7.6386549561082937</v>
      </c>
      <c r="S12" s="81"/>
      <c r="T12" s="81"/>
      <c r="U12" s="81"/>
      <c r="V12" s="81"/>
    </row>
    <row r="13" spans="1:22">
      <c r="A13" s="81"/>
      <c r="B13" s="88" t="s">
        <v>182</v>
      </c>
      <c r="C13" s="89">
        <v>900</v>
      </c>
      <c r="D13" s="89">
        <v>1</v>
      </c>
      <c r="E13" s="89">
        <v>13542</v>
      </c>
      <c r="F13" s="89">
        <v>7</v>
      </c>
      <c r="G13" s="87">
        <f t="shared" si="0"/>
        <v>19732628.571428571</v>
      </c>
      <c r="H13" s="89">
        <v>1</v>
      </c>
      <c r="I13" s="89">
        <v>14070</v>
      </c>
      <c r="J13" s="89">
        <v>7</v>
      </c>
      <c r="K13" s="87">
        <f t="shared" si="1"/>
        <v>20502000</v>
      </c>
      <c r="L13" s="89">
        <v>1</v>
      </c>
      <c r="M13" s="89">
        <v>15197</v>
      </c>
      <c r="N13" s="89">
        <v>7</v>
      </c>
      <c r="O13" s="87">
        <f t="shared" si="2"/>
        <v>22144199.999999996</v>
      </c>
      <c r="P13" s="90">
        <f t="shared" si="3"/>
        <v>20792942.857142854</v>
      </c>
      <c r="Q13" s="90">
        <f t="shared" si="4"/>
        <v>1231829.938898768</v>
      </c>
      <c r="R13" s="91">
        <f t="shared" si="5"/>
        <v>7.3179159600467427</v>
      </c>
      <c r="S13" s="81"/>
      <c r="T13" s="81"/>
      <c r="U13" s="81"/>
      <c r="V13" s="81"/>
    </row>
    <row r="14" spans="1:22">
      <c r="A14" s="81"/>
      <c r="B14" s="88" t="s">
        <v>183</v>
      </c>
      <c r="C14" s="89">
        <v>900</v>
      </c>
      <c r="D14" s="89">
        <v>1</v>
      </c>
      <c r="E14" s="89">
        <v>6282</v>
      </c>
      <c r="F14" s="89">
        <v>7</v>
      </c>
      <c r="G14" s="87">
        <f t="shared" si="0"/>
        <v>9153771.4285714291</v>
      </c>
      <c r="H14" s="89">
        <v>1</v>
      </c>
      <c r="I14" s="89">
        <v>6343</v>
      </c>
      <c r="J14" s="89">
        <v>7</v>
      </c>
      <c r="K14" s="87">
        <f t="shared" si="1"/>
        <v>9242657.1428571418</v>
      </c>
      <c r="L14" s="89">
        <v>1</v>
      </c>
      <c r="M14" s="89">
        <v>7014</v>
      </c>
      <c r="N14" s="89">
        <v>7</v>
      </c>
      <c r="O14" s="87">
        <f t="shared" si="2"/>
        <v>10220400</v>
      </c>
      <c r="P14" s="90">
        <f t="shared" si="3"/>
        <v>9538942.8571428563</v>
      </c>
      <c r="Q14" s="90">
        <f t="shared" si="4"/>
        <v>591830.25075969705</v>
      </c>
      <c r="R14" s="91">
        <f t="shared" si="5"/>
        <v>6.9795002471622967</v>
      </c>
      <c r="S14" s="81"/>
      <c r="T14" s="81"/>
      <c r="U14" s="81"/>
      <c r="V14" s="81"/>
    </row>
    <row r="15" spans="1:22">
      <c r="A15" s="81"/>
      <c r="B15" s="88" t="s">
        <v>184</v>
      </c>
      <c r="C15" s="89">
        <v>900</v>
      </c>
      <c r="D15" s="89">
        <v>1</v>
      </c>
      <c r="E15" s="89">
        <v>3249</v>
      </c>
      <c r="F15" s="89">
        <v>7</v>
      </c>
      <c r="G15" s="87">
        <f t="shared" si="0"/>
        <v>4734257.1428571427</v>
      </c>
      <c r="H15" s="89">
        <v>1</v>
      </c>
      <c r="I15" s="89">
        <v>3902</v>
      </c>
      <c r="J15" s="89">
        <v>7</v>
      </c>
      <c r="K15" s="87">
        <f t="shared" si="1"/>
        <v>5685771.4285714282</v>
      </c>
      <c r="L15" s="89">
        <v>1</v>
      </c>
      <c r="M15" s="89">
        <v>3833</v>
      </c>
      <c r="N15" s="89">
        <v>7</v>
      </c>
      <c r="O15" s="87">
        <f t="shared" si="2"/>
        <v>5585228.5714285709</v>
      </c>
      <c r="P15" s="90">
        <f t="shared" si="3"/>
        <v>5335085.7142857136</v>
      </c>
      <c r="Q15" s="90">
        <f t="shared" si="4"/>
        <v>522755.62714741344</v>
      </c>
      <c r="R15" s="91">
        <f t="shared" si="5"/>
        <v>6.7271414012566968</v>
      </c>
      <c r="S15" s="81"/>
      <c r="T15" s="81"/>
      <c r="U15" s="81"/>
      <c r="V15" s="81"/>
    </row>
    <row r="16" spans="1:22">
      <c r="A16" s="81"/>
      <c r="B16" s="88" t="s">
        <v>185</v>
      </c>
      <c r="C16" s="89">
        <v>900</v>
      </c>
      <c r="D16" s="89">
        <v>0</v>
      </c>
      <c r="E16" s="89">
        <v>12331</v>
      </c>
      <c r="F16" s="89">
        <v>7</v>
      </c>
      <c r="G16" s="87">
        <f t="shared" si="0"/>
        <v>1796802.857142857</v>
      </c>
      <c r="H16" s="89">
        <v>0</v>
      </c>
      <c r="I16" s="89">
        <v>13246</v>
      </c>
      <c r="J16" s="89">
        <v>7</v>
      </c>
      <c r="K16" s="87">
        <f t="shared" si="1"/>
        <v>1930131.4285714284</v>
      </c>
      <c r="L16" s="89">
        <v>0</v>
      </c>
      <c r="M16" s="89">
        <v>11745</v>
      </c>
      <c r="N16" s="89">
        <v>7</v>
      </c>
      <c r="O16" s="87">
        <f t="shared" si="2"/>
        <v>1711414.2857142854</v>
      </c>
      <c r="P16" s="90">
        <f t="shared" si="3"/>
        <v>1812782.857142857</v>
      </c>
      <c r="Q16" s="90">
        <f t="shared" si="4"/>
        <v>110230.74636823416</v>
      </c>
      <c r="R16" s="91">
        <f t="shared" si="5"/>
        <v>6.2583457855668376</v>
      </c>
      <c r="S16" s="81"/>
      <c r="T16" s="81"/>
      <c r="U16" s="81"/>
      <c r="V16" s="81"/>
    </row>
    <row r="17" spans="1:22">
      <c r="A17" s="81"/>
      <c r="B17" s="88" t="s">
        <v>186</v>
      </c>
      <c r="C17" s="89">
        <v>900</v>
      </c>
      <c r="D17" s="89">
        <v>0</v>
      </c>
      <c r="E17" s="89">
        <v>6389</v>
      </c>
      <c r="F17" s="89">
        <v>7</v>
      </c>
      <c r="G17" s="87">
        <f t="shared" si="0"/>
        <v>930968.57142857136</v>
      </c>
      <c r="H17" s="89">
        <v>0</v>
      </c>
      <c r="I17" s="89">
        <v>4586</v>
      </c>
      <c r="J17" s="89">
        <v>7</v>
      </c>
      <c r="K17" s="87">
        <f t="shared" si="1"/>
        <v>668245.7142857142</v>
      </c>
      <c r="L17" s="89">
        <v>0</v>
      </c>
      <c r="M17" s="89">
        <v>5332</v>
      </c>
      <c r="N17" s="89">
        <v>7</v>
      </c>
      <c r="O17" s="87">
        <f t="shared" si="2"/>
        <v>776948.57142857136</v>
      </c>
      <c r="P17" s="90">
        <f t="shared" si="3"/>
        <v>792054.28571428556</v>
      </c>
      <c r="Q17" s="90">
        <f t="shared" si="4"/>
        <v>132011.21872548491</v>
      </c>
      <c r="R17" s="91">
        <f t="shared" si="5"/>
        <v>5.8987549482286576</v>
      </c>
      <c r="S17" s="81"/>
      <c r="T17" s="81"/>
      <c r="U17" s="81"/>
      <c r="V17" s="81"/>
    </row>
    <row r="18" spans="1:22">
      <c r="A18" s="81"/>
      <c r="B18" s="88" t="s">
        <v>187</v>
      </c>
      <c r="C18" s="89">
        <v>900</v>
      </c>
      <c r="D18" s="89">
        <v>0</v>
      </c>
      <c r="E18" s="89">
        <v>2453</v>
      </c>
      <c r="F18" s="89">
        <v>7</v>
      </c>
      <c r="G18" s="87">
        <f t="shared" si="0"/>
        <v>357437.14285714284</v>
      </c>
      <c r="H18" s="89">
        <v>0</v>
      </c>
      <c r="I18" s="89">
        <v>2433</v>
      </c>
      <c r="J18" s="89">
        <v>7</v>
      </c>
      <c r="K18" s="87">
        <f t="shared" si="1"/>
        <v>354522.8571428571</v>
      </c>
      <c r="L18" s="89">
        <v>0</v>
      </c>
      <c r="M18" s="89">
        <v>1833</v>
      </c>
      <c r="N18" s="89">
        <v>7</v>
      </c>
      <c r="O18" s="87">
        <f t="shared" si="2"/>
        <v>267094.28571428568</v>
      </c>
      <c r="P18" s="90">
        <f t="shared" si="3"/>
        <v>326351.42857142852</v>
      </c>
      <c r="Q18" s="90">
        <f t="shared" si="4"/>
        <v>51338.874159841398</v>
      </c>
      <c r="R18" s="91">
        <f t="shared" si="5"/>
        <v>5.5136855181177333</v>
      </c>
      <c r="S18" s="81"/>
      <c r="T18" s="81"/>
      <c r="U18" s="81"/>
      <c r="V18" s="81"/>
    </row>
    <row r="19" spans="1:22">
      <c r="A19" s="81"/>
      <c r="B19" s="88" t="s">
        <v>188</v>
      </c>
      <c r="C19" s="89">
        <v>900</v>
      </c>
      <c r="D19" s="89">
        <v>0</v>
      </c>
      <c r="E19" s="89">
        <v>2574</v>
      </c>
      <c r="F19" s="89">
        <v>14</v>
      </c>
      <c r="G19" s="87">
        <f t="shared" si="0"/>
        <v>187534.28571428571</v>
      </c>
      <c r="H19" s="89">
        <v>0</v>
      </c>
      <c r="I19" s="89">
        <v>1997</v>
      </c>
      <c r="J19" s="89">
        <v>14</v>
      </c>
      <c r="K19" s="87">
        <f t="shared" si="1"/>
        <v>145495.71428571429</v>
      </c>
      <c r="L19" s="89">
        <v>0</v>
      </c>
      <c r="M19" s="89">
        <v>1974</v>
      </c>
      <c r="N19" s="89">
        <v>14</v>
      </c>
      <c r="O19" s="87">
        <f t="shared" si="2"/>
        <v>143819.99999999997</v>
      </c>
      <c r="P19" s="90">
        <f t="shared" si="3"/>
        <v>158950</v>
      </c>
      <c r="Q19" s="90">
        <f t="shared" si="4"/>
        <v>24768.892727345858</v>
      </c>
      <c r="R19" s="91">
        <f t="shared" si="5"/>
        <v>5.2012605322507914</v>
      </c>
      <c r="S19" s="81"/>
      <c r="T19" s="81"/>
      <c r="U19" s="81"/>
      <c r="V19" s="81"/>
    </row>
    <row r="20" spans="1:22" ht="15" thickBot="1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</row>
    <row r="21" spans="1:22" ht="43" thickBot="1">
      <c r="A21" s="81"/>
      <c r="B21" s="93" t="s">
        <v>4</v>
      </c>
      <c r="C21" s="93" t="s">
        <v>189</v>
      </c>
      <c r="D21" s="93" t="s">
        <v>190</v>
      </c>
      <c r="E21" s="93" t="s">
        <v>191</v>
      </c>
      <c r="F21" s="93" t="s">
        <v>192</v>
      </c>
      <c r="G21" s="94" t="s">
        <v>193</v>
      </c>
      <c r="H21" s="95" t="s">
        <v>194</v>
      </c>
      <c r="I21" s="95" t="s">
        <v>195</v>
      </c>
      <c r="J21" s="95" t="s">
        <v>196</v>
      </c>
      <c r="K21" s="95" t="s">
        <v>197</v>
      </c>
      <c r="L21" s="95" t="s">
        <v>198</v>
      </c>
      <c r="M21" s="92" t="s">
        <v>199</v>
      </c>
      <c r="N21" s="81"/>
      <c r="O21" s="81"/>
      <c r="P21" s="81"/>
      <c r="Q21" s="81"/>
      <c r="R21" s="81"/>
      <c r="S21" s="81"/>
      <c r="T21" s="81"/>
      <c r="U21" s="81"/>
      <c r="V21" s="81"/>
    </row>
    <row r="22" spans="1:22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</row>
    <row r="23" spans="1:22">
      <c r="A23" s="81"/>
      <c r="B23" s="88" t="s">
        <v>173</v>
      </c>
      <c r="C23" s="96">
        <v>13.733217239379883</v>
      </c>
      <c r="D23" s="96">
        <v>13.964070320129395</v>
      </c>
      <c r="E23" s="96">
        <v>13.836982727050781</v>
      </c>
      <c r="F23" s="97">
        <f>AVERAGE(C23:E23)</f>
        <v>13.844756762186686</v>
      </c>
      <c r="G23" s="81">
        <f>150/100*180/4*1000/900</f>
        <v>75</v>
      </c>
      <c r="H23" s="98">
        <f>LOG(G23)/LOG(2)</f>
        <v>6.2288186904958813</v>
      </c>
      <c r="I23" s="96">
        <f>C23-H23</f>
        <v>7.5043985488840015</v>
      </c>
      <c r="J23" s="96">
        <f>D23-H23</f>
        <v>7.7352516296335132</v>
      </c>
      <c r="K23" s="96">
        <f>E23-H23</f>
        <v>7.6081640365548999</v>
      </c>
      <c r="L23" s="97">
        <f>AVERAGE(I23:K23)</f>
        <v>7.6159380716908052</v>
      </c>
      <c r="M23" s="81"/>
      <c r="N23" s="81"/>
      <c r="O23" s="81"/>
      <c r="P23" s="81"/>
      <c r="Q23" s="81"/>
      <c r="R23" s="81"/>
      <c r="S23" s="81"/>
      <c r="T23" s="81"/>
      <c r="U23" s="81"/>
      <c r="V23" s="81"/>
    </row>
    <row r="24" spans="1:22">
      <c r="A24" s="81"/>
      <c r="B24" s="88" t="s">
        <v>174</v>
      </c>
      <c r="C24" s="96">
        <v>17.19072151184082</v>
      </c>
      <c r="D24" s="96">
        <v>17.22271728515625</v>
      </c>
      <c r="E24" s="96">
        <v>17.264667510986328</v>
      </c>
      <c r="F24" s="97">
        <f t="shared" ref="F24:F38" si="6">AVERAGE(C24:E24)</f>
        <v>17.226035435994465</v>
      </c>
      <c r="G24" s="81">
        <f t="shared" ref="G24:G27" si="7">150/100*180/4*1000/900</f>
        <v>75</v>
      </c>
      <c r="H24" s="98">
        <f t="shared" ref="H24:H37" si="8">LOG(G24)/LOG(2)</f>
        <v>6.2288186904958813</v>
      </c>
      <c r="I24" s="96">
        <f t="shared" ref="I24:I38" si="9">C24-H24</f>
        <v>10.961902821344939</v>
      </c>
      <c r="J24" s="96">
        <f t="shared" ref="J24:J38" si="10">D24-H24</f>
        <v>10.993898594660369</v>
      </c>
      <c r="K24" s="96">
        <f t="shared" ref="K24:K38" si="11">E24-H24</f>
        <v>11.035848820490447</v>
      </c>
      <c r="L24" s="97">
        <f t="shared" ref="L24:L38" si="12">AVERAGE(I24:K24)</f>
        <v>10.997216745498585</v>
      </c>
      <c r="M24" s="81"/>
      <c r="N24" s="81"/>
      <c r="O24" s="81"/>
      <c r="P24" s="81"/>
      <c r="Q24" s="81"/>
      <c r="R24" s="81"/>
      <c r="S24" s="81"/>
      <c r="T24" s="81"/>
      <c r="U24" s="81"/>
      <c r="V24" s="81"/>
    </row>
    <row r="25" spans="1:22">
      <c r="A25" s="81"/>
      <c r="B25" s="88" t="s">
        <v>175</v>
      </c>
      <c r="C25" s="96">
        <v>20.897546768188477</v>
      </c>
      <c r="D25" s="96">
        <v>20.622665405273438</v>
      </c>
      <c r="E25" s="96">
        <v>20.75037956237793</v>
      </c>
      <c r="F25" s="97">
        <f t="shared" si="6"/>
        <v>20.756863911946613</v>
      </c>
      <c r="G25" s="81">
        <f t="shared" si="7"/>
        <v>75</v>
      </c>
      <c r="H25" s="98">
        <f t="shared" si="8"/>
        <v>6.2288186904958813</v>
      </c>
      <c r="I25" s="96">
        <f t="shared" si="9"/>
        <v>14.668728077692595</v>
      </c>
      <c r="J25" s="96">
        <f t="shared" si="10"/>
        <v>14.393846714777556</v>
      </c>
      <c r="K25" s="96">
        <f t="shared" si="11"/>
        <v>14.521560871882048</v>
      </c>
      <c r="L25" s="97">
        <f t="shared" si="12"/>
        <v>14.528045221450734</v>
      </c>
      <c r="M25" s="92" t="s">
        <v>133</v>
      </c>
      <c r="N25" s="81"/>
      <c r="O25" s="81"/>
      <c r="P25" s="81"/>
      <c r="Q25" s="81"/>
      <c r="R25" s="81"/>
      <c r="S25" s="81"/>
      <c r="T25" s="81"/>
      <c r="U25" s="81"/>
      <c r="V25" s="81"/>
    </row>
    <row r="26" spans="1:22">
      <c r="A26" s="81"/>
      <c r="B26" s="88" t="s">
        <v>176</v>
      </c>
      <c r="C26" s="96">
        <v>25.132444381713867</v>
      </c>
      <c r="D26" s="96">
        <v>25.147838592529297</v>
      </c>
      <c r="E26" s="96">
        <v>25.181661605834961</v>
      </c>
      <c r="F26" s="97">
        <f t="shared" si="6"/>
        <v>25.153981526692707</v>
      </c>
      <c r="G26" s="81">
        <f t="shared" si="7"/>
        <v>75</v>
      </c>
      <c r="H26" s="98">
        <f t="shared" si="8"/>
        <v>6.2288186904958813</v>
      </c>
      <c r="I26" s="96">
        <f t="shared" si="9"/>
        <v>18.903625691217986</v>
      </c>
      <c r="J26" s="96">
        <f t="shared" si="10"/>
        <v>18.919019902033416</v>
      </c>
      <c r="K26" s="96">
        <f t="shared" si="11"/>
        <v>18.95284291533908</v>
      </c>
      <c r="L26" s="97">
        <f t="shared" si="12"/>
        <v>18.925162836196829</v>
      </c>
      <c r="M26" s="81"/>
      <c r="N26" s="81"/>
      <c r="O26" s="81"/>
      <c r="P26" s="81"/>
      <c r="Q26" s="81"/>
      <c r="R26" s="81"/>
      <c r="S26" s="81"/>
      <c r="T26" s="81"/>
      <c r="U26" s="81"/>
      <c r="V26" s="81"/>
    </row>
    <row r="27" spans="1:22">
      <c r="A27" s="81"/>
      <c r="B27" s="88" t="s">
        <v>177</v>
      </c>
      <c r="C27" s="96">
        <v>28.415132522583008</v>
      </c>
      <c r="D27" s="96">
        <v>28.359806060791016</v>
      </c>
      <c r="E27" s="96">
        <v>28.363668441772461</v>
      </c>
      <c r="F27" s="97">
        <f t="shared" si="6"/>
        <v>28.379535675048828</v>
      </c>
      <c r="G27" s="81">
        <f t="shared" si="7"/>
        <v>75</v>
      </c>
      <c r="H27" s="98">
        <f t="shared" si="8"/>
        <v>6.2288186904958813</v>
      </c>
      <c r="I27" s="96">
        <f t="shared" si="9"/>
        <v>22.186313832087126</v>
      </c>
      <c r="J27" s="96">
        <f t="shared" si="10"/>
        <v>22.130987370295134</v>
      </c>
      <c r="K27" s="96">
        <f t="shared" si="11"/>
        <v>22.13484975127658</v>
      </c>
      <c r="L27" s="97">
        <f t="shared" si="12"/>
        <v>22.150716984552947</v>
      </c>
      <c r="M27" s="81"/>
      <c r="N27" s="81"/>
      <c r="O27" s="81"/>
      <c r="P27" s="81"/>
      <c r="Q27" s="81"/>
      <c r="R27" s="81"/>
      <c r="S27" s="81"/>
      <c r="T27" s="81"/>
      <c r="U27" s="81"/>
      <c r="V27" s="81"/>
    </row>
    <row r="28" spans="1:22">
      <c r="A28" s="81"/>
      <c r="B28" s="88" t="s">
        <v>178</v>
      </c>
      <c r="C28" s="96">
        <v>14.936457633972168</v>
      </c>
      <c r="D28" s="96">
        <v>14.999619483947754</v>
      </c>
      <c r="E28" s="96">
        <v>15.074687957763672</v>
      </c>
      <c r="F28" s="97">
        <f t="shared" si="6"/>
        <v>15.003588358561197</v>
      </c>
      <c r="G28" s="81">
        <f>150/100*180/4*1000/500</f>
        <v>135</v>
      </c>
      <c r="H28" s="98">
        <f t="shared" si="8"/>
        <v>7.0768155970508309</v>
      </c>
      <c r="I28" s="96">
        <f t="shared" si="9"/>
        <v>7.8596420369213371</v>
      </c>
      <c r="J28" s="96">
        <f t="shared" si="10"/>
        <v>7.9228038868969231</v>
      </c>
      <c r="K28" s="96">
        <f t="shared" si="11"/>
        <v>7.997872360712841</v>
      </c>
      <c r="L28" s="97">
        <f t="shared" si="12"/>
        <v>7.9267727615103674</v>
      </c>
      <c r="M28" s="81"/>
      <c r="N28" s="81"/>
      <c r="O28" s="81"/>
      <c r="P28" s="81"/>
      <c r="Q28" s="81"/>
      <c r="R28" s="81"/>
      <c r="S28" s="81"/>
      <c r="T28" s="81"/>
      <c r="U28" s="81"/>
      <c r="V28" s="81"/>
    </row>
    <row r="29" spans="1:22">
      <c r="A29" s="81"/>
      <c r="B29" s="88" t="s">
        <v>179</v>
      </c>
      <c r="C29" s="96">
        <v>16.18989372253418</v>
      </c>
      <c r="D29" s="96">
        <v>15.8782958984375</v>
      </c>
      <c r="E29" s="96">
        <v>15.960098266601562</v>
      </c>
      <c r="F29" s="97">
        <f t="shared" si="6"/>
        <v>16.009429295857746</v>
      </c>
      <c r="G29" s="81">
        <f t="shared" ref="G29:G37" si="13">150/100*180/4*1000/500</f>
        <v>135</v>
      </c>
      <c r="H29" s="98">
        <f t="shared" si="8"/>
        <v>7.0768155970508309</v>
      </c>
      <c r="I29" s="96">
        <f t="shared" si="9"/>
        <v>9.1130781254833479</v>
      </c>
      <c r="J29" s="96">
        <f t="shared" si="10"/>
        <v>8.8014803013866683</v>
      </c>
      <c r="K29" s="96">
        <f t="shared" si="11"/>
        <v>8.8832826695507308</v>
      </c>
      <c r="L29" s="97">
        <f t="shared" si="12"/>
        <v>8.9326136988069162</v>
      </c>
      <c r="M29" s="92" t="s">
        <v>133</v>
      </c>
      <c r="N29" s="81"/>
      <c r="O29" s="81"/>
      <c r="P29" s="81"/>
      <c r="Q29" s="81"/>
      <c r="R29" s="81"/>
      <c r="S29" s="81"/>
      <c r="T29" s="81"/>
      <c r="U29" s="81"/>
      <c r="V29" s="81"/>
    </row>
    <row r="30" spans="1:22">
      <c r="A30" s="81"/>
      <c r="B30" s="88" t="s">
        <v>180</v>
      </c>
      <c r="C30" s="96">
        <v>16.854721069335938</v>
      </c>
      <c r="D30" s="96">
        <v>16.93126106262207</v>
      </c>
      <c r="E30" s="96">
        <v>17.05010986328125</v>
      </c>
      <c r="F30" s="97">
        <f t="shared" si="6"/>
        <v>16.945363998413086</v>
      </c>
      <c r="G30" s="81">
        <f t="shared" si="13"/>
        <v>135</v>
      </c>
      <c r="H30" s="98">
        <f t="shared" si="8"/>
        <v>7.0768155970508309</v>
      </c>
      <c r="I30" s="96">
        <f t="shared" si="9"/>
        <v>9.7779054722851058</v>
      </c>
      <c r="J30" s="96">
        <f t="shared" si="10"/>
        <v>9.8544454655712386</v>
      </c>
      <c r="K30" s="96">
        <f t="shared" si="11"/>
        <v>9.9732942662304183</v>
      </c>
      <c r="L30" s="97">
        <f t="shared" si="12"/>
        <v>9.8685484013622542</v>
      </c>
      <c r="M30" s="92" t="s">
        <v>133</v>
      </c>
      <c r="N30" s="81"/>
      <c r="O30" s="81"/>
      <c r="P30" s="81"/>
      <c r="Q30" s="81"/>
      <c r="R30" s="81"/>
      <c r="S30" s="81"/>
      <c r="T30" s="81"/>
      <c r="U30" s="81"/>
      <c r="V30" s="81"/>
    </row>
    <row r="31" spans="1:22">
      <c r="A31" s="81"/>
      <c r="B31" s="88" t="s">
        <v>181</v>
      </c>
      <c r="C31" s="96">
        <v>18.072385787963867</v>
      </c>
      <c r="D31" s="96">
        <v>18.182058334350586</v>
      </c>
      <c r="E31" s="96">
        <v>18.225353240966797</v>
      </c>
      <c r="F31" s="97">
        <f t="shared" si="6"/>
        <v>18.159932454427082</v>
      </c>
      <c r="G31" s="81">
        <f t="shared" si="13"/>
        <v>135</v>
      </c>
      <c r="H31" s="98">
        <f t="shared" si="8"/>
        <v>7.0768155970508309</v>
      </c>
      <c r="I31" s="96">
        <f t="shared" si="9"/>
        <v>10.995570190913035</v>
      </c>
      <c r="J31" s="96">
        <f t="shared" si="10"/>
        <v>11.105242737299754</v>
      </c>
      <c r="K31" s="96">
        <f t="shared" si="11"/>
        <v>11.148537643915965</v>
      </c>
      <c r="L31" s="97">
        <f t="shared" si="12"/>
        <v>11.083116857376252</v>
      </c>
      <c r="M31" s="81"/>
      <c r="N31" s="81"/>
      <c r="O31" s="81"/>
      <c r="P31" s="81"/>
      <c r="Q31" s="81"/>
      <c r="R31" s="81"/>
      <c r="S31" s="81"/>
      <c r="T31" s="81"/>
      <c r="U31" s="81"/>
      <c r="V31" s="81"/>
    </row>
    <row r="32" spans="1:22">
      <c r="A32" s="81"/>
      <c r="B32" s="88" t="s">
        <v>182</v>
      </c>
      <c r="C32" s="96">
        <v>20.280126571655273</v>
      </c>
      <c r="D32" s="96">
        <v>20.968669891357422</v>
      </c>
      <c r="E32" s="96">
        <v>20.306863784790039</v>
      </c>
      <c r="F32" s="97">
        <f t="shared" si="6"/>
        <v>20.518553415934246</v>
      </c>
      <c r="G32" s="81">
        <f t="shared" si="13"/>
        <v>135</v>
      </c>
      <c r="H32" s="98">
        <f t="shared" si="8"/>
        <v>7.0768155970508309</v>
      </c>
      <c r="I32" s="96">
        <f t="shared" si="9"/>
        <v>13.203310974604442</v>
      </c>
      <c r="J32" s="96">
        <f t="shared" si="10"/>
        <v>13.89185429430659</v>
      </c>
      <c r="K32" s="96">
        <f t="shared" si="11"/>
        <v>13.230048187739207</v>
      </c>
      <c r="L32" s="97">
        <f t="shared" si="12"/>
        <v>13.441737818883412</v>
      </c>
      <c r="M32" s="81"/>
      <c r="N32" s="81"/>
      <c r="O32" s="81"/>
      <c r="P32" s="81"/>
      <c r="Q32" s="81"/>
      <c r="R32" s="81"/>
      <c r="S32" s="81"/>
      <c r="T32" s="81"/>
      <c r="U32" s="81"/>
      <c r="V32" s="81"/>
    </row>
    <row r="33" spans="1:22">
      <c r="A33" s="81"/>
      <c r="B33" s="88" t="s">
        <v>183</v>
      </c>
      <c r="C33" s="96">
        <v>21.049312591552734</v>
      </c>
      <c r="D33" s="96">
        <v>21.128349304199219</v>
      </c>
      <c r="E33" s="96">
        <v>21.15723991394043</v>
      </c>
      <c r="F33" s="97">
        <f t="shared" si="6"/>
        <v>21.111633936564129</v>
      </c>
      <c r="G33" s="81">
        <f t="shared" si="13"/>
        <v>135</v>
      </c>
      <c r="H33" s="98">
        <f t="shared" si="8"/>
        <v>7.0768155970508309</v>
      </c>
      <c r="I33" s="96">
        <f t="shared" si="9"/>
        <v>13.972496994501903</v>
      </c>
      <c r="J33" s="96">
        <f t="shared" si="10"/>
        <v>14.051533707148387</v>
      </c>
      <c r="K33" s="96">
        <f t="shared" si="11"/>
        <v>14.080424316889598</v>
      </c>
      <c r="L33" s="97">
        <f t="shared" si="12"/>
        <v>14.034818339513295</v>
      </c>
      <c r="M33" s="81"/>
      <c r="N33" s="81"/>
      <c r="O33" s="81"/>
      <c r="P33" s="81"/>
      <c r="Q33" s="81"/>
      <c r="R33" s="81"/>
      <c r="S33" s="81"/>
      <c r="T33" s="81"/>
      <c r="U33" s="81"/>
      <c r="V33" s="81"/>
    </row>
    <row r="34" spans="1:22">
      <c r="A34" s="81"/>
      <c r="B34" s="88" t="s">
        <v>184</v>
      </c>
      <c r="C34" s="96">
        <v>21.142179489135742</v>
      </c>
      <c r="D34" s="96">
        <v>21.006193161010742</v>
      </c>
      <c r="E34" s="96">
        <v>21.079441070556641</v>
      </c>
      <c r="F34" s="97">
        <f t="shared" si="6"/>
        <v>21.075937906901043</v>
      </c>
      <c r="G34" s="81">
        <f t="shared" si="13"/>
        <v>135</v>
      </c>
      <c r="H34" s="98">
        <f t="shared" si="8"/>
        <v>7.0768155970508309</v>
      </c>
      <c r="I34" s="96">
        <f t="shared" si="9"/>
        <v>14.06536389208491</v>
      </c>
      <c r="J34" s="96">
        <f t="shared" si="10"/>
        <v>13.92937756395991</v>
      </c>
      <c r="K34" s="96">
        <f t="shared" si="11"/>
        <v>14.002625473505809</v>
      </c>
      <c r="L34" s="97">
        <f t="shared" si="12"/>
        <v>13.999122309850209</v>
      </c>
      <c r="M34" s="81"/>
      <c r="N34" s="81"/>
      <c r="O34" s="81"/>
      <c r="P34" s="81"/>
      <c r="Q34" s="81"/>
      <c r="R34" s="81"/>
      <c r="S34" s="81"/>
      <c r="T34" s="81"/>
      <c r="U34" s="81"/>
      <c r="V34" s="81"/>
    </row>
    <row r="35" spans="1:22">
      <c r="A35" s="81"/>
      <c r="B35" s="88" t="s">
        <v>185</v>
      </c>
      <c r="C35" s="96">
        <v>22.919816970825195</v>
      </c>
      <c r="D35" s="96">
        <v>22.845848083496094</v>
      </c>
      <c r="E35" s="96">
        <v>22.840835571289062</v>
      </c>
      <c r="F35" s="97">
        <f t="shared" si="6"/>
        <v>22.868833541870117</v>
      </c>
      <c r="G35" s="81">
        <f t="shared" si="13"/>
        <v>135</v>
      </c>
      <c r="H35" s="98">
        <f t="shared" si="8"/>
        <v>7.0768155970508309</v>
      </c>
      <c r="I35" s="96">
        <f t="shared" si="9"/>
        <v>15.843001373774364</v>
      </c>
      <c r="J35" s="96">
        <f t="shared" si="10"/>
        <v>15.769032486445262</v>
      </c>
      <c r="K35" s="96">
        <f t="shared" si="11"/>
        <v>15.764019974238231</v>
      </c>
      <c r="L35" s="97">
        <f t="shared" si="12"/>
        <v>15.792017944819285</v>
      </c>
      <c r="M35" s="81"/>
      <c r="N35" s="81"/>
      <c r="O35" s="81"/>
      <c r="P35" s="81"/>
      <c r="Q35" s="81"/>
      <c r="R35" s="81"/>
      <c r="S35" s="81"/>
      <c r="T35" s="81"/>
      <c r="U35" s="81"/>
      <c r="V35" s="81"/>
    </row>
    <row r="36" spans="1:22">
      <c r="A36" s="81"/>
      <c r="B36" s="88" t="s">
        <v>186</v>
      </c>
      <c r="C36" s="96">
        <v>23.948450088500977</v>
      </c>
      <c r="D36" s="96">
        <v>24.184415817260742</v>
      </c>
      <c r="E36" s="96">
        <v>24.005857467651367</v>
      </c>
      <c r="F36" s="97">
        <f t="shared" si="6"/>
        <v>24.046241124471027</v>
      </c>
      <c r="G36" s="81">
        <f t="shared" si="13"/>
        <v>135</v>
      </c>
      <c r="H36" s="98">
        <f t="shared" si="8"/>
        <v>7.0768155970508309</v>
      </c>
      <c r="I36" s="96">
        <f t="shared" si="9"/>
        <v>16.871634491450145</v>
      </c>
      <c r="J36" s="96">
        <f t="shared" si="10"/>
        <v>17.10760022020991</v>
      </c>
      <c r="K36" s="96">
        <f t="shared" si="11"/>
        <v>16.929041870600535</v>
      </c>
      <c r="L36" s="97">
        <f t="shared" si="12"/>
        <v>16.969425527420196</v>
      </c>
      <c r="M36" s="81"/>
      <c r="N36" s="81"/>
      <c r="O36" s="81"/>
      <c r="P36" s="81"/>
      <c r="Q36" s="81"/>
      <c r="R36" s="81"/>
      <c r="S36" s="81"/>
      <c r="T36" s="81"/>
      <c r="U36" s="81"/>
      <c r="V36" s="81"/>
    </row>
    <row r="37" spans="1:22">
      <c r="A37" s="81"/>
      <c r="B37" s="88" t="s">
        <v>187</v>
      </c>
      <c r="C37" s="96">
        <v>24.632528305053711</v>
      </c>
      <c r="D37" s="96">
        <v>24.451812744140625</v>
      </c>
      <c r="E37" s="96">
        <v>24.549453735351562</v>
      </c>
      <c r="F37" s="97">
        <f t="shared" si="6"/>
        <v>24.544598261515301</v>
      </c>
      <c r="G37" s="81">
        <f t="shared" si="13"/>
        <v>135</v>
      </c>
      <c r="H37" s="98">
        <f t="shared" si="8"/>
        <v>7.0768155970508309</v>
      </c>
      <c r="I37" s="96">
        <f t="shared" si="9"/>
        <v>17.555712708002879</v>
      </c>
      <c r="J37" s="96">
        <f t="shared" si="10"/>
        <v>17.374997147089793</v>
      </c>
      <c r="K37" s="96">
        <f t="shared" si="11"/>
        <v>17.472638138300731</v>
      </c>
      <c r="L37" s="97">
        <f t="shared" si="12"/>
        <v>17.467782664464469</v>
      </c>
      <c r="M37" s="81"/>
      <c r="N37" s="81"/>
      <c r="O37" s="81"/>
      <c r="P37" s="81"/>
      <c r="Q37" s="81"/>
      <c r="R37" s="81"/>
      <c r="S37" s="81"/>
      <c r="T37" s="81"/>
      <c r="U37" s="81"/>
      <c r="V37" s="81"/>
    </row>
    <row r="38" spans="1:22">
      <c r="A38" s="81"/>
      <c r="B38" s="88" t="s">
        <v>188</v>
      </c>
      <c r="C38" s="89"/>
      <c r="D38" s="89"/>
      <c r="E38" s="89"/>
      <c r="F38" s="97" t="e">
        <f t="shared" si="6"/>
        <v>#DIV/0!</v>
      </c>
      <c r="G38" s="81">
        <v>0</v>
      </c>
      <c r="H38" s="98">
        <v>0</v>
      </c>
      <c r="I38" s="96">
        <f t="shared" si="9"/>
        <v>0</v>
      </c>
      <c r="J38" s="96">
        <f t="shared" si="10"/>
        <v>0</v>
      </c>
      <c r="K38" s="96">
        <f t="shared" si="11"/>
        <v>0</v>
      </c>
      <c r="L38" s="97">
        <f t="shared" si="12"/>
        <v>0</v>
      </c>
      <c r="M38" s="81"/>
      <c r="N38" s="81"/>
      <c r="O38" s="81"/>
      <c r="P38" s="81"/>
      <c r="Q38" s="81"/>
      <c r="R38" s="81"/>
      <c r="S38" s="81"/>
      <c r="T38" s="81"/>
      <c r="U38" s="81"/>
      <c r="V38" s="81"/>
    </row>
    <row r="39" spans="1:22">
      <c r="A39" s="81"/>
      <c r="B39" s="81"/>
      <c r="C39" s="81"/>
      <c r="D39" s="81"/>
      <c r="E39" s="81"/>
      <c r="F39" s="98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</row>
    <row r="40" spans="1:22">
      <c r="A40" s="81"/>
      <c r="B40" s="88" t="s">
        <v>200</v>
      </c>
      <c r="C40" s="96">
        <v>14.390941619873047</v>
      </c>
      <c r="D40" s="96">
        <v>14.411395072937012</v>
      </c>
      <c r="E40" s="96">
        <v>14.301624298095703</v>
      </c>
      <c r="F40" s="97">
        <f>AVERAGE(C40:E40)</f>
        <v>14.367986996968588</v>
      </c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</row>
    <row r="41" spans="1:22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</row>
    <row r="42" spans="1:22">
      <c r="A42" s="81"/>
      <c r="B42" s="92" t="s">
        <v>201</v>
      </c>
      <c r="C42" s="81" t="s">
        <v>202</v>
      </c>
      <c r="D42" s="81"/>
      <c r="E42" s="81"/>
      <c r="F42" t="s">
        <v>203</v>
      </c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</row>
    <row r="43" spans="1:22">
      <c r="A43" s="81"/>
      <c r="B43" s="81" t="s">
        <v>204</v>
      </c>
      <c r="C43" s="81" t="s">
        <v>202</v>
      </c>
      <c r="D43" s="81"/>
      <c r="E43" s="81"/>
      <c r="F43">
        <v>0.35990572856564834</v>
      </c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</row>
    <row r="44" spans="1:22">
      <c r="A44" s="81"/>
      <c r="B44" s="81"/>
      <c r="C44" s="99" t="s">
        <v>205</v>
      </c>
      <c r="D44" s="100">
        <v>-3.2483</v>
      </c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</row>
    <row r="45" spans="1:22">
      <c r="A45" s="81"/>
      <c r="B45" s="81"/>
      <c r="C45" s="99" t="s">
        <v>206</v>
      </c>
      <c r="D45" s="101">
        <v>36.023000000000003</v>
      </c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</row>
    <row r="46" spans="1:22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</row>
    <row r="47" spans="1:22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</row>
    <row r="48" spans="1:22">
      <c r="A48" s="81"/>
      <c r="B48" s="92" t="s">
        <v>207</v>
      </c>
      <c r="C48" s="81"/>
      <c r="D48" s="81">
        <f>-1+ POWER(10,-(1/D44))</f>
        <v>1.0316707994539165</v>
      </c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</row>
    <row r="49" spans="1:22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</row>
    <row r="50" spans="1:22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</row>
    <row r="51" spans="1:22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</row>
    <row r="52" spans="1:22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</row>
    <row r="53" spans="1:22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</row>
    <row r="54" spans="1:22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</row>
    <row r="55" spans="1:22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opLeftCell="A20" workbookViewId="0">
      <selection activeCell="K33" sqref="K33"/>
    </sheetView>
  </sheetViews>
  <sheetFormatPr baseColWidth="10" defaultRowHeight="14" x14ac:dyDescent="0"/>
  <cols>
    <col min="18" max="18" width="17" customWidth="1"/>
  </cols>
  <sheetData>
    <row r="1" spans="1:31">
      <c r="A1" s="106" t="s">
        <v>224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r="2" spans="1:31">
      <c r="A2" s="119" t="s">
        <v>4</v>
      </c>
      <c r="B2" s="119" t="s">
        <v>118</v>
      </c>
      <c r="C2" s="119" t="s">
        <v>118</v>
      </c>
      <c r="D2" s="119" t="s">
        <v>5</v>
      </c>
      <c r="E2" s="133" t="s">
        <v>208</v>
      </c>
      <c r="F2" s="133" t="s">
        <v>209</v>
      </c>
      <c r="G2" s="133" t="s">
        <v>210</v>
      </c>
      <c r="H2" s="135" t="s">
        <v>211</v>
      </c>
      <c r="I2" s="135" t="s">
        <v>212</v>
      </c>
      <c r="J2" s="135" t="s">
        <v>213</v>
      </c>
      <c r="K2" s="133" t="s">
        <v>214</v>
      </c>
      <c r="L2" s="133" t="s">
        <v>215</v>
      </c>
      <c r="M2" s="133" t="s">
        <v>216</v>
      </c>
      <c r="N2" s="133" t="s">
        <v>217</v>
      </c>
      <c r="O2" s="133" t="s">
        <v>218</v>
      </c>
      <c r="P2" s="135" t="s">
        <v>219</v>
      </c>
      <c r="Q2" s="135" t="s">
        <v>220</v>
      </c>
      <c r="R2" s="135" t="s">
        <v>221</v>
      </c>
      <c r="S2" s="135" t="s">
        <v>222</v>
      </c>
      <c r="T2" s="81"/>
      <c r="U2" s="137" t="s">
        <v>221</v>
      </c>
      <c r="V2" s="138"/>
      <c r="W2" s="138"/>
      <c r="X2" s="138"/>
      <c r="Z2" s="137" t="s">
        <v>222</v>
      </c>
      <c r="AA2" s="138"/>
      <c r="AB2" s="138"/>
      <c r="AC2" s="138"/>
      <c r="AD2" s="138"/>
      <c r="AE2" s="138"/>
    </row>
    <row r="3" spans="1:31">
      <c r="A3" s="120"/>
      <c r="B3" s="120"/>
      <c r="C3" s="120"/>
      <c r="D3" s="120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81"/>
      <c r="U3" s="139"/>
      <c r="V3" s="140"/>
      <c r="W3" s="140"/>
      <c r="X3" s="140"/>
      <c r="Z3" s="137"/>
      <c r="AA3" s="138"/>
      <c r="AB3" s="138"/>
      <c r="AC3" s="138"/>
      <c r="AD3" s="138"/>
      <c r="AE3" s="138"/>
    </row>
    <row r="4" spans="1:31">
      <c r="A4" s="40">
        <v>0</v>
      </c>
      <c r="B4" s="32">
        <v>10</v>
      </c>
      <c r="C4" s="32">
        <f>B4</f>
        <v>10</v>
      </c>
      <c r="D4" s="13">
        <f t="shared" ref="D4:D7" si="0">C4/60</f>
        <v>0.16666666666666666</v>
      </c>
      <c r="E4" s="96">
        <v>27.413810729980469</v>
      </c>
      <c r="F4" s="96">
        <v>27.517269134521484</v>
      </c>
      <c r="G4" s="97">
        <v>27.654809951782227</v>
      </c>
      <c r="H4" s="102">
        <f>E4-$H$31+$H$38</f>
        <v>27.729427655537926</v>
      </c>
      <c r="I4" s="102">
        <f t="shared" ref="I4:J7" si="1">F4-$H$31+$H$38</f>
        <v>27.832886060078941</v>
      </c>
      <c r="J4" s="102">
        <f t="shared" si="1"/>
        <v>27.970426877339683</v>
      </c>
      <c r="K4" s="97">
        <f>((H4-'Calibration F. prausnitzii'!$D$45)/('Calibration F. prausnitzii'!$D$44))+$B$25</f>
        <v>6.206416449514677</v>
      </c>
      <c r="L4" s="97">
        <f>((I4-'Calibration F. prausnitzii'!$D$45)/('Calibration F. prausnitzii'!$D$44))+$B$25</f>
        <v>6.1745664342633102</v>
      </c>
      <c r="M4" s="97">
        <f>((J4-'Calibration F. prausnitzii'!$D$45)/('Calibration F. prausnitzii'!$D$44))+$B$25</f>
        <v>6.1322240344662653</v>
      </c>
      <c r="N4" s="103">
        <f>AVERAGE(K4:M4)</f>
        <v>6.1710689727480839</v>
      </c>
      <c r="O4" s="103">
        <f>STDEV(K4:M4)</f>
        <v>3.7219655969216198E-2</v>
      </c>
      <c r="P4" s="104">
        <f>(AVERAGE(POWER(10,K4),POWER(10,L4),POWER(10,M4)))*(Calculation!$J4/Calculation!$L3)</f>
        <v>1486371.4199492151</v>
      </c>
      <c r="Q4" s="104">
        <f>(STDEV(POWER(10,K4),POWER(10,L4),POWER(10,M4)))*(Calculation!$J4/Calculation!$L3)</f>
        <v>126505.01663217474</v>
      </c>
      <c r="R4" s="103">
        <f>LOG(P4)</f>
        <v>6.1721273460860049</v>
      </c>
      <c r="S4" s="103">
        <f>O4*(Calculation!$J4/Calculation!$L3)</f>
        <v>3.7219655969216198E-2</v>
      </c>
      <c r="T4" s="81"/>
      <c r="U4" s="103">
        <v>6.177738744838253</v>
      </c>
      <c r="V4" s="103">
        <v>5.951832009205714</v>
      </c>
      <c r="W4" s="103">
        <v>6.2287319396617713</v>
      </c>
      <c r="X4" s="103">
        <f>AVERAGE(U4:W4)</f>
        <v>6.1194342312352461</v>
      </c>
      <c r="Z4">
        <v>3.7219655969216198E-2</v>
      </c>
      <c r="AA4">
        <v>0.10162978036809578</v>
      </c>
      <c r="AB4">
        <v>3.2335042581422842E-2</v>
      </c>
      <c r="AC4">
        <f>SUM(Z4:AB4)</f>
        <v>0.17118447891873481</v>
      </c>
      <c r="AD4">
        <f>STDEV(U4:W4)</f>
        <v>0.14737012961080262</v>
      </c>
      <c r="AE4">
        <f>AC4+AD4</f>
        <v>0.31855460852953743</v>
      </c>
    </row>
    <row r="5" spans="1:31">
      <c r="A5" s="40">
        <v>1</v>
      </c>
      <c r="B5" s="32">
        <v>710</v>
      </c>
      <c r="C5" s="32">
        <f>C4+B5</f>
        <v>720</v>
      </c>
      <c r="D5" s="13">
        <f t="shared" si="0"/>
        <v>12</v>
      </c>
      <c r="E5" s="96">
        <v>23.552644729614258</v>
      </c>
      <c r="F5" s="96">
        <v>23.544973373413086</v>
      </c>
      <c r="G5" s="97">
        <v>23.579952239990234</v>
      </c>
      <c r="H5" s="102">
        <f t="shared" ref="H5:H7" si="2">E5-$H$31+$H$38</f>
        <v>23.868261655171715</v>
      </c>
      <c r="I5" s="102">
        <f t="shared" si="1"/>
        <v>23.860590298970543</v>
      </c>
      <c r="J5" s="102">
        <f t="shared" si="1"/>
        <v>23.895569165547691</v>
      </c>
      <c r="K5" s="97">
        <f>((H5-'Calibration F. prausnitzii'!$D$45)/('Calibration F. prausnitzii'!$D$44))+$B$25</f>
        <v>7.3950892938844124</v>
      </c>
      <c r="L5" s="97">
        <f>((I5-'Calibration F. prausnitzii'!$D$45)/('Calibration F. prausnitzii'!$D$44))+$B$25</f>
        <v>7.3974509465030653</v>
      </c>
      <c r="M5" s="97">
        <f>((J5-'Calibration F. prausnitzii'!$D$45)/('Calibration F. prausnitzii'!$D$44))+$B$25</f>
        <v>7.3866825856444169</v>
      </c>
      <c r="N5" s="103">
        <f t="shared" ref="N5:N7" si="3">AVERAGE(K5:M5)</f>
        <v>7.3930742753439658</v>
      </c>
      <c r="O5" s="103">
        <f t="shared" ref="O5:O7" si="4">STDEV(K5:M5)</f>
        <v>5.6599137523709797E-3</v>
      </c>
      <c r="P5" s="104">
        <f>(AVERAGE(POWER(10,K5),POWER(10,L5),POWER(10,M5)))*(Calculation!$J5/Calculation!$L4)</f>
        <v>25480918.900155295</v>
      </c>
      <c r="Q5" s="104">
        <f>(STDEV(POWER(10,K5),POWER(10,L5),POWER(10,M5)))*(Calculation!$J5/Calculation!$L4)</f>
        <v>331060.75441591593</v>
      </c>
      <c r="R5" s="103">
        <f t="shared" ref="R5:R7" si="5">LOG(P5)</f>
        <v>7.4062150855970268</v>
      </c>
      <c r="S5" s="103">
        <f>O5*(Calculation!$J5/Calculation!$L4)</f>
        <v>5.8334581461719024E-3</v>
      </c>
      <c r="T5" s="81"/>
      <c r="U5" s="103">
        <v>7.4118264843492758</v>
      </c>
      <c r="V5" s="103">
        <v>7.9223410158564711</v>
      </c>
      <c r="W5" s="103">
        <v>8.0797729964261507</v>
      </c>
      <c r="X5" s="103">
        <f t="shared" ref="X5:X7" si="6">AVERAGE(U5:W5)</f>
        <v>7.8046468322106328</v>
      </c>
      <c r="Z5">
        <v>5.8334581461719024E-3</v>
      </c>
      <c r="AA5">
        <v>4.5725402441622572E-3</v>
      </c>
      <c r="AB5">
        <v>3.7902471020782015E-2</v>
      </c>
      <c r="AC5">
        <f t="shared" ref="AC5:AC7" si="7">SUM(Z5:AB5)</f>
        <v>4.8308469411116176E-2</v>
      </c>
      <c r="AD5">
        <f t="shared" ref="AD5:AD7" si="8">STDEV(U5:W5)</f>
        <v>0.34918057849336487</v>
      </c>
      <c r="AE5">
        <f t="shared" ref="AE5:AE7" si="9">AC5+AD5</f>
        <v>0.39748904790448103</v>
      </c>
    </row>
    <row r="6" spans="1:31">
      <c r="A6" s="40">
        <v>2</v>
      </c>
      <c r="B6" s="32">
        <v>720</v>
      </c>
      <c r="C6" s="32">
        <f>C5+B6</f>
        <v>1440</v>
      </c>
      <c r="D6" s="13">
        <f t="shared" si="0"/>
        <v>24</v>
      </c>
      <c r="E6" s="96">
        <v>22.701711654663086</v>
      </c>
      <c r="F6" s="96">
        <v>22.618175506591797</v>
      </c>
      <c r="G6" s="97">
        <v>22.61366081237793</v>
      </c>
      <c r="H6" s="102">
        <f>E6-$H$31+$H$38</f>
        <v>23.017328580220543</v>
      </c>
      <c r="I6" s="102">
        <f t="shared" si="1"/>
        <v>22.933792432149254</v>
      </c>
      <c r="J6" s="102">
        <f t="shared" si="1"/>
        <v>22.929277737935386</v>
      </c>
      <c r="K6" s="97">
        <f>((H6-'Calibration F. prausnitzii'!$D$45)/('Calibration F. prausnitzii'!$D$44))+$B$25</f>
        <v>7.6570518819923983</v>
      </c>
      <c r="L6" s="97">
        <f>((I6-'Calibration F. prausnitzii'!$D$45)/('Calibration F. prausnitzii'!$D$44))+$B$25</f>
        <v>7.6827687640757318</v>
      </c>
      <c r="M6" s="97">
        <f>((J6-'Calibration F. prausnitzii'!$D$45)/('Calibration F. prausnitzii'!$D$44))+$B$25</f>
        <v>7.6841586277625424</v>
      </c>
      <c r="N6" s="103">
        <f>AVERAGE(K6:M6)</f>
        <v>7.6746597579435578</v>
      </c>
      <c r="O6" s="103">
        <f t="shared" si="4"/>
        <v>1.5264694621922103E-2</v>
      </c>
      <c r="P6" s="104">
        <f>(AVERAGE(POWER(10,K6),POWER(10,L6),POWER(10,M6)))*(Calculation!$J6/Calculation!$L5)</f>
        <v>52058936.658085294</v>
      </c>
      <c r="Q6" s="104">
        <f>(STDEV(POWER(10,K6),POWER(10,L6),POWER(10,M6)))*(Calculation!$J6/Calculation!$L5)</f>
        <v>1811022.7465943184</v>
      </c>
      <c r="R6" s="103">
        <f t="shared" si="5"/>
        <v>7.7164952930808957</v>
      </c>
      <c r="S6" s="103">
        <f>O6*(Calculation!$J6/Calculation!$L5)</f>
        <v>1.6801421594188778E-2</v>
      </c>
      <c r="T6" s="81"/>
      <c r="U6" s="103">
        <v>7.7221066918331447</v>
      </c>
      <c r="V6" s="103">
        <v>7.631066449143427</v>
      </c>
      <c r="W6" s="103">
        <v>7.85595393338048</v>
      </c>
      <c r="X6" s="103">
        <f t="shared" si="6"/>
        <v>7.7363756914523512</v>
      </c>
      <c r="Z6">
        <v>1.6801421594188778E-2</v>
      </c>
      <c r="AA6">
        <v>4.2959024167808522E-2</v>
      </c>
      <c r="AB6">
        <v>2.2267211634836481E-2</v>
      </c>
      <c r="AC6">
        <f t="shared" si="7"/>
        <v>8.2027657396833778E-2</v>
      </c>
      <c r="AD6">
        <f t="shared" si="8"/>
        <v>0.11312072491023631</v>
      </c>
      <c r="AE6">
        <f t="shared" si="9"/>
        <v>0.1951483823070701</v>
      </c>
    </row>
    <row r="7" spans="1:31">
      <c r="A7" s="40">
        <v>3</v>
      </c>
      <c r="B7" s="32">
        <v>1440</v>
      </c>
      <c r="C7" s="32">
        <f>C6+B7</f>
        <v>2880</v>
      </c>
      <c r="D7" s="13">
        <f t="shared" si="0"/>
        <v>48</v>
      </c>
      <c r="E7" s="96">
        <v>20.807760238647461</v>
      </c>
      <c r="F7" s="96">
        <v>20.864461898803711</v>
      </c>
      <c r="G7" s="97">
        <v>20.70817756652832</v>
      </c>
      <c r="H7" s="102">
        <f t="shared" si="2"/>
        <v>21.123377164204918</v>
      </c>
      <c r="I7" s="102">
        <f t="shared" si="1"/>
        <v>21.180078824361168</v>
      </c>
      <c r="J7" s="102">
        <f t="shared" si="1"/>
        <v>21.023794492085777</v>
      </c>
      <c r="K7" s="97">
        <f>((H7-'Calibration F. prausnitzii'!$D$45)/('Calibration F. prausnitzii'!$D$44))+$B$25</f>
        <v>8.2401111486905556</v>
      </c>
      <c r="L7" s="97">
        <f>((I7-'Calibration F. prausnitzii'!$D$45)/('Calibration F. prausnitzii'!$D$44))+$B$25</f>
        <v>8.2226553533033542</v>
      </c>
      <c r="M7" s="97">
        <f>((J7-'Calibration F. prausnitzii'!$D$45)/('Calibration F. prausnitzii'!$D$44))+$B$25</f>
        <v>8.2707680067760592</v>
      </c>
      <c r="N7" s="103">
        <f t="shared" si="3"/>
        <v>8.2445115029233236</v>
      </c>
      <c r="O7" s="103">
        <f t="shared" si="4"/>
        <v>2.4356296805477701E-2</v>
      </c>
      <c r="P7" s="104">
        <f>(AVERAGE(POWER(10,K7),POWER(10,L7),POWER(10,M7)))*(Calculation!$J7/Calculation!$L6)</f>
        <v>200764360.48656431</v>
      </c>
      <c r="Q7" s="104">
        <f>(STDEV(POWER(10,K7),POWER(10,L7),POWER(10,M7)))*(Calculation!$J7/Calculation!$L6)</f>
        <v>11337279.661705939</v>
      </c>
      <c r="R7" s="103">
        <f t="shared" si="5"/>
        <v>8.3026866197390881</v>
      </c>
      <c r="S7" s="103">
        <f>O7*(Calculation!$J7/Calculation!$L6)</f>
        <v>2.7818194796816909E-2</v>
      </c>
      <c r="T7" s="81"/>
      <c r="U7" s="103">
        <v>8.3082980184913371</v>
      </c>
      <c r="V7" s="103">
        <v>7.6295007571154621</v>
      </c>
      <c r="W7" s="103">
        <v>7.5645643429465723</v>
      </c>
      <c r="X7" s="103">
        <f t="shared" si="6"/>
        <v>7.8341210395177905</v>
      </c>
      <c r="Z7">
        <v>2.7818194796816909E-2</v>
      </c>
      <c r="AA7">
        <v>5.1089353737016022E-2</v>
      </c>
      <c r="AB7">
        <v>2.2603491968746076E-2</v>
      </c>
      <c r="AC7">
        <f t="shared" si="7"/>
        <v>0.101511040502579</v>
      </c>
      <c r="AD7">
        <f t="shared" si="8"/>
        <v>0.4119308680017047</v>
      </c>
      <c r="AE7">
        <f t="shared" si="9"/>
        <v>0.51344190850428373</v>
      </c>
    </row>
    <row r="8" spans="1:31"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</row>
    <row r="9" spans="1:31">
      <c r="A9" s="106" t="s">
        <v>224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</row>
    <row r="10" spans="1:31">
      <c r="A10" s="119" t="s">
        <v>4</v>
      </c>
      <c r="B10" s="119" t="s">
        <v>118</v>
      </c>
      <c r="C10" s="119" t="s">
        <v>118</v>
      </c>
      <c r="D10" s="119" t="s">
        <v>5</v>
      </c>
      <c r="E10" s="133" t="s">
        <v>208</v>
      </c>
      <c r="F10" s="133" t="s">
        <v>209</v>
      </c>
      <c r="G10" s="133" t="s">
        <v>210</v>
      </c>
      <c r="H10" s="135" t="s">
        <v>211</v>
      </c>
      <c r="I10" s="135" t="s">
        <v>212</v>
      </c>
      <c r="J10" s="135" t="s">
        <v>213</v>
      </c>
      <c r="K10" s="133" t="s">
        <v>214</v>
      </c>
      <c r="L10" s="133" t="s">
        <v>215</v>
      </c>
      <c r="M10" s="133" t="s">
        <v>216</v>
      </c>
      <c r="N10" s="133" t="s">
        <v>217</v>
      </c>
      <c r="O10" s="133" t="s">
        <v>218</v>
      </c>
      <c r="P10" s="135" t="s">
        <v>219</v>
      </c>
      <c r="Q10" s="135" t="s">
        <v>220</v>
      </c>
      <c r="R10" s="135" t="s">
        <v>221</v>
      </c>
      <c r="S10" s="135" t="s">
        <v>222</v>
      </c>
      <c r="T10" s="81"/>
      <c r="U10" s="81"/>
      <c r="V10" s="81"/>
      <c r="W10" s="81"/>
      <c r="X10" s="81"/>
    </row>
    <row r="11" spans="1:31">
      <c r="A11" s="120"/>
      <c r="B11" s="120"/>
      <c r="C11" s="120"/>
      <c r="D11" s="120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81"/>
      <c r="U11" s="81"/>
      <c r="V11" s="81"/>
      <c r="W11" s="81"/>
      <c r="X11" s="81"/>
    </row>
    <row r="12" spans="1:31">
      <c r="A12" s="40">
        <v>0</v>
      </c>
      <c r="B12" s="32">
        <v>10</v>
      </c>
      <c r="C12" s="32">
        <f>B12</f>
        <v>10</v>
      </c>
      <c r="D12" s="13">
        <f t="shared" ref="D12:D15" si="10">C12/60</f>
        <v>0.16666666666666666</v>
      </c>
      <c r="E12" s="96">
        <v>28.403055191040039</v>
      </c>
      <c r="F12" s="96">
        <v>28.037200927734375</v>
      </c>
      <c r="G12" s="97">
        <v>28.696109771728516</v>
      </c>
      <c r="H12" s="102">
        <f>E12-$H$36+$H$38</f>
        <v>27.732391039530437</v>
      </c>
      <c r="I12" s="102">
        <f t="shared" ref="I12:J15" si="11">F12-$H$36+$H$38</f>
        <v>27.366536776224773</v>
      </c>
      <c r="J12" s="102">
        <f t="shared" si="11"/>
        <v>28.025445620218914</v>
      </c>
      <c r="K12" s="97">
        <f>((H12-'Calibration F. prausnitzii'!$D$45)/('Calibration F. prausnitzii'!$D$44))+$B$25</f>
        <v>6.2055041618588227</v>
      </c>
      <c r="L12" s="97">
        <f>((I12-'Calibration F. prausnitzii'!$D$45)/('Calibration F. prausnitzii'!$D$44))+$B$25</f>
        <v>6.3181336182839267</v>
      </c>
      <c r="M12" s="97">
        <f>((J12-'Calibration F. prausnitzii'!$D$45)/('Calibration F. prausnitzii'!$D$44))+$B$25</f>
        <v>6.1152863307814975</v>
      </c>
      <c r="N12" s="103">
        <f>AVERAGE(K12:M12)</f>
        <v>6.2129747036414154</v>
      </c>
      <c r="O12" s="103">
        <f>STDEV(K12:M12)</f>
        <v>0.10162978036809581</v>
      </c>
      <c r="P12" s="104">
        <f>(AVERAGE(POWER(10,K12),POWER(10,L12),POWER(10,M12)))*(Calculation!$J4/Calculation!$L3)</f>
        <v>1663156.8404247847</v>
      </c>
      <c r="Q12" s="104">
        <f>(STDEV(POWER(10,K12),POWER(10,L12),POWER(10,M12)))*(Calculation!$J4/Calculation!$L3)</f>
        <v>391397.16583940928</v>
      </c>
      <c r="R12" s="103">
        <f>LOG(P12)</f>
        <v>6.2209332063567446</v>
      </c>
      <c r="S12" s="103">
        <f>O12*(Calculation!$J4/Calculation!$L3)</f>
        <v>0.10162978036809581</v>
      </c>
      <c r="T12" s="81"/>
      <c r="U12" s="81"/>
      <c r="V12" s="81"/>
      <c r="W12" s="81"/>
      <c r="X12" s="81"/>
    </row>
    <row r="13" spans="1:31">
      <c r="A13" s="40">
        <v>1</v>
      </c>
      <c r="B13" s="32">
        <v>710</v>
      </c>
      <c r="C13" s="32">
        <f>C12+B13</f>
        <v>720</v>
      </c>
      <c r="D13" s="13">
        <f t="shared" si="10"/>
        <v>12</v>
      </c>
      <c r="E13" s="96">
        <v>21.990791320800781</v>
      </c>
      <c r="F13" s="96">
        <v>22.010774612426758</v>
      </c>
      <c r="G13" s="97">
        <v>21.982795715332031</v>
      </c>
      <c r="H13" s="102">
        <f t="shared" ref="H13:H15" si="12">E13-$H$36+$H$38</f>
        <v>21.32012716929118</v>
      </c>
      <c r="I13" s="102">
        <f t="shared" si="11"/>
        <v>21.340110460917156</v>
      </c>
      <c r="J13" s="102">
        <f t="shared" si="11"/>
        <v>21.31213156382243</v>
      </c>
      <c r="K13" s="97">
        <f>((H13-'Calibration F. prausnitzii'!$D$45)/('Calibration F. prausnitzii'!$D$44))+$B$25</f>
        <v>8.1795410027415176</v>
      </c>
      <c r="L13" s="97">
        <f>((I13-'Calibration F. prausnitzii'!$D$45)/('Calibration F. prausnitzii'!$D$44))+$B$25</f>
        <v>8.1733890796968556</v>
      </c>
      <c r="M13" s="97">
        <f>((J13-'Calibration F. prausnitzii'!$D$45)/('Calibration F. prausnitzii'!$D$44))+$B$25</f>
        <v>8.1820024765797559</v>
      </c>
      <c r="N13" s="103">
        <f t="shared" ref="N13" si="13">AVERAGE(K13:M13)</f>
        <v>8.1783108530060442</v>
      </c>
      <c r="O13" s="103">
        <f t="shared" ref="O13:O15" si="14">STDEV(K13:M13)</f>
        <v>4.4365079448092214E-3</v>
      </c>
      <c r="P13" s="104">
        <f>(AVERAGE(POWER(10,K13),POWER(10,L13),POWER(10,M13)))*(Calculation!$J5/Calculation!$L4)</f>
        <v>155396850.67925903</v>
      </c>
      <c r="Q13" s="104">
        <f>(STDEV(POWER(10,K13),POWER(10,L13),POWER(10,M13)))*(Calculation!$J5/Calculation!$L4)</f>
        <v>1584310.0485749561</v>
      </c>
      <c r="R13" s="103">
        <f t="shared" ref="R13:R15" si="15">LOG(P13)</f>
        <v>8.1914422130075017</v>
      </c>
      <c r="S13" s="103">
        <f>O13*(Calculation!$J5/Calculation!$L4)</f>
        <v>4.5725402441622572E-3</v>
      </c>
      <c r="T13" s="81"/>
      <c r="U13" s="81"/>
      <c r="V13" s="81"/>
      <c r="W13" s="81"/>
      <c r="X13" s="81"/>
    </row>
    <row r="14" spans="1:31">
      <c r="A14" s="40">
        <v>2</v>
      </c>
      <c r="B14" s="32">
        <v>720</v>
      </c>
      <c r="C14" s="32">
        <f>C13+B14</f>
        <v>1440</v>
      </c>
      <c r="D14" s="13">
        <f t="shared" si="10"/>
        <v>24</v>
      </c>
      <c r="E14" s="96">
        <v>22.978738784790039</v>
      </c>
      <c r="F14" s="96">
        <v>22.950443267822266</v>
      </c>
      <c r="G14" s="97">
        <v>23.182809829711914</v>
      </c>
      <c r="H14" s="102">
        <f t="shared" si="12"/>
        <v>22.308074633280437</v>
      </c>
      <c r="I14" s="102">
        <f t="shared" si="11"/>
        <v>22.279779116312664</v>
      </c>
      <c r="J14" s="102">
        <f t="shared" si="11"/>
        <v>22.512145678202312</v>
      </c>
      <c r="K14" s="97">
        <f>((H14-'Calibration F. prausnitzii'!$D$45)/('Calibration F. prausnitzii'!$D$44))+$B$25</f>
        <v>7.8753980775224015</v>
      </c>
      <c r="L14" s="97">
        <f>((I14-'Calibration F. prausnitzii'!$D$45)/('Calibration F. prausnitzii'!$D$44))+$B$25</f>
        <v>7.8841089468903078</v>
      </c>
      <c r="M14" s="97">
        <f>((J14-'Calibration F. prausnitzii'!$D$45)/('Calibration F. prausnitzii'!$D$44))+$B$25</f>
        <v>7.8125741250174361</v>
      </c>
      <c r="N14" s="103">
        <f>AVERAGE(K14:M14)</f>
        <v>7.8573603831433827</v>
      </c>
      <c r="O14" s="103">
        <f t="shared" si="14"/>
        <v>3.9029815513003156E-2</v>
      </c>
      <c r="P14" s="104">
        <f>(AVERAGE(POWER(10,K14),POWER(10,L14),POWER(10,M14)))*(Calculation!$J6/Calculation!$L5)</f>
        <v>79463492.038663357</v>
      </c>
      <c r="Q14" s="104">
        <f>(STDEV(POWER(10,K14),POWER(10,L14),POWER(10,M14)))*(Calculation!$J6/Calculation!$L5)</f>
        <v>6957652.1482148711</v>
      </c>
      <c r="R14" s="103">
        <f t="shared" si="15"/>
        <v>7.9001676462944577</v>
      </c>
      <c r="S14" s="103">
        <f>O14*(Calculation!$J6/Calculation!$L5)</f>
        <v>4.295902416780898E-2</v>
      </c>
      <c r="T14" s="81"/>
      <c r="U14" s="81"/>
      <c r="V14" s="81"/>
      <c r="W14" s="81"/>
      <c r="X14" s="81"/>
    </row>
    <row r="15" spans="1:31">
      <c r="A15" s="40">
        <v>3</v>
      </c>
      <c r="B15" s="32">
        <v>1440</v>
      </c>
      <c r="C15" s="32">
        <f>C14+B15</f>
        <v>2880</v>
      </c>
      <c r="D15" s="13">
        <f t="shared" si="10"/>
        <v>48</v>
      </c>
      <c r="E15" s="96">
        <v>23.010959625244141</v>
      </c>
      <c r="F15" s="96">
        <v>23.263511657714844</v>
      </c>
      <c r="G15" s="97">
        <v>23.012735366821289</v>
      </c>
      <c r="H15" s="102">
        <f t="shared" si="12"/>
        <v>22.340295473734539</v>
      </c>
      <c r="I15" s="102">
        <f t="shared" si="11"/>
        <v>22.592847506205242</v>
      </c>
      <c r="J15" s="102">
        <f t="shared" si="11"/>
        <v>22.342071215311687</v>
      </c>
      <c r="K15" s="97">
        <f>((H15-'Calibration F. prausnitzii'!$D$45)/('Calibration F. prausnitzii'!$D$44))+$B$25</f>
        <v>7.8654787842138703</v>
      </c>
      <c r="L15" s="97">
        <f>((I15-'Calibration F. prausnitzii'!$D$45)/('Calibration F. prausnitzii'!$D$44))+$B$25</f>
        <v>7.7877297978300071</v>
      </c>
      <c r="M15" s="97">
        <f>((J15-'Calibration F. prausnitzii'!$D$45)/('Calibration F. prausnitzii'!$D$44))+$B$25</f>
        <v>7.8649321162407304</v>
      </c>
      <c r="N15" s="103">
        <f t="shared" ref="N15" si="16">AVERAGE(K15:M15)</f>
        <v>7.8393802327615356</v>
      </c>
      <c r="O15" s="103">
        <f t="shared" si="14"/>
        <v>4.4731423886684912E-2</v>
      </c>
      <c r="P15" s="104">
        <f>(AVERAGE(POWER(10,K15),POWER(10,L15),POWER(10,M15)))*(Calculation!$J7/Calculation!$L6)</f>
        <v>79177530.869220585</v>
      </c>
      <c r="Q15" s="104">
        <f>(STDEV(POWER(10,K15),POWER(10,L15),POWER(10,M15)))*(Calculation!$J7/Calculation!$L6)</f>
        <v>7899353.2832658365</v>
      </c>
      <c r="R15" s="103">
        <f t="shared" si="15"/>
        <v>7.8986019542664945</v>
      </c>
      <c r="S15" s="103">
        <f>O15*(Calculation!$J7/Calculation!$L6)</f>
        <v>5.1089353737015453E-2</v>
      </c>
      <c r="T15" s="81"/>
      <c r="U15" s="81"/>
      <c r="V15" s="81"/>
      <c r="W15" s="81"/>
      <c r="X15" s="81"/>
    </row>
    <row r="16" spans="1:31">
      <c r="A16" s="10"/>
      <c r="B16" s="10"/>
      <c r="C16" s="10"/>
      <c r="D16" s="110"/>
      <c r="E16" s="111"/>
      <c r="F16" s="111"/>
      <c r="G16" s="112"/>
      <c r="H16" s="109"/>
      <c r="I16" s="109"/>
      <c r="J16" s="109"/>
      <c r="K16" s="112"/>
      <c r="L16" s="112"/>
      <c r="M16" s="112"/>
      <c r="N16" s="113"/>
      <c r="O16" s="113"/>
      <c r="P16" s="114"/>
      <c r="Q16" s="114"/>
      <c r="R16" s="113"/>
      <c r="S16" s="113"/>
      <c r="T16" s="81"/>
      <c r="U16" s="81"/>
      <c r="V16" s="81"/>
      <c r="W16" s="81"/>
      <c r="X16" s="81"/>
    </row>
    <row r="17" spans="1:24">
      <c r="A17" s="106" t="s">
        <v>224</v>
      </c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</row>
    <row r="18" spans="1:24">
      <c r="A18" s="119" t="s">
        <v>4</v>
      </c>
      <c r="B18" s="119" t="s">
        <v>118</v>
      </c>
      <c r="C18" s="119" t="s">
        <v>118</v>
      </c>
      <c r="D18" s="119" t="s">
        <v>5</v>
      </c>
      <c r="E18" s="133" t="s">
        <v>208</v>
      </c>
      <c r="F18" s="133" t="s">
        <v>209</v>
      </c>
      <c r="G18" s="133" t="s">
        <v>210</v>
      </c>
      <c r="H18" s="135" t="s">
        <v>211</v>
      </c>
      <c r="I18" s="135" t="s">
        <v>212</v>
      </c>
      <c r="J18" s="135" t="s">
        <v>213</v>
      </c>
      <c r="K18" s="133" t="s">
        <v>214</v>
      </c>
      <c r="L18" s="133" t="s">
        <v>215</v>
      </c>
      <c r="M18" s="133" t="s">
        <v>216</v>
      </c>
      <c r="N18" s="133" t="s">
        <v>217</v>
      </c>
      <c r="O18" s="133" t="s">
        <v>218</v>
      </c>
      <c r="P18" s="135" t="s">
        <v>219</v>
      </c>
      <c r="Q18" s="135" t="s">
        <v>220</v>
      </c>
      <c r="R18" s="135" t="s">
        <v>221</v>
      </c>
      <c r="S18" s="135" t="s">
        <v>222</v>
      </c>
      <c r="T18" s="81"/>
      <c r="U18" s="81"/>
      <c r="V18" s="81"/>
      <c r="W18" s="81"/>
      <c r="X18" s="81"/>
    </row>
    <row r="19" spans="1:24">
      <c r="A19" s="120"/>
      <c r="B19" s="120"/>
      <c r="C19" s="120"/>
      <c r="D19" s="120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81"/>
      <c r="U19" s="81"/>
      <c r="V19" s="81"/>
      <c r="W19" s="81"/>
      <c r="X19" s="81"/>
    </row>
    <row r="20" spans="1:24">
      <c r="A20" s="40">
        <v>0</v>
      </c>
      <c r="B20" s="32">
        <v>10</v>
      </c>
      <c r="C20" s="32">
        <f>B20</f>
        <v>10</v>
      </c>
      <c r="D20" s="13">
        <f t="shared" ref="D20:D23" si="17">C20/60</f>
        <v>0.16666666666666666</v>
      </c>
      <c r="E20" s="96">
        <v>28.358177185058594</v>
      </c>
      <c r="F20" s="96">
        <v>28.41847038269043</v>
      </c>
      <c r="G20" s="97">
        <v>28.214054107666016</v>
      </c>
      <c r="H20" s="102">
        <f>E20-$H$36+$H$38</f>
        <v>27.687513033548992</v>
      </c>
      <c r="I20" s="102">
        <f t="shared" ref="I20:J23" si="18">F20-$H$36+$H$38</f>
        <v>27.747806231180828</v>
      </c>
      <c r="J20" s="102">
        <f t="shared" si="18"/>
        <v>27.543389956156414</v>
      </c>
      <c r="K20" s="97">
        <f>((H20-'Calibration F. prausnitzii'!$D$45)/('Calibration F. prausnitzii'!$D$44))+$B$25</f>
        <v>6.2193200058330387</v>
      </c>
      <c r="L20" s="97">
        <f>((I20-'Calibration F. prausnitzii'!$D$45)/('Calibration F. prausnitzii'!$D$44))+$B$25</f>
        <v>6.2007585436430208</v>
      </c>
      <c r="M20" s="97">
        <f>((J20-'Calibration F. prausnitzii'!$D$45)/('Calibration F. prausnitzii'!$D$44))+$B$25</f>
        <v>6.2636887763876601</v>
      </c>
      <c r="N20" s="103">
        <f>AVERAGE(K20:M20)</f>
        <v>6.2279224419545729</v>
      </c>
      <c r="O20" s="103">
        <f>STDEV(K20:M20)</f>
        <v>3.2335042581422842E-2</v>
      </c>
      <c r="P20" s="104">
        <f>(AVERAGE(POWER(10,K20),POWER(10,L20),POWER(10,M20)))*(Calculation!$J4/Calculation!$L3)</f>
        <v>1693292.3240643919</v>
      </c>
      <c r="Q20" s="104">
        <f>(STDEV(POWER(10,K20),POWER(10,L20),POWER(10,M20)))*(Calculation!$J4/Calculation!$L3)</f>
        <v>127709.52713099937</v>
      </c>
      <c r="R20" s="103">
        <f>LOG(P20)</f>
        <v>6.2287319396617713</v>
      </c>
      <c r="S20" s="103">
        <f>O20*(Calculation!$J4/Calculation!$L3)</f>
        <v>3.2335042581422842E-2</v>
      </c>
      <c r="T20" s="81"/>
      <c r="U20" s="81"/>
      <c r="V20" s="81"/>
      <c r="W20" s="81"/>
      <c r="X20" s="81"/>
    </row>
    <row r="21" spans="1:24">
      <c r="A21" s="40">
        <v>1</v>
      </c>
      <c r="B21" s="32">
        <v>710</v>
      </c>
      <c r="C21" s="32">
        <f>C20+B21</f>
        <v>720</v>
      </c>
      <c r="D21" s="13">
        <f t="shared" si="17"/>
        <v>12</v>
      </c>
      <c r="E21" s="96">
        <v>22.484830856323242</v>
      </c>
      <c r="F21" s="96">
        <v>22.351156234741211</v>
      </c>
      <c r="G21" s="97">
        <v>22.24650764465332</v>
      </c>
      <c r="H21" s="102">
        <f>E21-$H$36+$H$38</f>
        <v>21.814166704813641</v>
      </c>
      <c r="I21" s="102">
        <f t="shared" si="18"/>
        <v>21.680492083231609</v>
      </c>
      <c r="J21" s="102">
        <f t="shared" si="18"/>
        <v>21.575843493143719</v>
      </c>
      <c r="K21" s="97">
        <f>((H21-'Calibration F. prausnitzii'!$D$45)/('Calibration F. prausnitzii'!$D$44))+$B$25</f>
        <v>8.0274492822962191</v>
      </c>
      <c r="L21" s="97">
        <f>((I21-'Calibration F. prausnitzii'!$D$45)/('Calibration F. prausnitzii'!$D$44))+$B$25</f>
        <v>8.068601460845624</v>
      </c>
      <c r="M21" s="97">
        <f>((J21-'Calibration F. prausnitzii'!$D$45)/('Calibration F. prausnitzii'!$D$44))+$B$25</f>
        <v>8.1008178786912328</v>
      </c>
      <c r="N21" s="103">
        <f t="shared" ref="N21" si="19">AVERAGE(K21:M21)</f>
        <v>8.0656228739443581</v>
      </c>
      <c r="O21" s="103">
        <f t="shared" ref="O21:O23" si="20">STDEV(K21:M21)</f>
        <v>3.677487891468708E-2</v>
      </c>
      <c r="P21" s="104">
        <f>(AVERAGE(POWER(10,K21),POWER(10,L21),POWER(10,M21)))*(Calculation!$J5/Calculation!$L4)</f>
        <v>120163618.1161205</v>
      </c>
      <c r="Q21" s="104">
        <f>(STDEV(POWER(10,K21),POWER(10,L21),POWER(10,M21)))*(Calculation!$J5/Calculation!$L4)</f>
        <v>10114061.840115029</v>
      </c>
      <c r="R21" s="103">
        <f t="shared" ref="R21:R23" si="21">LOG(P21)</f>
        <v>8.0797729964261507</v>
      </c>
      <c r="S21" s="103">
        <f>O21*(Calculation!$J5/Calculation!$L4)</f>
        <v>3.7902471020782015E-2</v>
      </c>
      <c r="T21" s="81"/>
      <c r="U21" s="81"/>
      <c r="V21" s="81"/>
      <c r="W21" s="81"/>
      <c r="X21" s="81"/>
    </row>
    <row r="22" spans="1:24">
      <c r="A22" s="40">
        <v>2</v>
      </c>
      <c r="B22" s="32">
        <v>720</v>
      </c>
      <c r="C22" s="32">
        <f>C21+B22</f>
        <v>1440</v>
      </c>
      <c r="D22" s="13">
        <f t="shared" si="17"/>
        <v>24</v>
      </c>
      <c r="E22" s="96">
        <v>23.451015472412109</v>
      </c>
      <c r="F22" s="96">
        <v>23.364963531494141</v>
      </c>
      <c r="G22" s="97">
        <v>23.494022369384766</v>
      </c>
      <c r="H22" s="102">
        <f>E22-$H$41+$H$38</f>
        <v>22.521925926208496</v>
      </c>
      <c r="I22" s="102">
        <f t="shared" ref="I22:J23" si="22">F22-$H$41+$H$38</f>
        <v>22.435873985290527</v>
      </c>
      <c r="J22" s="102">
        <f t="shared" si="22"/>
        <v>22.564932823181152</v>
      </c>
      <c r="K22" s="97">
        <f>((H22-'Calibration F. prausnitzii'!$D$45)/('Calibration F. prausnitzii'!$D$44))+$B$25</f>
        <v>7.8095632430157185</v>
      </c>
      <c r="L22" s="97">
        <f>((I22-'Calibration F. prausnitzii'!$D$45)/('Calibration F. prausnitzii'!$D$44))+$B$25</f>
        <v>7.8360546203263013</v>
      </c>
      <c r="M22" s="97">
        <f>((J22-'Calibration F. prausnitzii'!$D$45)/('Calibration F. prausnitzii'!$D$44))+$B$25</f>
        <v>7.7963234261968726</v>
      </c>
      <c r="N22" s="103">
        <f>AVERAGE(K22:M22)</f>
        <v>7.8139804298462971</v>
      </c>
      <c r="O22" s="103">
        <f t="shared" si="20"/>
        <v>2.0230561073775685E-2</v>
      </c>
      <c r="P22" s="104">
        <f>(AVERAGE(POWER(10,K22),POWER(10,L22),POWER(10,M22)))*(Calculation!$J6/Calculation!$L5)</f>
        <v>71771815.720971182</v>
      </c>
      <c r="Q22" s="104">
        <f>(STDEV(POWER(10,K22),POWER(10,L22),POWER(10,M22)))*(Calculation!$J6/Calculation!$L5)</f>
        <v>3366586.4117255723</v>
      </c>
      <c r="R22" s="103">
        <f t="shared" si="21"/>
        <v>7.85595393338048</v>
      </c>
      <c r="S22" s="103">
        <f>O22*(Calculation!$J6/Calculation!$L5)</f>
        <v>2.2267211634836481E-2</v>
      </c>
      <c r="T22" s="81"/>
      <c r="U22" s="81"/>
      <c r="V22" s="81"/>
      <c r="W22" s="81"/>
      <c r="X22" s="81"/>
    </row>
    <row r="23" spans="1:24">
      <c r="A23" s="40">
        <v>3</v>
      </c>
      <c r="B23" s="32">
        <v>1440</v>
      </c>
      <c r="C23" s="32">
        <f>C22+B23</f>
        <v>2880</v>
      </c>
      <c r="D23" s="13">
        <f t="shared" si="17"/>
        <v>48</v>
      </c>
      <c r="E23" s="96">
        <v>24.361528396606445</v>
      </c>
      <c r="F23" s="96">
        <v>24.47923469543457</v>
      </c>
      <c r="G23" s="97">
        <v>24.465179443359375</v>
      </c>
      <c r="H23" s="102">
        <f>E23-$H$41+$H$38</f>
        <v>23.432438850402832</v>
      </c>
      <c r="I23" s="102">
        <f t="shared" si="22"/>
        <v>23.550145149230957</v>
      </c>
      <c r="J23" s="102">
        <f t="shared" si="22"/>
        <v>23.536089897155762</v>
      </c>
      <c r="K23" s="97">
        <f>((H23-'Calibration F. prausnitzii'!$D$45)/('Calibration F. prausnitzii'!$D$44))+$B$25</f>
        <v>7.5292587994008002</v>
      </c>
      <c r="L23" s="97">
        <f>((I23-'Calibration F. prausnitzii'!$D$45)/('Calibration F. prausnitzii'!$D$44))+$B$25</f>
        <v>7.4930225223241376</v>
      </c>
      <c r="M23" s="97">
        <f>((J23-'Calibration F. prausnitzii'!$D$45)/('Calibration F. prausnitzii'!$D$44))+$B$25</f>
        <v>7.4973494786013273</v>
      </c>
      <c r="N23" s="103">
        <f t="shared" ref="N23" si="23">AVERAGE(K23:M23)</f>
        <v>7.5065436001087553</v>
      </c>
      <c r="O23" s="103">
        <f t="shared" si="20"/>
        <v>1.9790549431841858E-2</v>
      </c>
      <c r="P23" s="104">
        <f>(AVERAGE(POWER(10,K23),POWER(10,L23),POWER(10,M23)))*(Calculation!$J7/Calculation!$L6)</f>
        <v>36691405.060605846</v>
      </c>
      <c r="Q23" s="104">
        <f>(STDEV(POWER(10,K23),POWER(10,L23),POWER(10,M23)))*(Calculation!$J7/Calculation!$L6)</f>
        <v>1692242.4643765122</v>
      </c>
      <c r="R23" s="103">
        <f t="shared" si="21"/>
        <v>7.5645643429465723</v>
      </c>
      <c r="S23" s="103">
        <f>O23*(Calculation!$J7/Calculation!$L6)</f>
        <v>2.2603491968746076E-2</v>
      </c>
      <c r="T23" s="81"/>
      <c r="U23" s="81"/>
      <c r="V23" s="81"/>
      <c r="W23" s="81"/>
      <c r="X23" s="81"/>
    </row>
    <row r="24" spans="1:24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</row>
    <row r="25" spans="1:24">
      <c r="A25" s="99" t="s">
        <v>225</v>
      </c>
      <c r="B25" s="107">
        <f>LOG(B26)</f>
        <v>3.6532125137753435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</row>
    <row r="26" spans="1:24">
      <c r="A26" s="81" t="s">
        <v>226</v>
      </c>
      <c r="B26" s="81">
        <f>20*1800/4/2</f>
        <v>4500</v>
      </c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1:24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1:24">
      <c r="A28" s="92" t="s">
        <v>227</v>
      </c>
      <c r="B28" s="81"/>
      <c r="C28" s="81"/>
      <c r="D28" s="81"/>
      <c r="E28" s="105">
        <v>14.390941619873047</v>
      </c>
      <c r="F28" s="102">
        <v>14.411395072937012</v>
      </c>
      <c r="G28" s="102">
        <v>14.301624298095703</v>
      </c>
      <c r="H28" s="102">
        <f>AVERAGE(E28:G28)</f>
        <v>14.367986996968588</v>
      </c>
      <c r="I28" s="81"/>
      <c r="J28" s="81"/>
      <c r="K28" s="81"/>
    </row>
    <row r="29" spans="1:24">
      <c r="A29" s="108" t="s">
        <v>228</v>
      </c>
      <c r="C29" s="81"/>
      <c r="D29" s="81"/>
      <c r="E29" s="105">
        <v>13.95859432220459</v>
      </c>
      <c r="F29" s="102">
        <v>13.837825775146484</v>
      </c>
      <c r="G29" s="102">
        <v>14.070391654968262</v>
      </c>
      <c r="H29" s="102">
        <f>AVERAGE(E29:G29)</f>
        <v>13.955603917439779</v>
      </c>
    </row>
    <row r="30" spans="1:24">
      <c r="A30" s="108" t="s">
        <v>229</v>
      </c>
      <c r="E30" s="105">
        <v>14.085451126098633</v>
      </c>
      <c r="F30" s="102">
        <v>14.111333847045898</v>
      </c>
      <c r="G30" s="102">
        <v>14.077548980712891</v>
      </c>
      <c r="H30" s="102">
        <f>AVERAGE(E30:G30)</f>
        <v>14.091444651285807</v>
      </c>
    </row>
    <row r="31" spans="1:24">
      <c r="A31" s="108" t="s">
        <v>230</v>
      </c>
      <c r="E31" s="105">
        <v>13.838394165039062</v>
      </c>
      <c r="F31" s="102">
        <v>14.03663444519043</v>
      </c>
      <c r="G31" s="102">
        <v>13.97320556640625</v>
      </c>
      <c r="H31" s="102">
        <f>AVERAGE(E31:G31)</f>
        <v>13.949411392211914</v>
      </c>
    </row>
    <row r="32" spans="1:24">
      <c r="A32" s="108" t="s">
        <v>235</v>
      </c>
      <c r="E32" s="105">
        <v>11.618982315063477</v>
      </c>
      <c r="F32" s="102">
        <v>11.485271453857422</v>
      </c>
      <c r="G32" s="102">
        <v>11.470490455627441</v>
      </c>
      <c r="H32" s="102">
        <f>AVERAGE(E32:G32)</f>
        <v>11.524914741516113</v>
      </c>
    </row>
    <row r="33" spans="1:8">
      <c r="A33" s="108" t="s">
        <v>231</v>
      </c>
      <c r="E33" s="105">
        <v>14.489413261413574</v>
      </c>
      <c r="F33" s="102">
        <v>14.78773021697998</v>
      </c>
      <c r="G33" s="102">
        <v>14.708776473999023</v>
      </c>
      <c r="H33" s="102">
        <f>AVERAGE(E33:G33)</f>
        <v>14.661973317464193</v>
      </c>
    </row>
    <row r="34" spans="1:8">
      <c r="A34" s="108" t="s">
        <v>232</v>
      </c>
      <c r="E34" s="105">
        <v>14.322483062744141</v>
      </c>
      <c r="F34" s="102">
        <v>14.812288284301758</v>
      </c>
      <c r="G34" s="102">
        <v>14.651363372802734</v>
      </c>
      <c r="H34" s="102">
        <f t="shared" ref="H34" si="24">AVERAGE(E34:G34)</f>
        <v>14.595378239949545</v>
      </c>
    </row>
    <row r="35" spans="1:8">
      <c r="A35" s="108" t="s">
        <v>233</v>
      </c>
      <c r="E35" s="105">
        <v>13.079689025878906</v>
      </c>
      <c r="F35" s="102">
        <v>13.297797203063965</v>
      </c>
      <c r="G35" s="102">
        <v>14.48363208770752</v>
      </c>
      <c r="H35" s="102">
        <f>AVERAGE(E35:G35)</f>
        <v>13.620372772216797</v>
      </c>
    </row>
    <row r="36" spans="1:8">
      <c r="A36" s="108" t="s">
        <v>234</v>
      </c>
      <c r="B36" s="81"/>
      <c r="C36" s="81"/>
      <c r="D36" s="81"/>
      <c r="E36" s="105">
        <v>14.77447509765625</v>
      </c>
      <c r="F36" s="102">
        <v>15.046281814575195</v>
      </c>
      <c r="G36" s="102">
        <v>14.986320495605469</v>
      </c>
      <c r="H36" s="102">
        <f t="shared" ref="H36" si="25">AVERAGE(E36:G36)</f>
        <v>14.935692469278971</v>
      </c>
    </row>
    <row r="37" spans="1:8">
      <c r="A37" s="108" t="s">
        <v>234</v>
      </c>
      <c r="C37" s="81"/>
      <c r="D37" s="81"/>
      <c r="E37" s="105">
        <v>13.851560592651367</v>
      </c>
      <c r="F37" s="102">
        <v>14.262241363525391</v>
      </c>
      <c r="G37" s="102">
        <v>14.016228675842285</v>
      </c>
      <c r="H37" s="102">
        <f>AVERAGE(E37:G37)</f>
        <v>14.043343544006348</v>
      </c>
    </row>
    <row r="38" spans="1:8">
      <c r="A38" s="108" t="s">
        <v>236</v>
      </c>
      <c r="E38" s="105">
        <v>14.028319358825684</v>
      </c>
      <c r="F38" s="102">
        <v>14.285782814025879</v>
      </c>
      <c r="G38" s="102">
        <v>14.480982780456543</v>
      </c>
      <c r="H38" s="102">
        <f>AVERAGE(E38:G38)</f>
        <v>14.265028317769369</v>
      </c>
    </row>
    <row r="39" spans="1:8">
      <c r="A39" s="108" t="s">
        <v>236</v>
      </c>
      <c r="E39" s="105">
        <v>14.83289909362793</v>
      </c>
      <c r="F39" s="102">
        <v>14.839167594909668</v>
      </c>
      <c r="G39" s="102">
        <v>14.813106536865234</v>
      </c>
      <c r="H39" s="102">
        <f>AVERAGE(E39:G39)</f>
        <v>14.828391075134277</v>
      </c>
    </row>
    <row r="40" spans="1:8">
      <c r="A40" s="108" t="s">
        <v>237</v>
      </c>
      <c r="E40" s="105">
        <v>15.412906646728516</v>
      </c>
      <c r="F40" s="102">
        <v>15.433472633361816</v>
      </c>
      <c r="G40" s="102">
        <v>15.37113094329834</v>
      </c>
      <c r="H40" s="102">
        <f>AVERAGE(E40:G40)</f>
        <v>15.405836741129557</v>
      </c>
    </row>
    <row r="41" spans="1:8">
      <c r="A41" s="108" t="s">
        <v>237</v>
      </c>
      <c r="E41" s="105">
        <v>15.125240325927734</v>
      </c>
      <c r="F41" s="102">
        <v>15.287156105041504</v>
      </c>
      <c r="G41" s="102">
        <v>15.169957160949707</v>
      </c>
      <c r="H41" s="102">
        <f>AVERAGE(E41:G41)</f>
        <v>15.194117863972982</v>
      </c>
    </row>
    <row r="43" spans="1:8">
      <c r="G43" t="s">
        <v>223</v>
      </c>
      <c r="H43" s="76">
        <f>AVERAGE(H28:H41)</f>
        <v>14.24567828859602</v>
      </c>
    </row>
  </sheetData>
  <mergeCells count="59">
    <mergeCell ref="R2:R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Q2:Q3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8:K19"/>
    <mergeCell ref="L18:L19"/>
    <mergeCell ref="K10:K11"/>
    <mergeCell ref="L10:L11"/>
    <mergeCell ref="M10:M11"/>
    <mergeCell ref="F18:F19"/>
    <mergeCell ref="G18:G19"/>
    <mergeCell ref="H18:H19"/>
    <mergeCell ref="I18:I19"/>
    <mergeCell ref="J18:J19"/>
    <mergeCell ref="A18:A19"/>
    <mergeCell ref="B18:B19"/>
    <mergeCell ref="C18:C19"/>
    <mergeCell ref="D18:D19"/>
    <mergeCell ref="E18:E19"/>
    <mergeCell ref="R18:R19"/>
    <mergeCell ref="S18:S19"/>
    <mergeCell ref="U2:X3"/>
    <mergeCell ref="Z2:AE3"/>
    <mergeCell ref="M18:M19"/>
    <mergeCell ref="N18:N19"/>
    <mergeCell ref="O18:O19"/>
    <mergeCell ref="P18:P19"/>
    <mergeCell ref="Q18:Q19"/>
    <mergeCell ref="P10:P11"/>
    <mergeCell ref="Q10:Q11"/>
    <mergeCell ref="R10:R11"/>
    <mergeCell ref="S10:S11"/>
    <mergeCell ref="N10:N11"/>
    <mergeCell ref="O10:O11"/>
    <mergeCell ref="S2:S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H12" sqref="H12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19" t="s">
        <v>4</v>
      </c>
      <c r="B1" s="119" t="s">
        <v>118</v>
      </c>
      <c r="C1" s="119" t="s">
        <v>118</v>
      </c>
      <c r="D1" s="119" t="s">
        <v>5</v>
      </c>
      <c r="E1" s="119" t="s">
        <v>19</v>
      </c>
      <c r="F1" s="119" t="s">
        <v>24</v>
      </c>
      <c r="G1" s="118" t="s">
        <v>25</v>
      </c>
      <c r="H1" s="115" t="s">
        <v>26</v>
      </c>
      <c r="I1" s="4" t="s">
        <v>27</v>
      </c>
      <c r="J1" s="54" t="s">
        <v>27</v>
      </c>
    </row>
    <row r="2" spans="1:10">
      <c r="A2" s="120"/>
      <c r="B2" s="120"/>
      <c r="C2" s="120"/>
      <c r="D2" s="120"/>
      <c r="E2" s="120"/>
      <c r="F2" s="120"/>
      <c r="G2" s="118"/>
      <c r="H2" s="115"/>
      <c r="I2" s="5" t="s">
        <v>28</v>
      </c>
      <c r="J2" s="55" t="s">
        <v>23</v>
      </c>
    </row>
    <row r="3" spans="1:10">
      <c r="A3" s="40" t="s">
        <v>6</v>
      </c>
      <c r="B3" s="32">
        <v>-10</v>
      </c>
      <c r="C3" s="32">
        <f>B3</f>
        <v>-10</v>
      </c>
      <c r="D3" s="13">
        <f>C3/60</f>
        <v>-0.16666666666666666</v>
      </c>
      <c r="E3" s="40">
        <v>1</v>
      </c>
      <c r="F3" s="51">
        <v>9.2999999999999999E-2</v>
      </c>
      <c r="G3" s="51">
        <v>9.2999999999999999E-2</v>
      </c>
      <c r="H3" s="51">
        <v>9.2999999999999999E-2</v>
      </c>
      <c r="I3" s="52">
        <f>E3*(AVERAGE(F3:H3)*1.6007-0.0118)</f>
        <v>0.13706510000000002</v>
      </c>
      <c r="J3" s="52">
        <f>E3*(STDEV(F3:H3)*1.6007)</f>
        <v>2.7206696834821082E-17</v>
      </c>
    </row>
    <row r="4" spans="1:10">
      <c r="A4" s="40">
        <v>0</v>
      </c>
      <c r="B4" s="32">
        <v>10</v>
      </c>
      <c r="C4" s="32">
        <f>B4</f>
        <v>10</v>
      </c>
      <c r="D4" s="13">
        <f>C4/60</f>
        <v>0.16666666666666666</v>
      </c>
      <c r="E4" s="40">
        <v>1</v>
      </c>
      <c r="F4" s="51">
        <v>0.125</v>
      </c>
      <c r="G4" s="51">
        <v>0.125</v>
      </c>
      <c r="H4" s="51">
        <v>0.125</v>
      </c>
      <c r="I4" s="52">
        <f>E4*(AVERAGE(F4:H4)*1.6007-0.0118)</f>
        <v>0.1882875</v>
      </c>
      <c r="J4" s="52">
        <f t="shared" ref="J4:J7" si="0">E4*(STDEV(F4:H4)*1.6007)</f>
        <v>0</v>
      </c>
    </row>
    <row r="5" spans="1:10">
      <c r="A5" s="40">
        <v>1</v>
      </c>
      <c r="B5" s="32">
        <v>710</v>
      </c>
      <c r="C5" s="32">
        <f>C4+B5</f>
        <v>720</v>
      </c>
      <c r="D5" s="13">
        <f t="shared" ref="D5:D7" si="1">C5/60</f>
        <v>12</v>
      </c>
      <c r="E5" s="40">
        <v>10</v>
      </c>
      <c r="F5" s="51">
        <v>9.1999999999999998E-2</v>
      </c>
      <c r="G5" s="51">
        <v>9.2999999999999999E-2</v>
      </c>
      <c r="H5" s="51">
        <v>9.4E-2</v>
      </c>
      <c r="I5" s="52">
        <f t="shared" ref="I5:I7" si="2">E5*(AVERAGE(F5:H5)*1.6007-0.0118)</f>
        <v>1.3706510000000003</v>
      </c>
      <c r="J5" s="52">
        <f t="shared" si="0"/>
        <v>1.6007000000000014E-2</v>
      </c>
    </row>
    <row r="6" spans="1:10">
      <c r="A6" s="40">
        <v>2</v>
      </c>
      <c r="B6" s="32">
        <v>720</v>
      </c>
      <c r="C6" s="32">
        <f>C5+B6</f>
        <v>1440</v>
      </c>
      <c r="D6" s="13">
        <f t="shared" si="1"/>
        <v>24</v>
      </c>
      <c r="E6" s="40">
        <v>10</v>
      </c>
      <c r="F6" s="51">
        <v>0.215</v>
      </c>
      <c r="G6" s="51">
        <v>0.2</v>
      </c>
      <c r="H6" s="51">
        <v>0.19800000000000001</v>
      </c>
      <c r="I6" s="52">
        <f t="shared" si="2"/>
        <v>3.152763666666667</v>
      </c>
      <c r="J6" s="52">
        <f t="shared" si="0"/>
        <v>0.14873021290354321</v>
      </c>
    </row>
    <row r="7" spans="1:10">
      <c r="A7" s="40">
        <v>3</v>
      </c>
      <c r="B7" s="32">
        <v>1440</v>
      </c>
      <c r="C7" s="32">
        <f>C6+B7</f>
        <v>2880</v>
      </c>
      <c r="D7" s="13">
        <f t="shared" si="1"/>
        <v>48</v>
      </c>
      <c r="E7" s="40">
        <v>10</v>
      </c>
      <c r="F7" s="51">
        <v>0.13600000000000001</v>
      </c>
      <c r="G7" s="51">
        <v>0.13400000000000001</v>
      </c>
      <c r="H7" s="51">
        <v>0.13700000000000001</v>
      </c>
      <c r="I7" s="52">
        <f t="shared" si="2"/>
        <v>2.0536163333333333</v>
      </c>
      <c r="J7" s="52">
        <f t="shared" si="0"/>
        <v>2.4451096383052734E-2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8" sqref="A8:G21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19" t="s">
        <v>4</v>
      </c>
      <c r="B1" s="119" t="s">
        <v>118</v>
      </c>
      <c r="C1" s="119" t="s">
        <v>118</v>
      </c>
      <c r="D1" s="119" t="s">
        <v>5</v>
      </c>
      <c r="E1" s="4" t="s">
        <v>29</v>
      </c>
      <c r="F1" s="4" t="s">
        <v>2</v>
      </c>
      <c r="G1" s="4" t="s">
        <v>32</v>
      </c>
    </row>
    <row r="2" spans="1:7">
      <c r="A2" s="120"/>
      <c r="B2" s="120"/>
      <c r="C2" s="120"/>
      <c r="D2" s="120"/>
      <c r="E2" s="5" t="s">
        <v>30</v>
      </c>
      <c r="F2" s="5" t="s">
        <v>31</v>
      </c>
      <c r="G2" s="5" t="s">
        <v>33</v>
      </c>
    </row>
    <row r="3" spans="1:7">
      <c r="A3" s="65" t="s">
        <v>6</v>
      </c>
      <c r="B3" s="66">
        <v>-10</v>
      </c>
      <c r="C3" s="66">
        <v>-10</v>
      </c>
      <c r="D3" s="67">
        <v>0</v>
      </c>
      <c r="E3" s="1"/>
      <c r="F3" s="1"/>
      <c r="G3" s="1" t="e">
        <f>(F3-$C$9)/E3*1000*Calculation!J4/Calculation!L3</f>
        <v>#DIV/0!</v>
      </c>
    </row>
    <row r="4" spans="1:7">
      <c r="A4" s="68">
        <v>0</v>
      </c>
      <c r="B4" s="69">
        <v>10</v>
      </c>
      <c r="C4" s="69">
        <v>10</v>
      </c>
      <c r="D4" s="70">
        <v>0</v>
      </c>
      <c r="E4" s="1"/>
      <c r="F4" s="1"/>
      <c r="G4" s="1" t="e">
        <f>(F4-$C$9)/E4*1000*Calculation!J5/Calculation!L4</f>
        <v>#DIV/0!</v>
      </c>
    </row>
    <row r="5" spans="1:7">
      <c r="A5" s="68">
        <v>1</v>
      </c>
      <c r="B5" s="69">
        <v>710</v>
      </c>
      <c r="C5" s="69">
        <v>720</v>
      </c>
      <c r="D5" s="70">
        <v>12</v>
      </c>
      <c r="E5" s="1"/>
      <c r="F5" s="1"/>
      <c r="G5" s="1" t="e">
        <f>(F5-$C$9)/E5*1000*Calculation!J6/Calculation!L5</f>
        <v>#DIV/0!</v>
      </c>
    </row>
    <row r="6" spans="1:7">
      <c r="A6" s="68">
        <v>2</v>
      </c>
      <c r="B6" s="69">
        <v>720</v>
      </c>
      <c r="C6" s="69">
        <v>1440</v>
      </c>
      <c r="D6" s="70">
        <v>24</v>
      </c>
      <c r="E6" s="1"/>
      <c r="F6" s="1"/>
      <c r="G6" s="1" t="e">
        <f>(F6-$C$9)/E6*1000*Calculation!J7/Calculation!L6</f>
        <v>#DIV/0!</v>
      </c>
    </row>
    <row r="7" spans="1:7">
      <c r="A7" s="68">
        <v>3</v>
      </c>
      <c r="B7" s="69">
        <v>1440</v>
      </c>
      <c r="C7" s="69">
        <v>2880</v>
      </c>
      <c r="D7" s="70">
        <v>48</v>
      </c>
      <c r="E7" s="1"/>
      <c r="F7" s="1"/>
      <c r="G7" s="1" t="e">
        <f>(F7-$C$9)/E7*1000*Calculation!#REF!/Calculation!L7</f>
        <v>#DIV/0!</v>
      </c>
    </row>
    <row r="9" spans="1:7">
      <c r="A9" s="141" t="s">
        <v>3</v>
      </c>
      <c r="B9" s="142"/>
      <c r="C9" s="1"/>
    </row>
    <row r="17" ht="15" customHeight="1"/>
  </sheetData>
  <mergeCells count="5">
    <mergeCell ref="A9:B9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08"/>
  <sheetViews>
    <sheetView topLeftCell="B108" workbookViewId="0">
      <selection activeCell="B5" sqref="B5:B108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9" max="9" width="9.1640625" bestFit="1" customWidth="1"/>
    <col min="10" max="10" width="12" bestFit="1" customWidth="1"/>
    <col min="11" max="11" width="8.5" customWidth="1"/>
  </cols>
  <sheetData>
    <row r="1" spans="1:12">
      <c r="A1" s="24" t="s">
        <v>50</v>
      </c>
      <c r="B1" s="12">
        <v>70</v>
      </c>
      <c r="C1" s="27" t="s">
        <v>51</v>
      </c>
      <c r="D1" s="2"/>
      <c r="E1" s="2"/>
      <c r="F1" s="2"/>
      <c r="G1" s="2"/>
    </row>
    <row r="2" spans="1:12">
      <c r="A2" s="2"/>
      <c r="B2" s="2"/>
      <c r="C2" s="2"/>
      <c r="D2" s="2"/>
      <c r="E2" s="2"/>
      <c r="F2" s="2"/>
      <c r="G2" s="2"/>
    </row>
    <row r="3" spans="1:12">
      <c r="A3" s="118" t="s">
        <v>5</v>
      </c>
      <c r="B3" s="118" t="s">
        <v>36</v>
      </c>
      <c r="C3" s="118"/>
      <c r="D3" s="118" t="s">
        <v>52</v>
      </c>
      <c r="E3" s="118"/>
      <c r="F3" s="118"/>
      <c r="G3" s="24" t="s">
        <v>53</v>
      </c>
    </row>
    <row r="4" spans="1:12" ht="15">
      <c r="A4" s="118"/>
      <c r="B4" s="24" t="s">
        <v>54</v>
      </c>
      <c r="C4" s="24" t="s">
        <v>55</v>
      </c>
      <c r="D4" s="24" t="s">
        <v>56</v>
      </c>
      <c r="E4" s="24" t="s">
        <v>57</v>
      </c>
      <c r="F4" s="24" t="s">
        <v>58</v>
      </c>
      <c r="G4" s="24" t="s">
        <v>59</v>
      </c>
      <c r="L4" s="80"/>
    </row>
    <row r="5" spans="1:12" ht="15">
      <c r="A5" s="12">
        <v>0</v>
      </c>
      <c r="B5" s="12">
        <v>37.799999999999997</v>
      </c>
      <c r="C5" s="12">
        <f t="shared" ref="C5:C36" si="0">B5/1000</f>
        <v>3.78E-2</v>
      </c>
      <c r="D5" s="12">
        <f>C5/1000*$B$1</f>
        <v>2.6459999999999999E-3</v>
      </c>
      <c r="E5" s="12">
        <f>D5/22.4</f>
        <v>1.18125E-4</v>
      </c>
      <c r="F5" s="12">
        <f>E5/Calculation!L$4*1000</f>
        <v>8.2317073170731699E-5</v>
      </c>
      <c r="G5" s="12">
        <f>(0+F5)/2*30</f>
        <v>1.2347560975609754E-3</v>
      </c>
      <c r="I5" s="76">
        <v>-0.16666666666666666</v>
      </c>
      <c r="J5" t="s">
        <v>154</v>
      </c>
      <c r="L5" s="80"/>
    </row>
    <row r="6" spans="1:12" ht="15">
      <c r="A6" s="12">
        <v>0.5</v>
      </c>
      <c r="B6" s="12">
        <v>1.68</v>
      </c>
      <c r="C6" s="12">
        <f t="shared" si="0"/>
        <v>1.6799999999999999E-3</v>
      </c>
      <c r="D6" s="12">
        <f>C6/1000*$B$1</f>
        <v>1.1759999999999999E-4</v>
      </c>
      <c r="E6" s="12">
        <f>D6/22.4</f>
        <v>5.2499999999999997E-6</v>
      </c>
      <c r="F6" s="12">
        <f>E6/Calculation!L$4*1000</f>
        <v>3.6585365853658533E-6</v>
      </c>
      <c r="G6" s="12">
        <f t="shared" ref="G6:G69" si="1">(0+F6)/2*30</f>
        <v>5.4878048780487799E-5</v>
      </c>
      <c r="I6" s="76">
        <v>0.16666666666666666</v>
      </c>
      <c r="J6" t="s">
        <v>155</v>
      </c>
      <c r="L6" s="80"/>
    </row>
    <row r="7" spans="1:12" ht="15">
      <c r="A7" s="12">
        <v>1</v>
      </c>
      <c r="B7" s="12">
        <v>0</v>
      </c>
      <c r="C7" s="12">
        <f t="shared" si="0"/>
        <v>0</v>
      </c>
      <c r="D7" s="12">
        <f t="shared" ref="D7:D69" si="2">C7/1000*$B$1</f>
        <v>0</v>
      </c>
      <c r="E7" s="12">
        <f t="shared" ref="E7:E69" si="3">D7/22.4</f>
        <v>0</v>
      </c>
      <c r="F7" s="12">
        <f>E7/Calculation!L$4*1000</f>
        <v>0</v>
      </c>
      <c r="G7" s="12">
        <f t="shared" si="1"/>
        <v>0</v>
      </c>
      <c r="I7" s="76">
        <v>12</v>
      </c>
      <c r="J7" t="s">
        <v>156</v>
      </c>
      <c r="L7" s="80"/>
    </row>
    <row r="8" spans="1:12" ht="15">
      <c r="A8" s="12">
        <v>1.5</v>
      </c>
      <c r="B8" s="12">
        <v>8.4</v>
      </c>
      <c r="C8" s="12">
        <f t="shared" si="0"/>
        <v>8.4000000000000012E-3</v>
      </c>
      <c r="D8" s="12">
        <f t="shared" si="2"/>
        <v>5.8800000000000009E-4</v>
      </c>
      <c r="E8" s="12">
        <f t="shared" si="3"/>
        <v>2.6250000000000004E-5</v>
      </c>
      <c r="F8" s="12">
        <f>E8/Calculation!L$4*1000</f>
        <v>1.8292682926829271E-5</v>
      </c>
      <c r="G8" s="12">
        <f t="shared" si="1"/>
        <v>2.7439024390243905E-4</v>
      </c>
      <c r="I8" s="76">
        <v>24</v>
      </c>
      <c r="J8" t="s">
        <v>157</v>
      </c>
      <c r="L8" s="80"/>
    </row>
    <row r="9" spans="1:12" ht="15">
      <c r="A9" s="12">
        <v>2</v>
      </c>
      <c r="B9" s="12">
        <v>0</v>
      </c>
      <c r="C9" s="12">
        <f t="shared" si="0"/>
        <v>0</v>
      </c>
      <c r="D9" s="12">
        <f t="shared" si="2"/>
        <v>0</v>
      </c>
      <c r="E9" s="12">
        <f t="shared" si="3"/>
        <v>0</v>
      </c>
      <c r="F9" s="12">
        <f>E9/Calculation!L$4*1000</f>
        <v>0</v>
      </c>
      <c r="G9" s="12">
        <f t="shared" si="1"/>
        <v>0</v>
      </c>
      <c r="I9" s="76">
        <v>48</v>
      </c>
      <c r="J9" t="s">
        <v>158</v>
      </c>
      <c r="L9" s="80"/>
    </row>
    <row r="10" spans="1:12" ht="15">
      <c r="A10" s="12">
        <v>2.5</v>
      </c>
      <c r="B10" s="12">
        <v>0</v>
      </c>
      <c r="C10" s="12">
        <f t="shared" si="0"/>
        <v>0</v>
      </c>
      <c r="D10" s="12">
        <f t="shared" si="2"/>
        <v>0</v>
      </c>
      <c r="E10" s="12">
        <f t="shared" si="3"/>
        <v>0</v>
      </c>
      <c r="F10" s="12">
        <f>E10/Calculation!L$4*1000</f>
        <v>0</v>
      </c>
      <c r="G10" s="12">
        <f t="shared" si="1"/>
        <v>0</v>
      </c>
      <c r="L10" s="80"/>
    </row>
    <row r="11" spans="1:12" ht="15">
      <c r="A11" s="12">
        <v>3</v>
      </c>
      <c r="B11" s="12">
        <v>0.84</v>
      </c>
      <c r="C11" s="12">
        <f t="shared" si="0"/>
        <v>8.3999999999999993E-4</v>
      </c>
      <c r="D11" s="12">
        <f t="shared" si="2"/>
        <v>5.8799999999999993E-5</v>
      </c>
      <c r="E11" s="12">
        <f t="shared" si="3"/>
        <v>2.6249999999999999E-6</v>
      </c>
      <c r="F11" s="12">
        <f>E11/Calculation!L$4*1000</f>
        <v>1.8292682926829266E-6</v>
      </c>
      <c r="G11" s="12">
        <f t="shared" si="1"/>
        <v>2.74390243902439E-5</v>
      </c>
      <c r="L11" s="80"/>
    </row>
    <row r="12" spans="1:12" ht="15">
      <c r="A12" s="12">
        <v>3.5</v>
      </c>
      <c r="B12" s="12">
        <v>5.04</v>
      </c>
      <c r="C12" s="12">
        <f t="shared" si="0"/>
        <v>5.0400000000000002E-3</v>
      </c>
      <c r="D12" s="12">
        <f t="shared" si="2"/>
        <v>3.5280000000000001E-4</v>
      </c>
      <c r="E12" s="12">
        <f t="shared" si="3"/>
        <v>1.575E-5</v>
      </c>
      <c r="F12" s="12">
        <f>E12/Calculation!L$4*1000</f>
        <v>1.097560975609756E-5</v>
      </c>
      <c r="G12" s="12">
        <f t="shared" si="1"/>
        <v>1.646341463414634E-4</v>
      </c>
      <c r="L12" s="80"/>
    </row>
    <row r="13" spans="1:12" ht="15">
      <c r="A13" s="12">
        <v>4</v>
      </c>
      <c r="B13" s="12">
        <v>0</v>
      </c>
      <c r="C13" s="12">
        <f t="shared" si="0"/>
        <v>0</v>
      </c>
      <c r="D13" s="12">
        <f t="shared" si="2"/>
        <v>0</v>
      </c>
      <c r="E13" s="12">
        <f t="shared" si="3"/>
        <v>0</v>
      </c>
      <c r="F13" s="12">
        <f>E13/Calculation!L$4*1000</f>
        <v>0</v>
      </c>
      <c r="G13" s="12">
        <f t="shared" si="1"/>
        <v>0</v>
      </c>
      <c r="L13" s="80"/>
    </row>
    <row r="14" spans="1:12" ht="15">
      <c r="A14" s="12">
        <v>4.5</v>
      </c>
      <c r="B14" s="12">
        <v>34.44</v>
      </c>
      <c r="C14" s="12">
        <f t="shared" si="0"/>
        <v>3.4439999999999998E-2</v>
      </c>
      <c r="D14" s="12">
        <f t="shared" si="2"/>
        <v>2.4107999999999998E-3</v>
      </c>
      <c r="E14" s="12">
        <f t="shared" si="3"/>
        <v>1.07625E-4</v>
      </c>
      <c r="F14" s="12">
        <f>E14/Calculation!L$4*1000</f>
        <v>7.4999999999999993E-5</v>
      </c>
      <c r="G14" s="12">
        <f t="shared" si="1"/>
        <v>1.1249999999999999E-3</v>
      </c>
      <c r="L14" s="80"/>
    </row>
    <row r="15" spans="1:12" ht="15">
      <c r="A15" s="12">
        <v>5</v>
      </c>
      <c r="B15" s="12">
        <v>0</v>
      </c>
      <c r="C15" s="12">
        <f t="shared" si="0"/>
        <v>0</v>
      </c>
      <c r="D15" s="12">
        <f t="shared" si="2"/>
        <v>0</v>
      </c>
      <c r="E15" s="12">
        <f t="shared" si="3"/>
        <v>0</v>
      </c>
      <c r="F15" s="12">
        <f>E15/Calculation!L$4*1000</f>
        <v>0</v>
      </c>
      <c r="G15" s="12">
        <f t="shared" si="1"/>
        <v>0</v>
      </c>
      <c r="L15" s="80"/>
    </row>
    <row r="16" spans="1:12" ht="15">
      <c r="A16" s="12">
        <v>5.5</v>
      </c>
      <c r="B16" s="12">
        <v>7.56</v>
      </c>
      <c r="C16" s="12">
        <f t="shared" si="0"/>
        <v>7.5599999999999999E-3</v>
      </c>
      <c r="D16" s="12">
        <f t="shared" si="2"/>
        <v>5.2919999999999996E-4</v>
      </c>
      <c r="E16" s="12">
        <f t="shared" si="3"/>
        <v>2.3624999999999998E-5</v>
      </c>
      <c r="F16" s="12">
        <f>E16/Calculation!L$4*1000</f>
        <v>1.6463414634146341E-5</v>
      </c>
      <c r="G16" s="12">
        <f t="shared" si="1"/>
        <v>2.4695121951219512E-4</v>
      </c>
      <c r="L16" s="80"/>
    </row>
    <row r="17" spans="1:12" ht="15">
      <c r="A17" s="12">
        <v>6</v>
      </c>
      <c r="B17" s="12">
        <v>21</v>
      </c>
      <c r="C17" s="12">
        <f t="shared" si="0"/>
        <v>2.1000000000000001E-2</v>
      </c>
      <c r="D17" s="12">
        <f t="shared" si="2"/>
        <v>1.4700000000000002E-3</v>
      </c>
      <c r="E17" s="12">
        <f t="shared" si="3"/>
        <v>6.5625000000000009E-5</v>
      </c>
      <c r="F17" s="12">
        <f>E17/Calculation!L$4*1000</f>
        <v>4.5731707317073177E-5</v>
      </c>
      <c r="G17" s="12">
        <f t="shared" si="1"/>
        <v>6.8597560975609763E-4</v>
      </c>
      <c r="L17" s="80"/>
    </row>
    <row r="18" spans="1:12" ht="15">
      <c r="A18" s="12">
        <v>6.5</v>
      </c>
      <c r="B18" s="12">
        <v>1.68</v>
      </c>
      <c r="C18" s="12">
        <f t="shared" si="0"/>
        <v>1.6799999999999999E-3</v>
      </c>
      <c r="D18" s="12">
        <f t="shared" si="2"/>
        <v>1.1759999999999999E-4</v>
      </c>
      <c r="E18" s="12">
        <f t="shared" si="3"/>
        <v>5.2499999999999997E-6</v>
      </c>
      <c r="F18" s="12">
        <f>E18/Calculation!L$4*1000</f>
        <v>3.6585365853658533E-6</v>
      </c>
      <c r="G18" s="12">
        <f t="shared" si="1"/>
        <v>5.4878048780487799E-5</v>
      </c>
      <c r="L18" s="80"/>
    </row>
    <row r="19" spans="1:12" ht="15">
      <c r="A19" s="12">
        <v>7</v>
      </c>
      <c r="B19" s="12">
        <v>2.52</v>
      </c>
      <c r="C19" s="12">
        <f t="shared" si="0"/>
        <v>2.5200000000000001E-3</v>
      </c>
      <c r="D19" s="12">
        <f t="shared" si="2"/>
        <v>1.7640000000000001E-4</v>
      </c>
      <c r="E19" s="12">
        <f t="shared" si="3"/>
        <v>7.875E-6</v>
      </c>
      <c r="F19" s="12">
        <f>E19/Calculation!L$4*1000</f>
        <v>5.4878048780487801E-6</v>
      </c>
      <c r="G19" s="12">
        <f t="shared" si="1"/>
        <v>8.2317073170731699E-5</v>
      </c>
      <c r="L19" s="80"/>
    </row>
    <row r="20" spans="1:12" ht="15">
      <c r="A20" s="12">
        <v>7.5</v>
      </c>
      <c r="B20" s="12">
        <v>11.76</v>
      </c>
      <c r="C20" s="12">
        <f t="shared" si="0"/>
        <v>1.176E-2</v>
      </c>
      <c r="D20" s="12">
        <f t="shared" si="2"/>
        <v>8.2319999999999995E-4</v>
      </c>
      <c r="E20" s="12">
        <f t="shared" si="3"/>
        <v>3.6749999999999999E-5</v>
      </c>
      <c r="F20" s="12">
        <f>E20/Calculation!L$4*1000</f>
        <v>2.5609756097560973E-5</v>
      </c>
      <c r="G20" s="12">
        <f t="shared" si="1"/>
        <v>3.841463414634146E-4</v>
      </c>
      <c r="L20" s="80"/>
    </row>
    <row r="21" spans="1:12" ht="15">
      <c r="A21" s="12">
        <v>8</v>
      </c>
      <c r="B21" s="12">
        <v>3.36</v>
      </c>
      <c r="C21" s="12">
        <f t="shared" si="0"/>
        <v>3.3599999999999997E-3</v>
      </c>
      <c r="D21" s="12">
        <f t="shared" si="2"/>
        <v>2.3519999999999997E-4</v>
      </c>
      <c r="E21" s="12">
        <f t="shared" si="3"/>
        <v>1.0499999999999999E-5</v>
      </c>
      <c r="F21" s="12">
        <f>E21/Calculation!L$4*1000</f>
        <v>7.3170731707317065E-6</v>
      </c>
      <c r="G21" s="12">
        <f t="shared" si="1"/>
        <v>1.097560975609756E-4</v>
      </c>
      <c r="L21" s="80"/>
    </row>
    <row r="22" spans="1:12" ht="15">
      <c r="A22" s="12">
        <v>8.5</v>
      </c>
      <c r="B22" s="12">
        <v>1.68</v>
      </c>
      <c r="C22" s="12">
        <f t="shared" si="0"/>
        <v>1.6799999999999999E-3</v>
      </c>
      <c r="D22" s="12">
        <f t="shared" si="2"/>
        <v>1.1759999999999999E-4</v>
      </c>
      <c r="E22" s="12">
        <f t="shared" si="3"/>
        <v>5.2499999999999997E-6</v>
      </c>
      <c r="F22" s="12">
        <f>E22/Calculation!L$4*1000</f>
        <v>3.6585365853658533E-6</v>
      </c>
      <c r="G22" s="12">
        <f t="shared" si="1"/>
        <v>5.4878048780487799E-5</v>
      </c>
      <c r="L22" s="80"/>
    </row>
    <row r="23" spans="1:12" ht="15">
      <c r="A23" s="12">
        <v>9</v>
      </c>
      <c r="B23" s="12">
        <v>5.04</v>
      </c>
      <c r="C23" s="12">
        <f t="shared" si="0"/>
        <v>5.0400000000000002E-3</v>
      </c>
      <c r="D23" s="12">
        <f t="shared" si="2"/>
        <v>3.5280000000000001E-4</v>
      </c>
      <c r="E23" s="12">
        <f t="shared" si="3"/>
        <v>1.575E-5</v>
      </c>
      <c r="F23" s="12">
        <f>E23/Calculation!L$4*1000</f>
        <v>1.097560975609756E-5</v>
      </c>
      <c r="G23" s="12">
        <f t="shared" si="1"/>
        <v>1.646341463414634E-4</v>
      </c>
      <c r="L23" s="80"/>
    </row>
    <row r="24" spans="1:12" ht="15">
      <c r="A24" s="12">
        <v>9.5</v>
      </c>
      <c r="B24" s="12">
        <v>9.24</v>
      </c>
      <c r="C24" s="12">
        <f t="shared" si="0"/>
        <v>9.2399999999999999E-3</v>
      </c>
      <c r="D24" s="12">
        <f t="shared" si="2"/>
        <v>6.468E-4</v>
      </c>
      <c r="E24" s="12">
        <f t="shared" si="3"/>
        <v>2.8875000000000001E-5</v>
      </c>
      <c r="F24" s="12">
        <f>E24/Calculation!L$4*1000</f>
        <v>2.0121951219512194E-5</v>
      </c>
      <c r="G24" s="12">
        <f t="shared" si="1"/>
        <v>3.0182926829268292E-4</v>
      </c>
      <c r="L24" s="80"/>
    </row>
    <row r="25" spans="1:12" ht="15">
      <c r="A25" s="12">
        <v>10</v>
      </c>
      <c r="B25" s="12">
        <v>0.84</v>
      </c>
      <c r="C25" s="12">
        <f t="shared" si="0"/>
        <v>8.3999999999999993E-4</v>
      </c>
      <c r="D25" s="12">
        <f t="shared" si="2"/>
        <v>5.8799999999999993E-5</v>
      </c>
      <c r="E25" s="12">
        <f t="shared" si="3"/>
        <v>2.6249999999999999E-6</v>
      </c>
      <c r="F25" s="12">
        <f>E25/Calculation!L$4*1000</f>
        <v>1.8292682926829266E-6</v>
      </c>
      <c r="G25" s="12">
        <f t="shared" si="1"/>
        <v>2.74390243902439E-5</v>
      </c>
      <c r="L25" s="80"/>
    </row>
    <row r="26" spans="1:12" ht="15">
      <c r="A26" s="12">
        <v>10.5</v>
      </c>
      <c r="B26" s="12">
        <v>0</v>
      </c>
      <c r="C26" s="12">
        <f t="shared" si="0"/>
        <v>0</v>
      </c>
      <c r="D26" s="12">
        <f t="shared" si="2"/>
        <v>0</v>
      </c>
      <c r="E26" s="12">
        <f t="shared" si="3"/>
        <v>0</v>
      </c>
      <c r="F26" s="12">
        <f>E26/Calculation!L$4*1000</f>
        <v>0</v>
      </c>
      <c r="G26" s="12">
        <f t="shared" si="1"/>
        <v>0</v>
      </c>
      <c r="L26" s="80"/>
    </row>
    <row r="27" spans="1:12" ht="15">
      <c r="A27" s="12">
        <v>11</v>
      </c>
      <c r="B27" s="12">
        <v>47.88</v>
      </c>
      <c r="C27" s="12">
        <f t="shared" si="0"/>
        <v>4.7880000000000006E-2</v>
      </c>
      <c r="D27" s="12">
        <f t="shared" si="2"/>
        <v>3.3516000000000006E-3</v>
      </c>
      <c r="E27" s="12">
        <f t="shared" si="3"/>
        <v>1.4962500000000005E-4</v>
      </c>
      <c r="F27" s="12">
        <f>E27/Calculation!L$4*1000</f>
        <v>1.0426829268292686E-4</v>
      </c>
      <c r="G27" s="12">
        <f t="shared" si="1"/>
        <v>1.564024390243903E-3</v>
      </c>
      <c r="L27" s="80"/>
    </row>
    <row r="28" spans="1:12" ht="15">
      <c r="A28" s="12">
        <v>11.5</v>
      </c>
      <c r="B28" s="12">
        <v>0.84</v>
      </c>
      <c r="C28" s="12">
        <f t="shared" si="0"/>
        <v>8.3999999999999993E-4</v>
      </c>
      <c r="D28" s="12">
        <f t="shared" si="2"/>
        <v>5.8799999999999993E-5</v>
      </c>
      <c r="E28" s="12">
        <f t="shared" si="3"/>
        <v>2.6249999999999999E-6</v>
      </c>
      <c r="F28" s="12">
        <f>E28/Calculation!L$4*1000</f>
        <v>1.8292682926829266E-6</v>
      </c>
      <c r="G28" s="12">
        <f t="shared" si="1"/>
        <v>2.74390243902439E-5</v>
      </c>
      <c r="L28" s="80"/>
    </row>
    <row r="29" spans="1:12" ht="15">
      <c r="A29" s="12">
        <v>12</v>
      </c>
      <c r="B29" s="12">
        <v>4.2</v>
      </c>
      <c r="C29" s="12">
        <f t="shared" si="0"/>
        <v>4.2000000000000006E-3</v>
      </c>
      <c r="D29" s="12">
        <f t="shared" si="2"/>
        <v>2.9400000000000004E-4</v>
      </c>
      <c r="E29" s="12">
        <f t="shared" si="3"/>
        <v>1.3125000000000002E-5</v>
      </c>
      <c r="F29" s="12">
        <f>E29/Calculation!L$5*1000</f>
        <v>9.4729965156794449E-6</v>
      </c>
      <c r="G29" s="12">
        <f t="shared" si="1"/>
        <v>1.4209494773519167E-4</v>
      </c>
      <c r="L29" s="80"/>
    </row>
    <row r="30" spans="1:12" ht="15">
      <c r="A30" s="12">
        <v>12.5</v>
      </c>
      <c r="B30" s="12">
        <v>5.04</v>
      </c>
      <c r="C30" s="12">
        <f t="shared" si="0"/>
        <v>5.0400000000000002E-3</v>
      </c>
      <c r="D30" s="12">
        <f t="shared" si="2"/>
        <v>3.5280000000000001E-4</v>
      </c>
      <c r="E30" s="12">
        <f t="shared" si="3"/>
        <v>1.575E-5</v>
      </c>
      <c r="F30" s="12">
        <f>E30/Calculation!L$5*1000</f>
        <v>1.1367595818815331E-5</v>
      </c>
      <c r="G30" s="12">
        <f t="shared" si="1"/>
        <v>1.7051393728222998E-4</v>
      </c>
      <c r="L30" s="80"/>
    </row>
    <row r="31" spans="1:12" ht="15">
      <c r="A31" s="12">
        <v>13</v>
      </c>
      <c r="B31" s="12">
        <v>1.68</v>
      </c>
      <c r="C31" s="12">
        <f t="shared" si="0"/>
        <v>1.6799999999999999E-3</v>
      </c>
      <c r="D31" s="12">
        <f t="shared" si="2"/>
        <v>1.1759999999999999E-4</v>
      </c>
      <c r="E31" s="12">
        <f t="shared" si="3"/>
        <v>5.2499999999999997E-6</v>
      </c>
      <c r="F31" s="12">
        <f>E31/Calculation!L$5*1000</f>
        <v>3.7891986062717772E-6</v>
      </c>
      <c r="G31" s="12">
        <f t="shared" si="1"/>
        <v>5.6837979094076659E-5</v>
      </c>
      <c r="L31" s="80"/>
    </row>
    <row r="32" spans="1:12" ht="15">
      <c r="A32" s="12">
        <v>13.5</v>
      </c>
      <c r="B32" s="12">
        <v>0</v>
      </c>
      <c r="C32" s="12">
        <f t="shared" si="0"/>
        <v>0</v>
      </c>
      <c r="D32" s="12">
        <f t="shared" si="2"/>
        <v>0</v>
      </c>
      <c r="E32" s="12">
        <f t="shared" si="3"/>
        <v>0</v>
      </c>
      <c r="F32" s="12">
        <f>E32/Calculation!L$5*1000</f>
        <v>0</v>
      </c>
      <c r="G32" s="12">
        <f t="shared" si="1"/>
        <v>0</v>
      </c>
      <c r="L32" s="80"/>
    </row>
    <row r="33" spans="1:12" ht="15">
      <c r="A33" s="12">
        <v>14</v>
      </c>
      <c r="B33" s="12">
        <v>15.12</v>
      </c>
      <c r="C33" s="12">
        <f t="shared" si="0"/>
        <v>1.512E-2</v>
      </c>
      <c r="D33" s="12">
        <f t="shared" si="2"/>
        <v>1.0583999999999999E-3</v>
      </c>
      <c r="E33" s="12">
        <f t="shared" si="3"/>
        <v>4.7249999999999997E-5</v>
      </c>
      <c r="F33" s="12">
        <f>E33/Calculation!L$5*1000</f>
        <v>3.410278745644599E-5</v>
      </c>
      <c r="G33" s="12">
        <f t="shared" si="1"/>
        <v>5.1154181184668982E-4</v>
      </c>
      <c r="L33" s="80"/>
    </row>
    <row r="34" spans="1:12" ht="15">
      <c r="A34" s="12">
        <v>14.5</v>
      </c>
      <c r="B34" s="12">
        <v>0</v>
      </c>
      <c r="C34" s="12">
        <f t="shared" si="0"/>
        <v>0</v>
      </c>
      <c r="D34" s="12">
        <f t="shared" si="2"/>
        <v>0</v>
      </c>
      <c r="E34" s="12">
        <f t="shared" si="3"/>
        <v>0</v>
      </c>
      <c r="F34" s="12">
        <f>E34/Calculation!L$5*1000</f>
        <v>0</v>
      </c>
      <c r="G34" s="12">
        <f t="shared" si="1"/>
        <v>0</v>
      </c>
      <c r="L34" s="80"/>
    </row>
    <row r="35" spans="1:12" ht="15">
      <c r="A35" s="12">
        <v>15</v>
      </c>
      <c r="B35" s="12">
        <v>0</v>
      </c>
      <c r="C35" s="12">
        <f t="shared" si="0"/>
        <v>0</v>
      </c>
      <c r="D35" s="12">
        <f t="shared" si="2"/>
        <v>0</v>
      </c>
      <c r="E35" s="12">
        <f t="shared" si="3"/>
        <v>0</v>
      </c>
      <c r="F35" s="12">
        <f>E35/Calculation!L$5*1000</f>
        <v>0</v>
      </c>
      <c r="G35" s="12">
        <f t="shared" si="1"/>
        <v>0</v>
      </c>
      <c r="L35" s="80"/>
    </row>
    <row r="36" spans="1:12" ht="15">
      <c r="A36" s="12">
        <v>15.5</v>
      </c>
      <c r="B36" s="12">
        <v>0.84</v>
      </c>
      <c r="C36" s="12">
        <f t="shared" si="0"/>
        <v>8.3999999999999993E-4</v>
      </c>
      <c r="D36" s="12">
        <f t="shared" si="2"/>
        <v>5.8799999999999993E-5</v>
      </c>
      <c r="E36" s="12">
        <f t="shared" si="3"/>
        <v>2.6249999999999999E-6</v>
      </c>
      <c r="F36" s="12">
        <f>E36/Calculation!L$5*1000</f>
        <v>1.8945993031358886E-6</v>
      </c>
      <c r="G36" s="12">
        <f t="shared" si="1"/>
        <v>2.841898954703833E-5</v>
      </c>
      <c r="L36" s="80"/>
    </row>
    <row r="37" spans="1:12" ht="15">
      <c r="A37" s="12">
        <v>16</v>
      </c>
      <c r="B37" s="12">
        <v>7.56</v>
      </c>
      <c r="C37" s="12">
        <f t="shared" ref="C37:C68" si="4">B37/1000</f>
        <v>7.5599999999999999E-3</v>
      </c>
      <c r="D37" s="12">
        <f t="shared" si="2"/>
        <v>5.2919999999999996E-4</v>
      </c>
      <c r="E37" s="12">
        <f t="shared" si="3"/>
        <v>2.3624999999999998E-5</v>
      </c>
      <c r="F37" s="12">
        <f>E37/Calculation!L$5*1000</f>
        <v>1.7051393728222995E-5</v>
      </c>
      <c r="G37" s="12">
        <f t="shared" si="1"/>
        <v>2.5577090592334491E-4</v>
      </c>
      <c r="L37" s="80"/>
    </row>
    <row r="38" spans="1:12" ht="15">
      <c r="A38" s="12">
        <v>16.5</v>
      </c>
      <c r="B38" s="12">
        <v>0.84</v>
      </c>
      <c r="C38" s="12">
        <f t="shared" si="4"/>
        <v>8.3999999999999993E-4</v>
      </c>
      <c r="D38" s="12">
        <f t="shared" si="2"/>
        <v>5.8799999999999993E-5</v>
      </c>
      <c r="E38" s="12">
        <f t="shared" si="3"/>
        <v>2.6249999999999999E-6</v>
      </c>
      <c r="F38" s="12">
        <f>E38/Calculation!L$5*1000</f>
        <v>1.8945993031358886E-6</v>
      </c>
      <c r="G38" s="12">
        <f t="shared" si="1"/>
        <v>2.841898954703833E-5</v>
      </c>
      <c r="L38" s="80"/>
    </row>
    <row r="39" spans="1:12" ht="15">
      <c r="A39" s="12">
        <v>17</v>
      </c>
      <c r="B39" s="12">
        <v>2.52</v>
      </c>
      <c r="C39" s="12">
        <f t="shared" si="4"/>
        <v>2.5200000000000001E-3</v>
      </c>
      <c r="D39" s="12">
        <f t="shared" si="2"/>
        <v>1.7640000000000001E-4</v>
      </c>
      <c r="E39" s="12">
        <f t="shared" si="3"/>
        <v>7.875E-6</v>
      </c>
      <c r="F39" s="12">
        <f>E39/Calculation!L$5*1000</f>
        <v>5.6837979094076656E-6</v>
      </c>
      <c r="G39" s="12">
        <f t="shared" si="1"/>
        <v>8.5256968641114989E-5</v>
      </c>
      <c r="L39" s="80"/>
    </row>
    <row r="40" spans="1:12" ht="15">
      <c r="A40" s="12">
        <v>17.5</v>
      </c>
      <c r="B40" s="12">
        <v>8.4</v>
      </c>
      <c r="C40" s="12">
        <f t="shared" si="4"/>
        <v>8.4000000000000012E-3</v>
      </c>
      <c r="D40" s="12">
        <f t="shared" si="2"/>
        <v>5.8800000000000009E-4</v>
      </c>
      <c r="E40" s="12">
        <f t="shared" si="3"/>
        <v>2.6250000000000004E-5</v>
      </c>
      <c r="F40" s="12">
        <f>E40/Calculation!L$5*1000</f>
        <v>1.894599303135889E-5</v>
      </c>
      <c r="G40" s="12">
        <f t="shared" si="1"/>
        <v>2.8418989547038335E-4</v>
      </c>
      <c r="L40" s="80"/>
    </row>
    <row r="41" spans="1:12" ht="15">
      <c r="A41" s="12">
        <v>18</v>
      </c>
      <c r="B41" s="12">
        <v>8.4</v>
      </c>
      <c r="C41" s="12">
        <f t="shared" si="4"/>
        <v>8.4000000000000012E-3</v>
      </c>
      <c r="D41" s="12">
        <f t="shared" si="2"/>
        <v>5.8800000000000009E-4</v>
      </c>
      <c r="E41" s="12">
        <f t="shared" si="3"/>
        <v>2.6250000000000004E-5</v>
      </c>
      <c r="F41" s="12">
        <f>E41/Calculation!L$5*1000</f>
        <v>1.894599303135889E-5</v>
      </c>
      <c r="G41" s="12">
        <f t="shared" si="1"/>
        <v>2.8418989547038335E-4</v>
      </c>
      <c r="L41" s="80"/>
    </row>
    <row r="42" spans="1:12" ht="15">
      <c r="A42" s="12">
        <v>18.5</v>
      </c>
      <c r="B42" s="12">
        <v>3.36</v>
      </c>
      <c r="C42" s="12">
        <f t="shared" si="4"/>
        <v>3.3599999999999997E-3</v>
      </c>
      <c r="D42" s="12">
        <f t="shared" si="2"/>
        <v>2.3519999999999997E-4</v>
      </c>
      <c r="E42" s="12">
        <f t="shared" si="3"/>
        <v>1.0499999999999999E-5</v>
      </c>
      <c r="F42" s="12">
        <f>E42/Calculation!L$5*1000</f>
        <v>7.5783972125435544E-6</v>
      </c>
      <c r="G42" s="12">
        <f t="shared" si="1"/>
        <v>1.1367595818815332E-4</v>
      </c>
      <c r="L42" s="80"/>
    </row>
    <row r="43" spans="1:12" ht="15">
      <c r="A43" s="12">
        <v>19</v>
      </c>
      <c r="B43" s="12">
        <v>2.52</v>
      </c>
      <c r="C43" s="12">
        <f t="shared" si="4"/>
        <v>2.5200000000000001E-3</v>
      </c>
      <c r="D43" s="12">
        <f t="shared" si="2"/>
        <v>1.7640000000000001E-4</v>
      </c>
      <c r="E43" s="12">
        <f t="shared" si="3"/>
        <v>7.875E-6</v>
      </c>
      <c r="F43" s="12">
        <f>E43/Calculation!L$5*1000</f>
        <v>5.6837979094076656E-6</v>
      </c>
      <c r="G43" s="12">
        <f t="shared" si="1"/>
        <v>8.5256968641114989E-5</v>
      </c>
      <c r="L43" s="80"/>
    </row>
    <row r="44" spans="1:12" ht="15">
      <c r="A44" s="12">
        <v>19.5</v>
      </c>
      <c r="B44" s="12">
        <v>0</v>
      </c>
      <c r="C44" s="12">
        <f t="shared" si="4"/>
        <v>0</v>
      </c>
      <c r="D44" s="12">
        <f t="shared" si="2"/>
        <v>0</v>
      </c>
      <c r="E44" s="12">
        <f t="shared" si="3"/>
        <v>0</v>
      </c>
      <c r="F44" s="12">
        <f>E44/Calculation!L$5*1000</f>
        <v>0</v>
      </c>
      <c r="G44" s="12">
        <f t="shared" si="1"/>
        <v>0</v>
      </c>
      <c r="L44" s="80"/>
    </row>
    <row r="45" spans="1:12" ht="15">
      <c r="A45" s="12">
        <v>20</v>
      </c>
      <c r="B45" s="12">
        <v>1.68</v>
      </c>
      <c r="C45" s="12">
        <f t="shared" si="4"/>
        <v>1.6799999999999999E-3</v>
      </c>
      <c r="D45" s="12">
        <f t="shared" si="2"/>
        <v>1.1759999999999999E-4</v>
      </c>
      <c r="E45" s="12">
        <f t="shared" si="3"/>
        <v>5.2499999999999997E-6</v>
      </c>
      <c r="F45" s="12">
        <f>E45/Calculation!L$5*1000</f>
        <v>3.7891986062717772E-6</v>
      </c>
      <c r="G45" s="12">
        <f t="shared" si="1"/>
        <v>5.6837979094076659E-5</v>
      </c>
      <c r="L45" s="80"/>
    </row>
    <row r="46" spans="1:12" ht="15">
      <c r="A46" s="12">
        <v>20.5</v>
      </c>
      <c r="B46" s="12">
        <v>1.68</v>
      </c>
      <c r="C46" s="12">
        <f t="shared" si="4"/>
        <v>1.6799999999999999E-3</v>
      </c>
      <c r="D46" s="12">
        <f t="shared" si="2"/>
        <v>1.1759999999999999E-4</v>
      </c>
      <c r="E46" s="12">
        <f t="shared" si="3"/>
        <v>5.2499999999999997E-6</v>
      </c>
      <c r="F46" s="12">
        <f>E46/Calculation!L$5*1000</f>
        <v>3.7891986062717772E-6</v>
      </c>
      <c r="G46" s="12">
        <f t="shared" si="1"/>
        <v>5.6837979094076659E-5</v>
      </c>
      <c r="L46" s="80"/>
    </row>
    <row r="47" spans="1:12" ht="15">
      <c r="A47" s="12">
        <v>21</v>
      </c>
      <c r="B47" s="12">
        <v>0</v>
      </c>
      <c r="C47" s="12">
        <f t="shared" si="4"/>
        <v>0</v>
      </c>
      <c r="D47" s="12">
        <f t="shared" si="2"/>
        <v>0</v>
      </c>
      <c r="E47" s="12">
        <f t="shared" si="3"/>
        <v>0</v>
      </c>
      <c r="F47" s="12">
        <f>E47/Calculation!L$5*1000</f>
        <v>0</v>
      </c>
      <c r="G47" s="12">
        <f t="shared" si="1"/>
        <v>0</v>
      </c>
      <c r="L47" s="80"/>
    </row>
    <row r="48" spans="1:12" ht="15">
      <c r="A48" s="12">
        <v>21.5</v>
      </c>
      <c r="B48" s="12">
        <v>0</v>
      </c>
      <c r="C48" s="12">
        <f t="shared" si="4"/>
        <v>0</v>
      </c>
      <c r="D48" s="12">
        <f t="shared" si="2"/>
        <v>0</v>
      </c>
      <c r="E48" s="12">
        <f t="shared" si="3"/>
        <v>0</v>
      </c>
      <c r="F48" s="12">
        <f>E48/Calculation!L$5*1000</f>
        <v>0</v>
      </c>
      <c r="G48" s="12">
        <f t="shared" si="1"/>
        <v>0</v>
      </c>
      <c r="L48" s="80"/>
    </row>
    <row r="49" spans="1:12" ht="15">
      <c r="A49" s="12">
        <v>22</v>
      </c>
      <c r="B49" s="12">
        <v>1.68</v>
      </c>
      <c r="C49" s="12">
        <f t="shared" si="4"/>
        <v>1.6799999999999999E-3</v>
      </c>
      <c r="D49" s="12">
        <f t="shared" si="2"/>
        <v>1.1759999999999999E-4</v>
      </c>
      <c r="E49" s="12">
        <f t="shared" si="3"/>
        <v>5.2499999999999997E-6</v>
      </c>
      <c r="F49" s="12">
        <f>E49/Calculation!L$5*1000</f>
        <v>3.7891986062717772E-6</v>
      </c>
      <c r="G49" s="12">
        <f t="shared" si="1"/>
        <v>5.6837979094076659E-5</v>
      </c>
      <c r="L49" s="80"/>
    </row>
    <row r="50" spans="1:12" ht="15">
      <c r="A50" s="12">
        <v>22.5</v>
      </c>
      <c r="B50" s="12">
        <v>1.68</v>
      </c>
      <c r="C50" s="12">
        <f t="shared" si="4"/>
        <v>1.6799999999999999E-3</v>
      </c>
      <c r="D50" s="12">
        <f t="shared" si="2"/>
        <v>1.1759999999999999E-4</v>
      </c>
      <c r="E50" s="12">
        <f t="shared" si="3"/>
        <v>5.2499999999999997E-6</v>
      </c>
      <c r="F50" s="12">
        <f>E50/Calculation!L$5*1000</f>
        <v>3.7891986062717772E-6</v>
      </c>
      <c r="G50" s="12">
        <f t="shared" si="1"/>
        <v>5.6837979094076659E-5</v>
      </c>
      <c r="L50" s="80"/>
    </row>
    <row r="51" spans="1:12" ht="15">
      <c r="A51" s="12">
        <v>23</v>
      </c>
      <c r="B51" s="12">
        <v>0.84</v>
      </c>
      <c r="C51" s="12">
        <f t="shared" si="4"/>
        <v>8.3999999999999993E-4</v>
      </c>
      <c r="D51" s="12">
        <f t="shared" si="2"/>
        <v>5.8799999999999993E-5</v>
      </c>
      <c r="E51" s="12">
        <f t="shared" si="3"/>
        <v>2.6249999999999999E-6</v>
      </c>
      <c r="F51" s="12">
        <f>E51/Calculation!L$5*1000</f>
        <v>1.8945993031358886E-6</v>
      </c>
      <c r="G51" s="12">
        <f t="shared" si="1"/>
        <v>2.841898954703833E-5</v>
      </c>
      <c r="L51" s="80"/>
    </row>
    <row r="52" spans="1:12" ht="15">
      <c r="A52" s="12">
        <v>23.5</v>
      </c>
      <c r="B52" s="12">
        <v>1.68</v>
      </c>
      <c r="C52" s="12">
        <f t="shared" si="4"/>
        <v>1.6799999999999999E-3</v>
      </c>
      <c r="D52" s="12">
        <f t="shared" si="2"/>
        <v>1.1759999999999999E-4</v>
      </c>
      <c r="E52" s="12">
        <f t="shared" si="3"/>
        <v>5.2499999999999997E-6</v>
      </c>
      <c r="F52" s="12">
        <f>E52/Calculation!L$5*1000</f>
        <v>3.7891986062717772E-6</v>
      </c>
      <c r="G52" s="12">
        <f t="shared" si="1"/>
        <v>5.6837979094076659E-5</v>
      </c>
      <c r="L52" s="80"/>
    </row>
    <row r="53" spans="1:12" ht="15">
      <c r="A53" s="12">
        <v>24</v>
      </c>
      <c r="B53" s="12">
        <v>3.36</v>
      </c>
      <c r="C53" s="12">
        <f t="shared" si="4"/>
        <v>3.3599999999999997E-3</v>
      </c>
      <c r="D53" s="12">
        <f t="shared" si="2"/>
        <v>2.3519999999999997E-4</v>
      </c>
      <c r="E53" s="12">
        <f t="shared" si="3"/>
        <v>1.0499999999999999E-5</v>
      </c>
      <c r="F53" s="12">
        <f>E53/Calculation!L$6*1000</f>
        <v>7.9157916089924098E-6</v>
      </c>
      <c r="G53" s="12">
        <f t="shared" si="1"/>
        <v>1.1873687413488615E-4</v>
      </c>
      <c r="L53" s="80"/>
    </row>
    <row r="54" spans="1:12" ht="15">
      <c r="A54" s="12">
        <v>24.5</v>
      </c>
      <c r="B54" s="12">
        <v>10.08</v>
      </c>
      <c r="C54" s="12">
        <f t="shared" si="4"/>
        <v>1.008E-2</v>
      </c>
      <c r="D54" s="12">
        <f t="shared" si="2"/>
        <v>7.0560000000000002E-4</v>
      </c>
      <c r="E54" s="12">
        <f t="shared" si="3"/>
        <v>3.15E-5</v>
      </c>
      <c r="F54" s="12">
        <f>E54/Calculation!L$6*1000</f>
        <v>2.3747374826977234E-5</v>
      </c>
      <c r="G54" s="12">
        <f t="shared" si="1"/>
        <v>3.562106224046585E-4</v>
      </c>
      <c r="L54" s="80"/>
    </row>
    <row r="55" spans="1:12" ht="15">
      <c r="A55" s="12">
        <v>25</v>
      </c>
      <c r="B55" s="12">
        <v>4.2</v>
      </c>
      <c r="C55" s="12">
        <f t="shared" si="4"/>
        <v>4.2000000000000006E-3</v>
      </c>
      <c r="D55" s="12">
        <f t="shared" si="2"/>
        <v>2.9400000000000004E-4</v>
      </c>
      <c r="E55" s="12">
        <f t="shared" si="3"/>
        <v>1.3125000000000002E-5</v>
      </c>
      <c r="F55" s="12">
        <f>E55/Calculation!L$6*1000</f>
        <v>9.8947395112405152E-6</v>
      </c>
      <c r="G55" s="12">
        <f t="shared" si="1"/>
        <v>1.4842109266860774E-4</v>
      </c>
      <c r="L55" s="80"/>
    </row>
    <row r="56" spans="1:12" ht="15">
      <c r="A56" s="12">
        <v>25.5</v>
      </c>
      <c r="B56" s="12">
        <v>26.88</v>
      </c>
      <c r="C56" s="12">
        <f t="shared" si="4"/>
        <v>2.6879999999999998E-2</v>
      </c>
      <c r="D56" s="12">
        <f t="shared" si="2"/>
        <v>1.8815999999999998E-3</v>
      </c>
      <c r="E56" s="12">
        <f t="shared" si="3"/>
        <v>8.3999999999999995E-5</v>
      </c>
      <c r="F56" s="12">
        <f>E56/Calculation!L$6*1000</f>
        <v>6.3326332871939278E-5</v>
      </c>
      <c r="G56" s="12">
        <f t="shared" si="1"/>
        <v>9.4989499307908919E-4</v>
      </c>
      <c r="L56" s="80"/>
    </row>
    <row r="57" spans="1:12" ht="15">
      <c r="A57" s="12">
        <v>26</v>
      </c>
      <c r="B57" s="12">
        <v>2.52</v>
      </c>
      <c r="C57" s="12">
        <f t="shared" si="4"/>
        <v>2.5200000000000001E-3</v>
      </c>
      <c r="D57" s="12">
        <f t="shared" si="2"/>
        <v>1.7640000000000001E-4</v>
      </c>
      <c r="E57" s="12">
        <f t="shared" si="3"/>
        <v>7.875E-6</v>
      </c>
      <c r="F57" s="12">
        <f>E57/Calculation!L$6*1000</f>
        <v>5.9368437067443086E-6</v>
      </c>
      <c r="G57" s="12">
        <f t="shared" si="1"/>
        <v>8.9052655601164625E-5</v>
      </c>
      <c r="L57" s="80"/>
    </row>
    <row r="58" spans="1:12" ht="15">
      <c r="A58" s="12">
        <v>26.5</v>
      </c>
      <c r="B58" s="12">
        <v>3.36</v>
      </c>
      <c r="C58" s="12">
        <f t="shared" si="4"/>
        <v>3.3599999999999997E-3</v>
      </c>
      <c r="D58" s="12">
        <f t="shared" si="2"/>
        <v>2.3519999999999997E-4</v>
      </c>
      <c r="E58" s="12">
        <f t="shared" si="3"/>
        <v>1.0499999999999999E-5</v>
      </c>
      <c r="F58" s="12">
        <f>E58/Calculation!L$6*1000</f>
        <v>7.9157916089924098E-6</v>
      </c>
      <c r="G58" s="12">
        <f t="shared" si="1"/>
        <v>1.1873687413488615E-4</v>
      </c>
      <c r="L58" s="80"/>
    </row>
    <row r="59" spans="1:12" ht="15">
      <c r="A59" s="12">
        <v>27</v>
      </c>
      <c r="B59" s="12">
        <v>4.2</v>
      </c>
      <c r="C59" s="12">
        <f t="shared" si="4"/>
        <v>4.2000000000000006E-3</v>
      </c>
      <c r="D59" s="12">
        <f t="shared" si="2"/>
        <v>2.9400000000000004E-4</v>
      </c>
      <c r="E59" s="12">
        <f t="shared" si="3"/>
        <v>1.3125000000000002E-5</v>
      </c>
      <c r="F59" s="12">
        <f>E59/Calculation!L$6*1000</f>
        <v>9.8947395112405152E-6</v>
      </c>
      <c r="G59" s="12">
        <f t="shared" si="1"/>
        <v>1.4842109266860774E-4</v>
      </c>
      <c r="L59" s="80"/>
    </row>
    <row r="60" spans="1:12" ht="15">
      <c r="A60" s="12">
        <v>27.5</v>
      </c>
      <c r="B60" s="12">
        <v>3.36</v>
      </c>
      <c r="C60" s="12">
        <f t="shared" si="4"/>
        <v>3.3599999999999997E-3</v>
      </c>
      <c r="D60" s="12">
        <f t="shared" si="2"/>
        <v>2.3519999999999997E-4</v>
      </c>
      <c r="E60" s="12">
        <f t="shared" si="3"/>
        <v>1.0499999999999999E-5</v>
      </c>
      <c r="F60" s="12">
        <f>E60/Calculation!L$6*1000</f>
        <v>7.9157916089924098E-6</v>
      </c>
      <c r="G60" s="12">
        <f t="shared" si="1"/>
        <v>1.1873687413488615E-4</v>
      </c>
      <c r="L60" s="80"/>
    </row>
    <row r="61" spans="1:12" ht="15">
      <c r="A61" s="12">
        <v>28</v>
      </c>
      <c r="B61" s="12">
        <v>13.44</v>
      </c>
      <c r="C61" s="12">
        <f t="shared" si="4"/>
        <v>1.3439999999999999E-2</v>
      </c>
      <c r="D61" s="12">
        <f t="shared" si="2"/>
        <v>9.4079999999999988E-4</v>
      </c>
      <c r="E61" s="12">
        <f t="shared" si="3"/>
        <v>4.1999999999999998E-5</v>
      </c>
      <c r="F61" s="12">
        <f>E61/Calculation!L$6*1000</f>
        <v>3.1663166435969639E-5</v>
      </c>
      <c r="G61" s="12">
        <f t="shared" si="1"/>
        <v>4.7494749653954459E-4</v>
      </c>
      <c r="L61" s="80"/>
    </row>
    <row r="62" spans="1:12" ht="15">
      <c r="A62" s="12">
        <v>28.5</v>
      </c>
      <c r="B62" s="12">
        <v>11.76</v>
      </c>
      <c r="C62" s="12">
        <f t="shared" si="4"/>
        <v>1.176E-2</v>
      </c>
      <c r="D62" s="12">
        <f t="shared" si="2"/>
        <v>8.2319999999999995E-4</v>
      </c>
      <c r="E62" s="12">
        <f t="shared" si="3"/>
        <v>3.6749999999999999E-5</v>
      </c>
      <c r="F62" s="12">
        <f>E62/Calculation!L$6*1000</f>
        <v>2.7705270631473442E-5</v>
      </c>
      <c r="G62" s="12">
        <f t="shared" si="1"/>
        <v>4.1557905947210163E-4</v>
      </c>
      <c r="L62" s="80"/>
    </row>
    <row r="63" spans="1:12" ht="15">
      <c r="A63" s="12">
        <v>29</v>
      </c>
      <c r="B63" s="12">
        <v>3.36</v>
      </c>
      <c r="C63" s="12">
        <f t="shared" si="4"/>
        <v>3.3599999999999997E-3</v>
      </c>
      <c r="D63" s="12">
        <f t="shared" si="2"/>
        <v>2.3519999999999997E-4</v>
      </c>
      <c r="E63" s="12">
        <f t="shared" si="3"/>
        <v>1.0499999999999999E-5</v>
      </c>
      <c r="F63" s="12">
        <f>E63/Calculation!L$6*1000</f>
        <v>7.9157916089924098E-6</v>
      </c>
      <c r="G63" s="12">
        <f t="shared" si="1"/>
        <v>1.1873687413488615E-4</v>
      </c>
      <c r="L63" s="80"/>
    </row>
    <row r="64" spans="1:12" ht="15">
      <c r="A64" s="12">
        <v>29.5</v>
      </c>
      <c r="B64" s="12">
        <v>0</v>
      </c>
      <c r="C64" s="12">
        <f t="shared" si="4"/>
        <v>0</v>
      </c>
      <c r="D64" s="12">
        <f t="shared" si="2"/>
        <v>0</v>
      </c>
      <c r="E64" s="12">
        <f t="shared" si="3"/>
        <v>0</v>
      </c>
      <c r="F64" s="12">
        <f>E64/Calculation!L$6*1000</f>
        <v>0</v>
      </c>
      <c r="G64" s="12">
        <f t="shared" si="1"/>
        <v>0</v>
      </c>
      <c r="L64" s="80"/>
    </row>
    <row r="65" spans="1:12" ht="15">
      <c r="A65" s="12">
        <v>30</v>
      </c>
      <c r="B65" s="12">
        <v>5.04</v>
      </c>
      <c r="C65" s="12">
        <f t="shared" si="4"/>
        <v>5.0400000000000002E-3</v>
      </c>
      <c r="D65" s="12">
        <f t="shared" si="2"/>
        <v>3.5280000000000001E-4</v>
      </c>
      <c r="E65" s="12">
        <f t="shared" si="3"/>
        <v>1.575E-5</v>
      </c>
      <c r="F65" s="12">
        <f>E65/Calculation!L$6*1000</f>
        <v>1.1873687413488617E-5</v>
      </c>
      <c r="G65" s="12">
        <f t="shared" si="1"/>
        <v>1.7810531120232925E-4</v>
      </c>
      <c r="L65" s="80"/>
    </row>
    <row r="66" spans="1:12" ht="15">
      <c r="A66" s="12">
        <v>30.5</v>
      </c>
      <c r="B66" s="12">
        <v>1.68</v>
      </c>
      <c r="C66" s="12">
        <f t="shared" si="4"/>
        <v>1.6799999999999999E-3</v>
      </c>
      <c r="D66" s="12">
        <f t="shared" si="2"/>
        <v>1.1759999999999999E-4</v>
      </c>
      <c r="E66" s="12">
        <f t="shared" si="3"/>
        <v>5.2499999999999997E-6</v>
      </c>
      <c r="F66" s="12">
        <f>E66/Calculation!L$6*1000</f>
        <v>3.9578958044962049E-6</v>
      </c>
      <c r="G66" s="12">
        <f t="shared" si="1"/>
        <v>5.9368437067443074E-5</v>
      </c>
      <c r="L66" s="80"/>
    </row>
    <row r="67" spans="1:12" ht="15">
      <c r="A67" s="12">
        <v>31</v>
      </c>
      <c r="B67" s="12">
        <v>0</v>
      </c>
      <c r="C67" s="12">
        <f t="shared" si="4"/>
        <v>0</v>
      </c>
      <c r="D67" s="12">
        <f t="shared" si="2"/>
        <v>0</v>
      </c>
      <c r="E67" s="12">
        <f t="shared" si="3"/>
        <v>0</v>
      </c>
      <c r="F67" s="12">
        <f>E67/Calculation!L$6*1000</f>
        <v>0</v>
      </c>
      <c r="G67" s="12">
        <f t="shared" si="1"/>
        <v>0</v>
      </c>
      <c r="L67" s="80"/>
    </row>
    <row r="68" spans="1:12" ht="15">
      <c r="A68" s="12">
        <v>31.5</v>
      </c>
      <c r="B68" s="12">
        <v>7.56</v>
      </c>
      <c r="C68" s="12">
        <f t="shared" si="4"/>
        <v>7.5599999999999999E-3</v>
      </c>
      <c r="D68" s="12">
        <f t="shared" si="2"/>
        <v>5.2919999999999996E-4</v>
      </c>
      <c r="E68" s="12">
        <f t="shared" si="3"/>
        <v>2.3624999999999998E-5</v>
      </c>
      <c r="F68" s="12">
        <f>E68/Calculation!L$6*1000</f>
        <v>1.7810531120232925E-5</v>
      </c>
      <c r="G68" s="12">
        <f t="shared" si="1"/>
        <v>2.6715796680349389E-4</v>
      </c>
      <c r="L68" s="80"/>
    </row>
    <row r="69" spans="1:12" ht="15">
      <c r="A69" s="12">
        <v>32</v>
      </c>
      <c r="B69" s="12">
        <v>2.52</v>
      </c>
      <c r="C69" s="12">
        <f t="shared" ref="C69:C100" si="5">B69/1000</f>
        <v>2.5200000000000001E-3</v>
      </c>
      <c r="D69" s="12">
        <f t="shared" si="2"/>
        <v>1.7640000000000001E-4</v>
      </c>
      <c r="E69" s="12">
        <f t="shared" si="3"/>
        <v>7.875E-6</v>
      </c>
      <c r="F69" s="12">
        <f>E69/Calculation!L$6*1000</f>
        <v>5.9368437067443086E-6</v>
      </c>
      <c r="G69" s="12">
        <f t="shared" si="1"/>
        <v>8.9052655601164625E-5</v>
      </c>
      <c r="L69" s="80"/>
    </row>
    <row r="70" spans="1:12" ht="15">
      <c r="A70" s="12">
        <v>32.5</v>
      </c>
      <c r="B70" s="12">
        <v>6.72</v>
      </c>
      <c r="C70" s="12">
        <f t="shared" si="5"/>
        <v>6.7199999999999994E-3</v>
      </c>
      <c r="D70" s="12">
        <f t="shared" ref="D70:D101" si="6">C70/1000*$B$1</f>
        <v>4.7039999999999994E-4</v>
      </c>
      <c r="E70" s="12">
        <f t="shared" ref="E70:E101" si="7">D70/22.4</f>
        <v>2.0999999999999999E-5</v>
      </c>
      <c r="F70" s="12">
        <f>E70/Calculation!L$6*1000</f>
        <v>1.583158321798482E-5</v>
      </c>
      <c r="G70" s="12">
        <f t="shared" ref="G70:G101" si="8">(0+F70)/2*30</f>
        <v>2.374737482697723E-4</v>
      </c>
      <c r="L70" s="80"/>
    </row>
    <row r="71" spans="1:12" ht="15">
      <c r="A71" s="12">
        <v>33</v>
      </c>
      <c r="B71" s="12">
        <v>0</v>
      </c>
      <c r="C71" s="12">
        <f t="shared" si="5"/>
        <v>0</v>
      </c>
      <c r="D71" s="12">
        <f t="shared" si="6"/>
        <v>0</v>
      </c>
      <c r="E71" s="12">
        <f t="shared" si="7"/>
        <v>0</v>
      </c>
      <c r="F71" s="12">
        <f>E71/Calculation!L$6*1000</f>
        <v>0</v>
      </c>
      <c r="G71" s="12">
        <f t="shared" si="8"/>
        <v>0</v>
      </c>
      <c r="L71" s="80"/>
    </row>
    <row r="72" spans="1:12" ht="15">
      <c r="A72" s="12">
        <v>33.5</v>
      </c>
      <c r="B72" s="12">
        <v>10.92</v>
      </c>
      <c r="C72" s="12">
        <f t="shared" si="5"/>
        <v>1.0919999999999999E-2</v>
      </c>
      <c r="D72" s="12">
        <f t="shared" si="6"/>
        <v>7.6439999999999993E-4</v>
      </c>
      <c r="E72" s="12">
        <f t="shared" si="7"/>
        <v>3.4124999999999996E-5</v>
      </c>
      <c r="F72" s="12">
        <f>E72/Calculation!L$6*1000</f>
        <v>2.5726322729225333E-5</v>
      </c>
      <c r="G72" s="12">
        <f t="shared" si="8"/>
        <v>3.8589484093837998E-4</v>
      </c>
      <c r="L72" s="80"/>
    </row>
    <row r="73" spans="1:12" ht="15">
      <c r="A73" s="12">
        <v>34</v>
      </c>
      <c r="B73" s="12">
        <v>10.92</v>
      </c>
      <c r="C73" s="12">
        <f t="shared" si="5"/>
        <v>1.0919999999999999E-2</v>
      </c>
      <c r="D73" s="12">
        <f t="shared" si="6"/>
        <v>7.6439999999999993E-4</v>
      </c>
      <c r="E73" s="12">
        <f t="shared" si="7"/>
        <v>3.4124999999999996E-5</v>
      </c>
      <c r="F73" s="12">
        <f>E73/Calculation!L$6*1000</f>
        <v>2.5726322729225333E-5</v>
      </c>
      <c r="G73" s="12">
        <f t="shared" si="8"/>
        <v>3.8589484093837998E-4</v>
      </c>
      <c r="L73" s="80"/>
    </row>
    <row r="74" spans="1:12" ht="15">
      <c r="A74" s="12">
        <v>34.5</v>
      </c>
      <c r="B74" s="12">
        <v>0</v>
      </c>
      <c r="C74" s="12">
        <f t="shared" si="5"/>
        <v>0</v>
      </c>
      <c r="D74" s="12">
        <f t="shared" si="6"/>
        <v>0</v>
      </c>
      <c r="E74" s="12">
        <f t="shared" si="7"/>
        <v>0</v>
      </c>
      <c r="F74" s="12">
        <f>E74/Calculation!L$6*1000</f>
        <v>0</v>
      </c>
      <c r="G74" s="12">
        <f t="shared" si="8"/>
        <v>0</v>
      </c>
      <c r="L74" s="80"/>
    </row>
    <row r="75" spans="1:12" ht="15">
      <c r="A75" s="12">
        <v>35</v>
      </c>
      <c r="B75" s="12">
        <v>9.24</v>
      </c>
      <c r="C75" s="12">
        <f t="shared" si="5"/>
        <v>9.2399999999999999E-3</v>
      </c>
      <c r="D75" s="12">
        <f t="shared" si="6"/>
        <v>6.468E-4</v>
      </c>
      <c r="E75" s="12">
        <f t="shared" si="7"/>
        <v>2.8875000000000001E-5</v>
      </c>
      <c r="F75" s="12">
        <f>E75/Calculation!L$6*1000</f>
        <v>2.1768426924729132E-5</v>
      </c>
      <c r="G75" s="12">
        <f t="shared" si="8"/>
        <v>3.2652640387093696E-4</v>
      </c>
      <c r="L75" s="80"/>
    </row>
    <row r="76" spans="1:12" ht="15">
      <c r="A76" s="12">
        <v>35.5</v>
      </c>
      <c r="B76" s="12">
        <v>1.68</v>
      </c>
      <c r="C76" s="12">
        <f t="shared" si="5"/>
        <v>1.6799999999999999E-3</v>
      </c>
      <c r="D76" s="12">
        <f t="shared" si="6"/>
        <v>1.1759999999999999E-4</v>
      </c>
      <c r="E76" s="12">
        <f t="shared" si="7"/>
        <v>5.2499999999999997E-6</v>
      </c>
      <c r="F76" s="12">
        <f>E76/Calculation!L$6*1000</f>
        <v>3.9578958044962049E-6</v>
      </c>
      <c r="G76" s="12">
        <f t="shared" si="8"/>
        <v>5.9368437067443074E-5</v>
      </c>
      <c r="L76" s="80"/>
    </row>
    <row r="77" spans="1:12" ht="15">
      <c r="A77" s="12">
        <v>36</v>
      </c>
      <c r="B77" s="12">
        <v>0</v>
      </c>
      <c r="C77" s="12">
        <f t="shared" si="5"/>
        <v>0</v>
      </c>
      <c r="D77" s="12">
        <f t="shared" si="6"/>
        <v>0</v>
      </c>
      <c r="E77" s="12">
        <f t="shared" si="7"/>
        <v>0</v>
      </c>
      <c r="F77" s="12">
        <f>E77/Calculation!L$6*1000</f>
        <v>0</v>
      </c>
      <c r="G77" s="12">
        <f t="shared" si="8"/>
        <v>0</v>
      </c>
      <c r="L77" s="80"/>
    </row>
    <row r="78" spans="1:12" ht="15">
      <c r="A78" s="12">
        <v>36.5</v>
      </c>
      <c r="B78" s="12">
        <v>0</v>
      </c>
      <c r="C78" s="12">
        <f t="shared" si="5"/>
        <v>0</v>
      </c>
      <c r="D78" s="12">
        <f t="shared" si="6"/>
        <v>0</v>
      </c>
      <c r="E78" s="12">
        <f t="shared" si="7"/>
        <v>0</v>
      </c>
      <c r="F78" s="12">
        <f>E78/Calculation!L$6*1000</f>
        <v>0</v>
      </c>
      <c r="G78" s="12">
        <f t="shared" si="8"/>
        <v>0</v>
      </c>
      <c r="L78" s="80"/>
    </row>
    <row r="79" spans="1:12" ht="15">
      <c r="A79" s="12">
        <v>37</v>
      </c>
      <c r="B79" s="12">
        <v>0</v>
      </c>
      <c r="C79" s="12">
        <f t="shared" si="5"/>
        <v>0</v>
      </c>
      <c r="D79" s="12">
        <f t="shared" si="6"/>
        <v>0</v>
      </c>
      <c r="E79" s="12">
        <f t="shared" si="7"/>
        <v>0</v>
      </c>
      <c r="F79" s="12">
        <f>E79/Calculation!L$6*1000</f>
        <v>0</v>
      </c>
      <c r="G79" s="12">
        <f t="shared" si="8"/>
        <v>0</v>
      </c>
      <c r="L79" s="80"/>
    </row>
    <row r="80" spans="1:12" ht="15">
      <c r="A80" s="12">
        <v>37.5</v>
      </c>
      <c r="B80" s="12">
        <v>0</v>
      </c>
      <c r="C80" s="12">
        <f t="shared" si="5"/>
        <v>0</v>
      </c>
      <c r="D80" s="12">
        <f t="shared" si="6"/>
        <v>0</v>
      </c>
      <c r="E80" s="12">
        <f t="shared" si="7"/>
        <v>0</v>
      </c>
      <c r="F80" s="12">
        <f>E80/Calculation!L$6*1000</f>
        <v>0</v>
      </c>
      <c r="G80" s="12">
        <f t="shared" si="8"/>
        <v>0</v>
      </c>
      <c r="L80" s="80"/>
    </row>
    <row r="81" spans="1:12" ht="15">
      <c r="A81" s="12">
        <v>38</v>
      </c>
      <c r="B81" s="12">
        <v>0.84</v>
      </c>
      <c r="C81" s="12">
        <f t="shared" si="5"/>
        <v>8.3999999999999993E-4</v>
      </c>
      <c r="D81" s="12">
        <f t="shared" si="6"/>
        <v>5.8799999999999993E-5</v>
      </c>
      <c r="E81" s="12">
        <f t="shared" si="7"/>
        <v>2.6249999999999999E-6</v>
      </c>
      <c r="F81" s="12">
        <f>E81/Calculation!L$6*1000</f>
        <v>1.9789479022481024E-6</v>
      </c>
      <c r="G81" s="12">
        <f t="shared" si="8"/>
        <v>2.9684218533721537E-5</v>
      </c>
      <c r="L81" s="80"/>
    </row>
    <row r="82" spans="1:12" ht="15">
      <c r="A82" s="12">
        <v>38.5</v>
      </c>
      <c r="B82" s="12">
        <v>22.68</v>
      </c>
      <c r="C82" s="12">
        <f t="shared" si="5"/>
        <v>2.2679999999999999E-2</v>
      </c>
      <c r="D82" s="12">
        <f t="shared" si="6"/>
        <v>1.5876E-3</v>
      </c>
      <c r="E82" s="12">
        <f t="shared" si="7"/>
        <v>7.0875000000000002E-5</v>
      </c>
      <c r="F82" s="12">
        <f>E82/Calculation!L$6*1000</f>
        <v>5.3431593360698782E-5</v>
      </c>
      <c r="G82" s="12">
        <f t="shared" si="8"/>
        <v>8.0147390041048177E-4</v>
      </c>
      <c r="L82" s="80"/>
    </row>
    <row r="83" spans="1:12" ht="15">
      <c r="A83" s="12">
        <v>39</v>
      </c>
      <c r="B83" s="12">
        <v>0</v>
      </c>
      <c r="C83" s="12">
        <f t="shared" si="5"/>
        <v>0</v>
      </c>
      <c r="D83" s="12">
        <f t="shared" si="6"/>
        <v>0</v>
      </c>
      <c r="E83" s="12">
        <f t="shared" si="7"/>
        <v>0</v>
      </c>
      <c r="F83" s="12">
        <f>E83/Calculation!L$6*1000</f>
        <v>0</v>
      </c>
      <c r="G83" s="12">
        <f t="shared" si="8"/>
        <v>0</v>
      </c>
      <c r="L83" s="80"/>
    </row>
    <row r="84" spans="1:12" ht="15">
      <c r="A84" s="12">
        <v>39.5</v>
      </c>
      <c r="B84" s="12">
        <v>5.04</v>
      </c>
      <c r="C84" s="12">
        <f t="shared" si="5"/>
        <v>5.0400000000000002E-3</v>
      </c>
      <c r="D84" s="12">
        <f t="shared" si="6"/>
        <v>3.5280000000000001E-4</v>
      </c>
      <c r="E84" s="12">
        <f t="shared" si="7"/>
        <v>1.575E-5</v>
      </c>
      <c r="F84" s="12">
        <f>E84/Calculation!L$6*1000</f>
        <v>1.1873687413488617E-5</v>
      </c>
      <c r="G84" s="12">
        <f t="shared" si="8"/>
        <v>1.7810531120232925E-4</v>
      </c>
      <c r="L84" s="80"/>
    </row>
    <row r="85" spans="1:12" ht="15">
      <c r="A85" s="12">
        <v>40</v>
      </c>
      <c r="B85" s="12">
        <v>0.84</v>
      </c>
      <c r="C85" s="12">
        <f t="shared" si="5"/>
        <v>8.3999999999999993E-4</v>
      </c>
      <c r="D85" s="12">
        <f t="shared" si="6"/>
        <v>5.8799999999999993E-5</v>
      </c>
      <c r="E85" s="12">
        <f t="shared" si="7"/>
        <v>2.6249999999999999E-6</v>
      </c>
      <c r="F85" s="12">
        <f>E85/Calculation!L$6*1000</f>
        <v>1.9789479022481024E-6</v>
      </c>
      <c r="G85" s="12">
        <f t="shared" si="8"/>
        <v>2.9684218533721537E-5</v>
      </c>
      <c r="L85" s="80"/>
    </row>
    <row r="86" spans="1:12" ht="15">
      <c r="A86" s="12">
        <v>40.5</v>
      </c>
      <c r="B86" s="12">
        <v>0.84</v>
      </c>
      <c r="C86" s="12">
        <f t="shared" si="5"/>
        <v>8.3999999999999993E-4</v>
      </c>
      <c r="D86" s="12">
        <f t="shared" si="6"/>
        <v>5.8799999999999993E-5</v>
      </c>
      <c r="E86" s="12">
        <f t="shared" si="7"/>
        <v>2.6249999999999999E-6</v>
      </c>
      <c r="F86" s="12">
        <f>E86/Calculation!L$6*1000</f>
        <v>1.9789479022481024E-6</v>
      </c>
      <c r="G86" s="12">
        <f t="shared" si="8"/>
        <v>2.9684218533721537E-5</v>
      </c>
      <c r="L86" s="80"/>
    </row>
    <row r="87" spans="1:12" ht="15">
      <c r="A87" s="12">
        <v>41</v>
      </c>
      <c r="B87" s="12">
        <v>6.72</v>
      </c>
      <c r="C87" s="12">
        <f t="shared" si="5"/>
        <v>6.7199999999999994E-3</v>
      </c>
      <c r="D87" s="12">
        <f t="shared" si="6"/>
        <v>4.7039999999999994E-4</v>
      </c>
      <c r="E87" s="12">
        <f t="shared" si="7"/>
        <v>2.0999999999999999E-5</v>
      </c>
      <c r="F87" s="12">
        <f>E87/Calculation!L$6*1000</f>
        <v>1.583158321798482E-5</v>
      </c>
      <c r="G87" s="12">
        <f t="shared" si="8"/>
        <v>2.374737482697723E-4</v>
      </c>
      <c r="L87" s="80"/>
    </row>
    <row r="88" spans="1:12" ht="15">
      <c r="A88" s="12">
        <v>41.5</v>
      </c>
      <c r="B88" s="12">
        <v>18.48</v>
      </c>
      <c r="C88" s="12">
        <f t="shared" si="5"/>
        <v>1.848E-2</v>
      </c>
      <c r="D88" s="12">
        <f t="shared" si="6"/>
        <v>1.2936E-3</v>
      </c>
      <c r="E88" s="12">
        <f t="shared" si="7"/>
        <v>5.7750000000000001E-5</v>
      </c>
      <c r="F88" s="12">
        <f>E88/Calculation!L$6*1000</f>
        <v>4.3536853849458265E-5</v>
      </c>
      <c r="G88" s="12">
        <f t="shared" si="8"/>
        <v>6.5305280774187392E-4</v>
      </c>
      <c r="L88" s="80"/>
    </row>
    <row r="89" spans="1:12" ht="15">
      <c r="A89" s="12">
        <v>42</v>
      </c>
      <c r="B89" s="12">
        <v>0.84</v>
      </c>
      <c r="C89" s="12">
        <f t="shared" si="5"/>
        <v>8.3999999999999993E-4</v>
      </c>
      <c r="D89" s="12">
        <f t="shared" si="6"/>
        <v>5.8799999999999993E-5</v>
      </c>
      <c r="E89" s="12">
        <f t="shared" si="7"/>
        <v>2.6249999999999999E-6</v>
      </c>
      <c r="F89" s="12">
        <f>E89/Calculation!L$6*1000</f>
        <v>1.9789479022481024E-6</v>
      </c>
      <c r="G89" s="12">
        <f t="shared" si="8"/>
        <v>2.9684218533721537E-5</v>
      </c>
      <c r="L89" s="80"/>
    </row>
    <row r="90" spans="1:12" ht="15">
      <c r="A90" s="12">
        <v>42.5</v>
      </c>
      <c r="B90" s="12">
        <v>2.52</v>
      </c>
      <c r="C90" s="12">
        <f t="shared" si="5"/>
        <v>2.5200000000000001E-3</v>
      </c>
      <c r="D90" s="12">
        <f t="shared" si="6"/>
        <v>1.7640000000000001E-4</v>
      </c>
      <c r="E90" s="12">
        <f t="shared" si="7"/>
        <v>7.875E-6</v>
      </c>
      <c r="F90" s="12">
        <f>E90/Calculation!L$6*1000</f>
        <v>5.9368437067443086E-6</v>
      </c>
      <c r="G90" s="12">
        <f t="shared" si="8"/>
        <v>8.9052655601164625E-5</v>
      </c>
      <c r="L90" s="80"/>
    </row>
    <row r="91" spans="1:12" ht="15">
      <c r="A91" s="12">
        <v>43</v>
      </c>
      <c r="B91" s="12">
        <v>0.84</v>
      </c>
      <c r="C91" s="12">
        <f t="shared" si="5"/>
        <v>8.3999999999999993E-4</v>
      </c>
      <c r="D91" s="12">
        <f t="shared" si="6"/>
        <v>5.8799999999999993E-5</v>
      </c>
      <c r="E91" s="12">
        <f t="shared" si="7"/>
        <v>2.6249999999999999E-6</v>
      </c>
      <c r="F91" s="12">
        <f>E91/Calculation!L$6*1000</f>
        <v>1.9789479022481024E-6</v>
      </c>
      <c r="G91" s="12">
        <f t="shared" si="8"/>
        <v>2.9684218533721537E-5</v>
      </c>
      <c r="L91" s="80"/>
    </row>
    <row r="92" spans="1:12" ht="15">
      <c r="A92" s="12">
        <v>43.5</v>
      </c>
      <c r="B92" s="12">
        <v>0.84</v>
      </c>
      <c r="C92" s="12">
        <f t="shared" si="5"/>
        <v>8.3999999999999993E-4</v>
      </c>
      <c r="D92" s="12">
        <f t="shared" si="6"/>
        <v>5.8799999999999993E-5</v>
      </c>
      <c r="E92" s="12">
        <f t="shared" si="7"/>
        <v>2.6249999999999999E-6</v>
      </c>
      <c r="F92" s="12">
        <f>E92/Calculation!L$6*1000</f>
        <v>1.9789479022481024E-6</v>
      </c>
      <c r="G92" s="12">
        <f t="shared" si="8"/>
        <v>2.9684218533721537E-5</v>
      </c>
      <c r="L92" s="80"/>
    </row>
    <row r="93" spans="1:12" ht="15">
      <c r="A93" s="12">
        <v>44</v>
      </c>
      <c r="B93" s="12">
        <v>17.64</v>
      </c>
      <c r="C93" s="12">
        <f t="shared" si="5"/>
        <v>1.7639999999999999E-2</v>
      </c>
      <c r="D93" s="12">
        <f t="shared" si="6"/>
        <v>1.2348000000000001E-3</v>
      </c>
      <c r="E93" s="12">
        <f t="shared" si="7"/>
        <v>5.5125000000000005E-5</v>
      </c>
      <c r="F93" s="12">
        <f>E93/Calculation!L$6*1000</f>
        <v>4.1557905947210163E-5</v>
      </c>
      <c r="G93" s="12">
        <f t="shared" si="8"/>
        <v>6.2336858920815244E-4</v>
      </c>
      <c r="L93" s="80"/>
    </row>
    <row r="94" spans="1:12" ht="15">
      <c r="A94" s="12">
        <v>44.5</v>
      </c>
      <c r="B94" s="12">
        <v>11.76</v>
      </c>
      <c r="C94" s="12">
        <f t="shared" si="5"/>
        <v>1.176E-2</v>
      </c>
      <c r="D94" s="12">
        <f t="shared" si="6"/>
        <v>8.2319999999999995E-4</v>
      </c>
      <c r="E94" s="12">
        <f t="shared" si="7"/>
        <v>3.6749999999999999E-5</v>
      </c>
      <c r="F94" s="12">
        <f>E94/Calculation!L$6*1000</f>
        <v>2.7705270631473442E-5</v>
      </c>
      <c r="G94" s="12">
        <f t="shared" si="8"/>
        <v>4.1557905947210163E-4</v>
      </c>
      <c r="L94" s="80"/>
    </row>
    <row r="95" spans="1:12" ht="15">
      <c r="A95" s="12">
        <v>45</v>
      </c>
      <c r="B95" s="12">
        <v>4.2</v>
      </c>
      <c r="C95" s="12">
        <f t="shared" si="5"/>
        <v>4.2000000000000006E-3</v>
      </c>
      <c r="D95" s="12">
        <f t="shared" si="6"/>
        <v>2.9400000000000004E-4</v>
      </c>
      <c r="E95" s="12">
        <f t="shared" si="7"/>
        <v>1.3125000000000002E-5</v>
      </c>
      <c r="F95" s="12">
        <f>E95/Calculation!L$6*1000</f>
        <v>9.8947395112405152E-6</v>
      </c>
      <c r="G95" s="12">
        <f t="shared" si="8"/>
        <v>1.4842109266860774E-4</v>
      </c>
      <c r="L95" s="80"/>
    </row>
    <row r="96" spans="1:12" ht="15">
      <c r="A96" s="12">
        <v>45.5</v>
      </c>
      <c r="B96" s="12">
        <v>0.84</v>
      </c>
      <c r="C96" s="12">
        <f t="shared" si="5"/>
        <v>8.3999999999999993E-4</v>
      </c>
      <c r="D96" s="12">
        <f t="shared" si="6"/>
        <v>5.8799999999999993E-5</v>
      </c>
      <c r="E96" s="12">
        <f t="shared" si="7"/>
        <v>2.6249999999999999E-6</v>
      </c>
      <c r="F96" s="12">
        <f>E96/Calculation!L$6*1000</f>
        <v>1.9789479022481024E-6</v>
      </c>
      <c r="G96" s="12">
        <f t="shared" si="8"/>
        <v>2.9684218533721537E-5</v>
      </c>
      <c r="L96" s="80"/>
    </row>
    <row r="97" spans="1:12" ht="15">
      <c r="A97" s="12">
        <v>46</v>
      </c>
      <c r="B97" s="12">
        <v>10.92</v>
      </c>
      <c r="C97" s="12">
        <f t="shared" si="5"/>
        <v>1.0919999999999999E-2</v>
      </c>
      <c r="D97" s="12">
        <f t="shared" si="6"/>
        <v>7.6439999999999993E-4</v>
      </c>
      <c r="E97" s="12">
        <f t="shared" si="7"/>
        <v>3.4124999999999996E-5</v>
      </c>
      <c r="F97" s="12">
        <f>E97/Calculation!L$6*1000</f>
        <v>2.5726322729225333E-5</v>
      </c>
      <c r="G97" s="12">
        <f t="shared" si="8"/>
        <v>3.8589484093837998E-4</v>
      </c>
      <c r="L97" s="80"/>
    </row>
    <row r="98" spans="1:12" ht="15">
      <c r="A98" s="12">
        <v>46.5</v>
      </c>
      <c r="B98" s="12">
        <v>3.36</v>
      </c>
      <c r="C98" s="12">
        <f t="shared" si="5"/>
        <v>3.3599999999999997E-3</v>
      </c>
      <c r="D98" s="12">
        <f t="shared" si="6"/>
        <v>2.3519999999999997E-4</v>
      </c>
      <c r="E98" s="12">
        <f t="shared" si="7"/>
        <v>1.0499999999999999E-5</v>
      </c>
      <c r="F98" s="12">
        <f>E98/Calculation!L$6*1000</f>
        <v>7.9157916089924098E-6</v>
      </c>
      <c r="G98" s="12">
        <f t="shared" si="8"/>
        <v>1.1873687413488615E-4</v>
      </c>
      <c r="L98" s="80"/>
    </row>
    <row r="99" spans="1:12" ht="15">
      <c r="A99" s="12">
        <v>47</v>
      </c>
      <c r="B99" s="12">
        <v>3.36</v>
      </c>
      <c r="C99" s="12">
        <f t="shared" si="5"/>
        <v>3.3599999999999997E-3</v>
      </c>
      <c r="D99" s="12">
        <f t="shared" si="6"/>
        <v>2.3519999999999997E-4</v>
      </c>
      <c r="E99" s="12">
        <f t="shared" si="7"/>
        <v>1.0499999999999999E-5</v>
      </c>
      <c r="F99" s="12">
        <f>E99/Calculation!L$6*1000</f>
        <v>7.9157916089924098E-6</v>
      </c>
      <c r="G99" s="12">
        <f t="shared" si="8"/>
        <v>1.1873687413488615E-4</v>
      </c>
      <c r="L99" s="80"/>
    </row>
    <row r="100" spans="1:12" ht="15">
      <c r="A100" s="12">
        <v>47.5</v>
      </c>
      <c r="B100" s="12">
        <v>4.2</v>
      </c>
      <c r="C100" s="12">
        <f t="shared" si="5"/>
        <v>4.2000000000000006E-3</v>
      </c>
      <c r="D100" s="12">
        <f t="shared" si="6"/>
        <v>2.9400000000000004E-4</v>
      </c>
      <c r="E100" s="12">
        <f t="shared" si="7"/>
        <v>1.3125000000000002E-5</v>
      </c>
      <c r="F100" s="12">
        <f>E100/Calculation!L$6*1000</f>
        <v>9.8947395112405152E-6</v>
      </c>
      <c r="G100" s="12">
        <f t="shared" si="8"/>
        <v>1.4842109266860774E-4</v>
      </c>
      <c r="L100" s="80"/>
    </row>
    <row r="101" spans="1:12" ht="15">
      <c r="A101" s="12">
        <v>48</v>
      </c>
      <c r="B101" s="12">
        <v>0</v>
      </c>
      <c r="C101" s="12">
        <f t="shared" ref="C101" si="9">B101/1000</f>
        <v>0</v>
      </c>
      <c r="D101" s="12">
        <f t="shared" si="6"/>
        <v>0</v>
      </c>
      <c r="E101" s="12">
        <f t="shared" si="7"/>
        <v>0</v>
      </c>
      <c r="F101" s="12">
        <f>E101/Calculation!L$7*1000</f>
        <v>0</v>
      </c>
      <c r="G101" s="12">
        <f t="shared" si="8"/>
        <v>0</v>
      </c>
      <c r="L101" s="80"/>
    </row>
    <row r="102" spans="1:12" ht="15">
      <c r="B102">
        <v>1.68</v>
      </c>
      <c r="L102" s="80"/>
    </row>
    <row r="103" spans="1:12" ht="15">
      <c r="B103">
        <v>3.36</v>
      </c>
      <c r="L103" s="80"/>
    </row>
    <row r="104" spans="1:12" ht="15">
      <c r="B104">
        <v>12.6</v>
      </c>
      <c r="L104" s="80"/>
    </row>
    <row r="105" spans="1:12" ht="15">
      <c r="B105">
        <v>0.84</v>
      </c>
      <c r="L105" s="80"/>
    </row>
    <row r="106" spans="1:12" ht="15">
      <c r="B106">
        <v>2.52</v>
      </c>
      <c r="L106" s="80"/>
    </row>
    <row r="107" spans="1:12" ht="15">
      <c r="B107">
        <v>5.04</v>
      </c>
      <c r="L107" s="80"/>
    </row>
    <row r="108" spans="1:12">
      <c r="B108">
        <v>0.84</v>
      </c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Fermentation</vt:lpstr>
      <vt:lpstr>Calculation</vt:lpstr>
      <vt:lpstr>Plate Count</vt:lpstr>
      <vt:lpstr>Flow cytometer</vt:lpstr>
      <vt:lpstr>Calibration F. prausnitzii</vt:lpstr>
      <vt:lpstr>Determination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2015-06-27T10:26:14Z</cp:lastPrinted>
  <dcterms:created xsi:type="dcterms:W3CDTF">2009-02-15T16:08:16Z</dcterms:created>
  <dcterms:modified xsi:type="dcterms:W3CDTF">2015-07-30T15:04:55Z</dcterms:modified>
</cp:coreProperties>
</file>