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0" yWindow="0" windowWidth="25520" windowHeight="16020" tabRatio="930" firstSheet="4" activeTab="16"/>
  </bookViews>
  <sheets>
    <sheet name="Fermentation" sheetId="25" r:id="rId1"/>
    <sheet name="Calculation" sheetId="2" r:id="rId2"/>
    <sheet name="Plate Count" sheetId="3" r:id="rId3"/>
    <sheet name="Flow cytometer" sheetId="22" r:id="rId4"/>
    <sheet name="OD600nm" sheetId="4" r:id="rId5"/>
    <sheet name="CDM" sheetId="5" r:id="rId6"/>
    <sheet name="H2" sheetId="17" r:id="rId7"/>
    <sheet name="CO2" sheetId="7" r:id="rId8"/>
    <sheet name="Metabolites" sheetId="8" r:id="rId9"/>
    <sheet name="D-Fructose" sheetId="19" r:id="rId10"/>
    <sheet name="Formic acid" sheetId="18" r:id="rId11"/>
    <sheet name="Acetic acid" sheetId="15" r:id="rId12"/>
    <sheet name="Propionic acid" sheetId="20" r:id="rId13"/>
    <sheet name="Butyric acid" sheetId="21" r:id="rId14"/>
    <sheet name="Lactic acid" sheetId="14" r:id="rId15"/>
    <sheet name="Ethanol" sheetId="16" r:id="rId16"/>
    <sheet name="Graph" sheetId="13" r:id="rId17"/>
    <sheet name="Graph (2)" sheetId="24" r:id="rId18"/>
    <sheet name="Carbon recovery" sheetId="23" r:id="rId19"/>
  </sheets>
  <definedNames>
    <definedName name="_2012_05_10_FPRAU_fruc1" localSheetId="7">'CO2'!$I$5:$I$293</definedName>
    <definedName name="_2012_06_08_BIF_REC_OLI_1" localSheetId="7">'CO2'!$N$5:$N$201</definedName>
    <definedName name="_2012_06_08_BIF_REC_OLI_1" localSheetId="6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1" i="7" l="1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203" i="17"/>
  <c r="F202" i="17"/>
  <c r="F201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1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65" i="17"/>
  <c r="F54" i="17"/>
  <c r="F55" i="17"/>
  <c r="F56" i="17"/>
  <c r="F57" i="17"/>
  <c r="F58" i="17"/>
  <c r="F59" i="17"/>
  <c r="F60" i="17"/>
  <c r="F61" i="17"/>
  <c r="F62" i="17"/>
  <c r="F63" i="17"/>
  <c r="F64" i="17"/>
  <c r="F53" i="17"/>
  <c r="F43" i="17"/>
  <c r="F44" i="17"/>
  <c r="F45" i="17"/>
  <c r="F46" i="17"/>
  <c r="F47" i="17"/>
  <c r="F48" i="17"/>
  <c r="F49" i="17"/>
  <c r="F50" i="17"/>
  <c r="F51" i="17"/>
  <c r="F52" i="17"/>
  <c r="F42" i="17"/>
  <c r="F40" i="17"/>
  <c r="F41" i="17"/>
  <c r="F39" i="17"/>
  <c r="F38" i="17"/>
  <c r="F37" i="17"/>
  <c r="F34" i="17"/>
  <c r="F35" i="17"/>
  <c r="F36" i="17"/>
  <c r="F33" i="17"/>
  <c r="F32" i="17"/>
  <c r="F31" i="17"/>
  <c r="F30" i="17"/>
  <c r="F29" i="17"/>
  <c r="F27" i="17"/>
  <c r="F28" i="17"/>
  <c r="F26" i="17"/>
  <c r="F21" i="17"/>
  <c r="F22" i="17"/>
  <c r="F23" i="17"/>
  <c r="F24" i="17"/>
  <c r="F25" i="17"/>
  <c r="F20" i="17"/>
  <c r="F18" i="17"/>
  <c r="F19" i="17"/>
  <c r="F17" i="17"/>
  <c r="F16" i="17"/>
  <c r="F15" i="17"/>
  <c r="F13" i="17"/>
  <c r="F14" i="17"/>
  <c r="F12" i="17"/>
  <c r="F10" i="17"/>
  <c r="F11" i="17"/>
  <c r="F9" i="17"/>
  <c r="F6" i="17"/>
  <c r="F7" i="17"/>
  <c r="F8" i="17"/>
  <c r="X19" i="22"/>
  <c r="X5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4" i="22"/>
  <c r="Q4" i="22"/>
  <c r="U19" i="22"/>
  <c r="V19" i="22"/>
  <c r="W19" i="22"/>
  <c r="U18" i="22"/>
  <c r="V18" i="22"/>
  <c r="W18" i="22"/>
  <c r="U17" i="22"/>
  <c r="V17" i="22"/>
  <c r="W17" i="22"/>
  <c r="U16" i="22"/>
  <c r="V16" i="22"/>
  <c r="W16" i="22"/>
  <c r="U15" i="22"/>
  <c r="V15" i="22"/>
  <c r="W15" i="22"/>
  <c r="U14" i="22"/>
  <c r="V14" i="22"/>
  <c r="W14" i="22"/>
  <c r="U13" i="22"/>
  <c r="V13" i="22"/>
  <c r="W13" i="22"/>
  <c r="U12" i="22"/>
  <c r="V12" i="22"/>
  <c r="W12" i="22"/>
  <c r="U11" i="22"/>
  <c r="V11" i="22"/>
  <c r="W11" i="22"/>
  <c r="U10" i="22"/>
  <c r="V10" i="22"/>
  <c r="W10" i="22"/>
  <c r="U9" i="22"/>
  <c r="V9" i="22"/>
  <c r="W9" i="22"/>
  <c r="U8" i="22"/>
  <c r="V8" i="22"/>
  <c r="W8" i="22"/>
  <c r="U7" i="22"/>
  <c r="V7" i="22"/>
  <c r="W7" i="22"/>
  <c r="U6" i="22"/>
  <c r="V6" i="22"/>
  <c r="W6" i="22"/>
  <c r="U5" i="22"/>
  <c r="V5" i="22"/>
  <c r="W5" i="22"/>
  <c r="U4" i="22"/>
  <c r="V4" i="22"/>
  <c r="W4" i="22"/>
  <c r="C105" i="7"/>
  <c r="D105" i="7"/>
  <c r="E105" i="7"/>
  <c r="G105" i="7"/>
  <c r="C106" i="7"/>
  <c r="D106" i="7"/>
  <c r="E106" i="7"/>
  <c r="G106" i="7"/>
  <c r="C107" i="7"/>
  <c r="D107" i="7"/>
  <c r="E107" i="7"/>
  <c r="G107" i="7"/>
  <c r="C108" i="7"/>
  <c r="D108" i="7"/>
  <c r="E108" i="7"/>
  <c r="G108" i="7"/>
  <c r="C109" i="7"/>
  <c r="D109" i="7"/>
  <c r="E109" i="7"/>
  <c r="G109" i="7"/>
  <c r="C110" i="7"/>
  <c r="D110" i="7"/>
  <c r="E110" i="7"/>
  <c r="G110" i="7"/>
  <c r="C111" i="7"/>
  <c r="D111" i="7"/>
  <c r="E111" i="7"/>
  <c r="G111" i="7"/>
  <c r="C112" i="7"/>
  <c r="D112" i="7"/>
  <c r="E112" i="7"/>
  <c r="G112" i="7"/>
  <c r="C113" i="7"/>
  <c r="D113" i="7"/>
  <c r="E113" i="7"/>
  <c r="G113" i="7"/>
  <c r="C114" i="7"/>
  <c r="D114" i="7"/>
  <c r="E114" i="7"/>
  <c r="G114" i="7"/>
  <c r="C115" i="7"/>
  <c r="D115" i="7"/>
  <c r="E115" i="7"/>
  <c r="G115" i="7"/>
  <c r="C116" i="7"/>
  <c r="D116" i="7"/>
  <c r="E116" i="7"/>
  <c r="G116" i="7"/>
  <c r="C117" i="7"/>
  <c r="D117" i="7"/>
  <c r="E117" i="7"/>
  <c r="G117" i="7"/>
  <c r="C118" i="7"/>
  <c r="D118" i="7"/>
  <c r="E118" i="7"/>
  <c r="G118" i="7"/>
  <c r="C119" i="7"/>
  <c r="D119" i="7"/>
  <c r="E119" i="7"/>
  <c r="G119" i="7"/>
  <c r="C120" i="7"/>
  <c r="D120" i="7"/>
  <c r="E120" i="7"/>
  <c r="G120" i="7"/>
  <c r="C121" i="7"/>
  <c r="D121" i="7"/>
  <c r="E121" i="7"/>
  <c r="G121" i="7"/>
  <c r="C122" i="7"/>
  <c r="D122" i="7"/>
  <c r="E122" i="7"/>
  <c r="G122" i="7"/>
  <c r="C123" i="7"/>
  <c r="D123" i="7"/>
  <c r="E123" i="7"/>
  <c r="G123" i="7"/>
  <c r="C124" i="7"/>
  <c r="D124" i="7"/>
  <c r="E124" i="7"/>
  <c r="G124" i="7"/>
  <c r="C125" i="7"/>
  <c r="D125" i="7"/>
  <c r="E125" i="7"/>
  <c r="G125" i="7"/>
  <c r="C126" i="7"/>
  <c r="D126" i="7"/>
  <c r="E126" i="7"/>
  <c r="G126" i="7"/>
  <c r="C127" i="7"/>
  <c r="D127" i="7"/>
  <c r="E127" i="7"/>
  <c r="G127" i="7"/>
  <c r="C128" i="7"/>
  <c r="D128" i="7"/>
  <c r="E128" i="7"/>
  <c r="G128" i="7"/>
  <c r="C129" i="7"/>
  <c r="D129" i="7"/>
  <c r="E129" i="7"/>
  <c r="G129" i="7"/>
  <c r="C130" i="7"/>
  <c r="D130" i="7"/>
  <c r="E130" i="7"/>
  <c r="G130" i="7"/>
  <c r="C131" i="7"/>
  <c r="D131" i="7"/>
  <c r="E131" i="7"/>
  <c r="G131" i="7"/>
  <c r="C132" i="7"/>
  <c r="D132" i="7"/>
  <c r="E132" i="7"/>
  <c r="G132" i="7"/>
  <c r="C133" i="7"/>
  <c r="D133" i="7"/>
  <c r="E133" i="7"/>
  <c r="G133" i="7"/>
  <c r="C134" i="7"/>
  <c r="D134" i="7"/>
  <c r="E134" i="7"/>
  <c r="G134" i="7"/>
  <c r="C135" i="7"/>
  <c r="D135" i="7"/>
  <c r="E135" i="7"/>
  <c r="G135" i="7"/>
  <c r="C136" i="7"/>
  <c r="D136" i="7"/>
  <c r="E136" i="7"/>
  <c r="G136" i="7"/>
  <c r="C137" i="7"/>
  <c r="D137" i="7"/>
  <c r="E137" i="7"/>
  <c r="G137" i="7"/>
  <c r="C138" i="7"/>
  <c r="D138" i="7"/>
  <c r="E138" i="7"/>
  <c r="G138" i="7"/>
  <c r="C139" i="7"/>
  <c r="D139" i="7"/>
  <c r="E139" i="7"/>
  <c r="G139" i="7"/>
  <c r="C140" i="7"/>
  <c r="D140" i="7"/>
  <c r="E140" i="7"/>
  <c r="G140" i="7"/>
  <c r="C141" i="7"/>
  <c r="D141" i="7"/>
  <c r="E141" i="7"/>
  <c r="G141" i="7"/>
  <c r="C142" i="7"/>
  <c r="D142" i="7"/>
  <c r="E142" i="7"/>
  <c r="G142" i="7"/>
  <c r="C143" i="7"/>
  <c r="D143" i="7"/>
  <c r="E143" i="7"/>
  <c r="G143" i="7"/>
  <c r="C144" i="7"/>
  <c r="D144" i="7"/>
  <c r="E144" i="7"/>
  <c r="G144" i="7"/>
  <c r="C145" i="7"/>
  <c r="D145" i="7"/>
  <c r="E145" i="7"/>
  <c r="G145" i="7"/>
  <c r="C146" i="7"/>
  <c r="D146" i="7"/>
  <c r="E146" i="7"/>
  <c r="G146" i="7"/>
  <c r="C147" i="7"/>
  <c r="D147" i="7"/>
  <c r="E147" i="7"/>
  <c r="G147" i="7"/>
  <c r="C148" i="7"/>
  <c r="D148" i="7"/>
  <c r="E148" i="7"/>
  <c r="G148" i="7"/>
  <c r="C149" i="7"/>
  <c r="D149" i="7"/>
  <c r="E149" i="7"/>
  <c r="G149" i="7"/>
  <c r="C150" i="7"/>
  <c r="D150" i="7"/>
  <c r="E150" i="7"/>
  <c r="G150" i="7"/>
  <c r="C151" i="7"/>
  <c r="D151" i="7"/>
  <c r="E151" i="7"/>
  <c r="G151" i="7"/>
  <c r="C152" i="7"/>
  <c r="D152" i="7"/>
  <c r="E152" i="7"/>
  <c r="G152" i="7"/>
  <c r="C153" i="7"/>
  <c r="D153" i="7"/>
  <c r="E153" i="7"/>
  <c r="G153" i="7"/>
  <c r="C154" i="7"/>
  <c r="D154" i="7"/>
  <c r="E154" i="7"/>
  <c r="G154" i="7"/>
  <c r="C155" i="7"/>
  <c r="D155" i="7"/>
  <c r="E155" i="7"/>
  <c r="G155" i="7"/>
  <c r="C156" i="7"/>
  <c r="D156" i="7"/>
  <c r="E156" i="7"/>
  <c r="G156" i="7"/>
  <c r="C157" i="7"/>
  <c r="D157" i="7"/>
  <c r="E157" i="7"/>
  <c r="G157" i="7"/>
  <c r="C158" i="7"/>
  <c r="D158" i="7"/>
  <c r="E158" i="7"/>
  <c r="G158" i="7"/>
  <c r="C159" i="7"/>
  <c r="D159" i="7"/>
  <c r="E159" i="7"/>
  <c r="G159" i="7"/>
  <c r="C160" i="7"/>
  <c r="D160" i="7"/>
  <c r="E160" i="7"/>
  <c r="G160" i="7"/>
  <c r="C161" i="7"/>
  <c r="D161" i="7"/>
  <c r="E161" i="7"/>
  <c r="G161" i="7"/>
  <c r="C162" i="7"/>
  <c r="D162" i="7"/>
  <c r="E162" i="7"/>
  <c r="G162" i="7"/>
  <c r="C163" i="7"/>
  <c r="D163" i="7"/>
  <c r="E163" i="7"/>
  <c r="G163" i="7"/>
  <c r="C164" i="7"/>
  <c r="D164" i="7"/>
  <c r="E164" i="7"/>
  <c r="G164" i="7"/>
  <c r="C165" i="7"/>
  <c r="D165" i="7"/>
  <c r="E165" i="7"/>
  <c r="G165" i="7"/>
  <c r="C166" i="7"/>
  <c r="D166" i="7"/>
  <c r="E166" i="7"/>
  <c r="G166" i="7"/>
  <c r="C167" i="7"/>
  <c r="D167" i="7"/>
  <c r="E167" i="7"/>
  <c r="G167" i="7"/>
  <c r="C168" i="7"/>
  <c r="D168" i="7"/>
  <c r="E168" i="7"/>
  <c r="G168" i="7"/>
  <c r="C169" i="7"/>
  <c r="D169" i="7"/>
  <c r="E169" i="7"/>
  <c r="G169" i="7"/>
  <c r="C170" i="7"/>
  <c r="D170" i="7"/>
  <c r="E170" i="7"/>
  <c r="G170" i="7"/>
  <c r="C171" i="7"/>
  <c r="D171" i="7"/>
  <c r="E171" i="7"/>
  <c r="G171" i="7"/>
  <c r="C172" i="7"/>
  <c r="D172" i="7"/>
  <c r="E172" i="7"/>
  <c r="G172" i="7"/>
  <c r="C173" i="7"/>
  <c r="D173" i="7"/>
  <c r="E173" i="7"/>
  <c r="G173" i="7"/>
  <c r="C174" i="7"/>
  <c r="D174" i="7"/>
  <c r="E174" i="7"/>
  <c r="G174" i="7"/>
  <c r="C175" i="7"/>
  <c r="D175" i="7"/>
  <c r="E175" i="7"/>
  <c r="G175" i="7"/>
  <c r="C176" i="7"/>
  <c r="D176" i="7"/>
  <c r="E176" i="7"/>
  <c r="G176" i="7"/>
  <c r="C177" i="7"/>
  <c r="D177" i="7"/>
  <c r="E177" i="7"/>
  <c r="G177" i="7"/>
  <c r="C178" i="7"/>
  <c r="D178" i="7"/>
  <c r="E178" i="7"/>
  <c r="G178" i="7"/>
  <c r="C179" i="7"/>
  <c r="D179" i="7"/>
  <c r="E179" i="7"/>
  <c r="G179" i="7"/>
  <c r="C180" i="7"/>
  <c r="D180" i="7"/>
  <c r="E180" i="7"/>
  <c r="G180" i="7"/>
  <c r="C181" i="7"/>
  <c r="D181" i="7"/>
  <c r="E181" i="7"/>
  <c r="G181" i="7"/>
  <c r="C182" i="7"/>
  <c r="D182" i="7"/>
  <c r="E182" i="7"/>
  <c r="G182" i="7"/>
  <c r="C183" i="7"/>
  <c r="D183" i="7"/>
  <c r="E183" i="7"/>
  <c r="G183" i="7"/>
  <c r="C184" i="7"/>
  <c r="D184" i="7"/>
  <c r="E184" i="7"/>
  <c r="G184" i="7"/>
  <c r="C185" i="7"/>
  <c r="D185" i="7"/>
  <c r="E185" i="7"/>
  <c r="G185" i="7"/>
  <c r="C186" i="7"/>
  <c r="D186" i="7"/>
  <c r="E186" i="7"/>
  <c r="G186" i="7"/>
  <c r="C187" i="7"/>
  <c r="D187" i="7"/>
  <c r="E187" i="7"/>
  <c r="G187" i="7"/>
  <c r="C188" i="7"/>
  <c r="D188" i="7"/>
  <c r="E188" i="7"/>
  <c r="G188" i="7"/>
  <c r="C189" i="7"/>
  <c r="D189" i="7"/>
  <c r="E189" i="7"/>
  <c r="G189" i="7"/>
  <c r="C190" i="7"/>
  <c r="D190" i="7"/>
  <c r="E190" i="7"/>
  <c r="G190" i="7"/>
  <c r="C191" i="7"/>
  <c r="D191" i="7"/>
  <c r="E191" i="7"/>
  <c r="G191" i="7"/>
  <c r="C192" i="7"/>
  <c r="D192" i="7"/>
  <c r="E192" i="7"/>
  <c r="G192" i="7"/>
  <c r="C193" i="7"/>
  <c r="D193" i="7"/>
  <c r="E193" i="7"/>
  <c r="G193" i="7"/>
  <c r="C194" i="7"/>
  <c r="D194" i="7"/>
  <c r="E194" i="7"/>
  <c r="G194" i="7"/>
  <c r="C195" i="7"/>
  <c r="D195" i="7"/>
  <c r="E195" i="7"/>
  <c r="G195" i="7"/>
  <c r="C196" i="7"/>
  <c r="D196" i="7"/>
  <c r="E196" i="7"/>
  <c r="G196" i="7"/>
  <c r="C197" i="7"/>
  <c r="D197" i="7"/>
  <c r="E197" i="7"/>
  <c r="G197" i="7"/>
  <c r="C198" i="7"/>
  <c r="D198" i="7"/>
  <c r="E198" i="7"/>
  <c r="G198" i="7"/>
  <c r="C199" i="7"/>
  <c r="D199" i="7"/>
  <c r="E199" i="7"/>
  <c r="G199" i="7"/>
  <c r="C200" i="7"/>
  <c r="D200" i="7"/>
  <c r="E200" i="7"/>
  <c r="G200" i="7"/>
  <c r="C201" i="7"/>
  <c r="D201" i="7"/>
  <c r="E201" i="7"/>
  <c r="G201" i="7"/>
  <c r="B8" i="23"/>
  <c r="C107" i="17"/>
  <c r="D107" i="17"/>
  <c r="E107" i="17"/>
  <c r="G107" i="17"/>
  <c r="C108" i="17"/>
  <c r="D108" i="17"/>
  <c r="E108" i="17"/>
  <c r="G108" i="17"/>
  <c r="C109" i="17"/>
  <c r="D109" i="17"/>
  <c r="E109" i="17"/>
  <c r="G109" i="17"/>
  <c r="C110" i="17"/>
  <c r="D110" i="17"/>
  <c r="E110" i="17"/>
  <c r="G110" i="17"/>
  <c r="C111" i="17"/>
  <c r="D111" i="17"/>
  <c r="E111" i="17"/>
  <c r="G111" i="17"/>
  <c r="C112" i="17"/>
  <c r="D112" i="17"/>
  <c r="E112" i="17"/>
  <c r="G112" i="17"/>
  <c r="C113" i="17"/>
  <c r="D113" i="17"/>
  <c r="E113" i="17"/>
  <c r="G113" i="17"/>
  <c r="C114" i="17"/>
  <c r="D114" i="17"/>
  <c r="E114" i="17"/>
  <c r="G114" i="17"/>
  <c r="C115" i="17"/>
  <c r="D115" i="17"/>
  <c r="E115" i="17"/>
  <c r="G115" i="17"/>
  <c r="C116" i="17"/>
  <c r="D116" i="17"/>
  <c r="E116" i="17"/>
  <c r="G116" i="17"/>
  <c r="C117" i="17"/>
  <c r="D117" i="17"/>
  <c r="E117" i="17"/>
  <c r="G117" i="17"/>
  <c r="C118" i="17"/>
  <c r="D118" i="17"/>
  <c r="E118" i="17"/>
  <c r="G118" i="17"/>
  <c r="C119" i="17"/>
  <c r="D119" i="17"/>
  <c r="E119" i="17"/>
  <c r="G119" i="17"/>
  <c r="C120" i="17"/>
  <c r="D120" i="17"/>
  <c r="E120" i="17"/>
  <c r="G120" i="17"/>
  <c r="C121" i="17"/>
  <c r="D121" i="17"/>
  <c r="E121" i="17"/>
  <c r="G121" i="17"/>
  <c r="C122" i="17"/>
  <c r="D122" i="17"/>
  <c r="E122" i="17"/>
  <c r="G122" i="17"/>
  <c r="C123" i="17"/>
  <c r="D123" i="17"/>
  <c r="E123" i="17"/>
  <c r="G123" i="17"/>
  <c r="C124" i="17"/>
  <c r="D124" i="17"/>
  <c r="E124" i="17"/>
  <c r="G124" i="17"/>
  <c r="C125" i="17"/>
  <c r="D125" i="17"/>
  <c r="E125" i="17"/>
  <c r="G125" i="17"/>
  <c r="C126" i="17"/>
  <c r="D126" i="17"/>
  <c r="E126" i="17"/>
  <c r="G126" i="17"/>
  <c r="C127" i="17"/>
  <c r="D127" i="17"/>
  <c r="E127" i="17"/>
  <c r="G127" i="17"/>
  <c r="C128" i="17"/>
  <c r="D128" i="17"/>
  <c r="E128" i="17"/>
  <c r="G128" i="17"/>
  <c r="C129" i="17"/>
  <c r="D129" i="17"/>
  <c r="E129" i="17"/>
  <c r="G129" i="17"/>
  <c r="C130" i="17"/>
  <c r="D130" i="17"/>
  <c r="E130" i="17"/>
  <c r="G130" i="17"/>
  <c r="C131" i="17"/>
  <c r="D131" i="17"/>
  <c r="E131" i="17"/>
  <c r="G131" i="17"/>
  <c r="C132" i="17"/>
  <c r="D132" i="17"/>
  <c r="E132" i="17"/>
  <c r="G132" i="17"/>
  <c r="C133" i="17"/>
  <c r="D133" i="17"/>
  <c r="E133" i="17"/>
  <c r="G133" i="17"/>
  <c r="C134" i="17"/>
  <c r="D134" i="17"/>
  <c r="E134" i="17"/>
  <c r="G134" i="17"/>
  <c r="C135" i="17"/>
  <c r="D135" i="17"/>
  <c r="E135" i="17"/>
  <c r="G135" i="17"/>
  <c r="C136" i="17"/>
  <c r="D136" i="17"/>
  <c r="E136" i="17"/>
  <c r="G136" i="17"/>
  <c r="C137" i="17"/>
  <c r="D137" i="17"/>
  <c r="E137" i="17"/>
  <c r="G137" i="17"/>
  <c r="C138" i="17"/>
  <c r="D138" i="17"/>
  <c r="E138" i="17"/>
  <c r="G138" i="17"/>
  <c r="C139" i="17"/>
  <c r="D139" i="17"/>
  <c r="E139" i="17"/>
  <c r="G139" i="17"/>
  <c r="C140" i="17"/>
  <c r="D140" i="17"/>
  <c r="E140" i="17"/>
  <c r="G140" i="17"/>
  <c r="C141" i="17"/>
  <c r="D141" i="17"/>
  <c r="E141" i="17"/>
  <c r="G141" i="17"/>
  <c r="C142" i="17"/>
  <c r="D142" i="17"/>
  <c r="E142" i="17"/>
  <c r="G142" i="17"/>
  <c r="C143" i="17"/>
  <c r="D143" i="17"/>
  <c r="E143" i="17"/>
  <c r="G143" i="17"/>
  <c r="C144" i="17"/>
  <c r="D144" i="17"/>
  <c r="E144" i="17"/>
  <c r="G144" i="17"/>
  <c r="C145" i="17"/>
  <c r="D145" i="17"/>
  <c r="E145" i="17"/>
  <c r="G145" i="17"/>
  <c r="C146" i="17"/>
  <c r="D146" i="17"/>
  <c r="E146" i="17"/>
  <c r="G146" i="17"/>
  <c r="C147" i="17"/>
  <c r="D147" i="17"/>
  <c r="E147" i="17"/>
  <c r="G147" i="17"/>
  <c r="C148" i="17"/>
  <c r="D148" i="17"/>
  <c r="E148" i="17"/>
  <c r="G148" i="17"/>
  <c r="C149" i="17"/>
  <c r="D149" i="17"/>
  <c r="E149" i="17"/>
  <c r="G149" i="17"/>
  <c r="C150" i="17"/>
  <c r="D150" i="17"/>
  <c r="E150" i="17"/>
  <c r="G150" i="17"/>
  <c r="C151" i="17"/>
  <c r="D151" i="17"/>
  <c r="E151" i="17"/>
  <c r="G151" i="17"/>
  <c r="C152" i="17"/>
  <c r="D152" i="17"/>
  <c r="E152" i="17"/>
  <c r="G152" i="17"/>
  <c r="C153" i="17"/>
  <c r="D153" i="17"/>
  <c r="E153" i="17"/>
  <c r="G153" i="17"/>
  <c r="C154" i="17"/>
  <c r="D154" i="17"/>
  <c r="E154" i="17"/>
  <c r="G154" i="17"/>
  <c r="C155" i="17"/>
  <c r="D155" i="17"/>
  <c r="E155" i="17"/>
  <c r="G155" i="17"/>
  <c r="C156" i="17"/>
  <c r="D156" i="17"/>
  <c r="E156" i="17"/>
  <c r="G156" i="17"/>
  <c r="C157" i="17"/>
  <c r="D157" i="17"/>
  <c r="E157" i="17"/>
  <c r="G157" i="17"/>
  <c r="C158" i="17"/>
  <c r="D158" i="17"/>
  <c r="E158" i="17"/>
  <c r="G158" i="17"/>
  <c r="C159" i="17"/>
  <c r="D159" i="17"/>
  <c r="E159" i="17"/>
  <c r="G159" i="17"/>
  <c r="C160" i="17"/>
  <c r="D160" i="17"/>
  <c r="E160" i="17"/>
  <c r="G160" i="17"/>
  <c r="C161" i="17"/>
  <c r="D161" i="17"/>
  <c r="E161" i="17"/>
  <c r="G161" i="17"/>
  <c r="C162" i="17"/>
  <c r="D162" i="17"/>
  <c r="E162" i="17"/>
  <c r="G162" i="17"/>
  <c r="C163" i="17"/>
  <c r="D163" i="17"/>
  <c r="E163" i="17"/>
  <c r="G163" i="17"/>
  <c r="C164" i="17"/>
  <c r="D164" i="17"/>
  <c r="E164" i="17"/>
  <c r="G164" i="17"/>
  <c r="C165" i="17"/>
  <c r="D165" i="17"/>
  <c r="E165" i="17"/>
  <c r="G165" i="17"/>
  <c r="C166" i="17"/>
  <c r="D166" i="17"/>
  <c r="E166" i="17"/>
  <c r="G166" i="17"/>
  <c r="C167" i="17"/>
  <c r="D167" i="17"/>
  <c r="E167" i="17"/>
  <c r="G167" i="17"/>
  <c r="C168" i="17"/>
  <c r="D168" i="17"/>
  <c r="E168" i="17"/>
  <c r="G168" i="17"/>
  <c r="C169" i="17"/>
  <c r="D169" i="17"/>
  <c r="E169" i="17"/>
  <c r="G169" i="17"/>
  <c r="C170" i="17"/>
  <c r="D170" i="17"/>
  <c r="E170" i="17"/>
  <c r="G170" i="17"/>
  <c r="C171" i="17"/>
  <c r="D171" i="17"/>
  <c r="E171" i="17"/>
  <c r="G171" i="17"/>
  <c r="C172" i="17"/>
  <c r="D172" i="17"/>
  <c r="E172" i="17"/>
  <c r="G172" i="17"/>
  <c r="C173" i="17"/>
  <c r="D173" i="17"/>
  <c r="E173" i="17"/>
  <c r="G173" i="17"/>
  <c r="C174" i="17"/>
  <c r="D174" i="17"/>
  <c r="E174" i="17"/>
  <c r="G174" i="17"/>
  <c r="C175" i="17"/>
  <c r="D175" i="17"/>
  <c r="E175" i="17"/>
  <c r="G175" i="17"/>
  <c r="C176" i="17"/>
  <c r="D176" i="17"/>
  <c r="E176" i="17"/>
  <c r="G176" i="17"/>
  <c r="C177" i="17"/>
  <c r="D177" i="17"/>
  <c r="E177" i="17"/>
  <c r="G177" i="17"/>
  <c r="C178" i="17"/>
  <c r="D178" i="17"/>
  <c r="E178" i="17"/>
  <c r="G178" i="17"/>
  <c r="C179" i="17"/>
  <c r="D179" i="17"/>
  <c r="E179" i="17"/>
  <c r="G179" i="17"/>
  <c r="C180" i="17"/>
  <c r="D180" i="17"/>
  <c r="E180" i="17"/>
  <c r="G180" i="17"/>
  <c r="C181" i="17"/>
  <c r="D181" i="17"/>
  <c r="E181" i="17"/>
  <c r="G181" i="17"/>
  <c r="C182" i="17"/>
  <c r="D182" i="17"/>
  <c r="E182" i="17"/>
  <c r="G182" i="17"/>
  <c r="C183" i="17"/>
  <c r="D183" i="17"/>
  <c r="E183" i="17"/>
  <c r="G183" i="17"/>
  <c r="C184" i="17"/>
  <c r="D184" i="17"/>
  <c r="E184" i="17"/>
  <c r="G184" i="17"/>
  <c r="C185" i="17"/>
  <c r="D185" i="17"/>
  <c r="E185" i="17"/>
  <c r="G185" i="17"/>
  <c r="C186" i="17"/>
  <c r="D186" i="17"/>
  <c r="E186" i="17"/>
  <c r="G186" i="17"/>
  <c r="C187" i="17"/>
  <c r="D187" i="17"/>
  <c r="E187" i="17"/>
  <c r="G187" i="17"/>
  <c r="C188" i="17"/>
  <c r="D188" i="17"/>
  <c r="E188" i="17"/>
  <c r="G188" i="17"/>
  <c r="C189" i="17"/>
  <c r="D189" i="17"/>
  <c r="E189" i="17"/>
  <c r="G189" i="17"/>
  <c r="C190" i="17"/>
  <c r="D190" i="17"/>
  <c r="E190" i="17"/>
  <c r="G190" i="17"/>
  <c r="C191" i="17"/>
  <c r="D191" i="17"/>
  <c r="E191" i="17"/>
  <c r="G191" i="17"/>
  <c r="C192" i="17"/>
  <c r="D192" i="17"/>
  <c r="E192" i="17"/>
  <c r="G192" i="17"/>
  <c r="C193" i="17"/>
  <c r="D193" i="17"/>
  <c r="E193" i="17"/>
  <c r="G193" i="17"/>
  <c r="C194" i="17"/>
  <c r="D194" i="17"/>
  <c r="E194" i="17"/>
  <c r="G194" i="17"/>
  <c r="C195" i="17"/>
  <c r="D195" i="17"/>
  <c r="E195" i="17"/>
  <c r="G195" i="17"/>
  <c r="C196" i="17"/>
  <c r="D196" i="17"/>
  <c r="E196" i="17"/>
  <c r="G196" i="17"/>
  <c r="C197" i="17"/>
  <c r="D197" i="17"/>
  <c r="E197" i="17"/>
  <c r="G197" i="17"/>
  <c r="C198" i="17"/>
  <c r="D198" i="17"/>
  <c r="E198" i="17"/>
  <c r="G198" i="17"/>
  <c r="C199" i="17"/>
  <c r="D199" i="17"/>
  <c r="E199" i="17"/>
  <c r="G199" i="17"/>
  <c r="C200" i="17"/>
  <c r="D200" i="17"/>
  <c r="E200" i="17"/>
  <c r="G200" i="17"/>
  <c r="C201" i="17"/>
  <c r="D201" i="17"/>
  <c r="E201" i="17"/>
  <c r="G201" i="17"/>
  <c r="C202" i="17"/>
  <c r="D202" i="17"/>
  <c r="E202" i="17"/>
  <c r="G202" i="17"/>
  <c r="C203" i="17"/>
  <c r="D203" i="17"/>
  <c r="E203" i="17"/>
  <c r="G203" i="17"/>
  <c r="B7" i="2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I19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L39" i="8"/>
  <c r="L24" i="8"/>
  <c r="B6" i="23"/>
  <c r="L19" i="8"/>
  <c r="L4" i="8"/>
  <c r="B5" i="23"/>
  <c r="T19" i="8"/>
  <c r="T4" i="8"/>
  <c r="B4" i="23"/>
  <c r="C5" i="7"/>
  <c r="D5" i="7"/>
  <c r="E5" i="7"/>
  <c r="G5" i="7"/>
  <c r="C6" i="7"/>
  <c r="D6" i="7"/>
  <c r="E6" i="7"/>
  <c r="G6" i="7"/>
  <c r="C7" i="7"/>
  <c r="D7" i="7"/>
  <c r="E7" i="7"/>
  <c r="G7" i="7"/>
  <c r="C8" i="7"/>
  <c r="D8" i="7"/>
  <c r="E8" i="7"/>
  <c r="G8" i="7"/>
  <c r="C9" i="7"/>
  <c r="D9" i="7"/>
  <c r="E9" i="7"/>
  <c r="G9" i="7"/>
  <c r="C10" i="7"/>
  <c r="D10" i="7"/>
  <c r="E10" i="7"/>
  <c r="G10" i="7"/>
  <c r="C11" i="7"/>
  <c r="D11" i="7"/>
  <c r="E11" i="7"/>
  <c r="G11" i="7"/>
  <c r="C12" i="7"/>
  <c r="D12" i="7"/>
  <c r="E12" i="7"/>
  <c r="G12" i="7"/>
  <c r="C13" i="7"/>
  <c r="D13" i="7"/>
  <c r="E13" i="7"/>
  <c r="G13" i="7"/>
  <c r="C14" i="7"/>
  <c r="D14" i="7"/>
  <c r="E14" i="7"/>
  <c r="G14" i="7"/>
  <c r="C15" i="7"/>
  <c r="D15" i="7"/>
  <c r="E15" i="7"/>
  <c r="G15" i="7"/>
  <c r="C16" i="7"/>
  <c r="D16" i="7"/>
  <c r="E16" i="7"/>
  <c r="G16" i="7"/>
  <c r="C17" i="7"/>
  <c r="D17" i="7"/>
  <c r="E17" i="7"/>
  <c r="G17" i="7"/>
  <c r="C18" i="7"/>
  <c r="D18" i="7"/>
  <c r="E18" i="7"/>
  <c r="G18" i="7"/>
  <c r="C19" i="7"/>
  <c r="D19" i="7"/>
  <c r="E19" i="7"/>
  <c r="G19" i="7"/>
  <c r="C20" i="7"/>
  <c r="D20" i="7"/>
  <c r="E20" i="7"/>
  <c r="G20" i="7"/>
  <c r="C21" i="7"/>
  <c r="D21" i="7"/>
  <c r="E21" i="7"/>
  <c r="G21" i="7"/>
  <c r="C22" i="7"/>
  <c r="D22" i="7"/>
  <c r="E22" i="7"/>
  <c r="G22" i="7"/>
  <c r="C23" i="7"/>
  <c r="D23" i="7"/>
  <c r="E23" i="7"/>
  <c r="G23" i="7"/>
  <c r="C24" i="7"/>
  <c r="D24" i="7"/>
  <c r="E24" i="7"/>
  <c r="G24" i="7"/>
  <c r="C25" i="7"/>
  <c r="D25" i="7"/>
  <c r="E25" i="7"/>
  <c r="G25" i="7"/>
  <c r="C26" i="7"/>
  <c r="D26" i="7"/>
  <c r="E26" i="7"/>
  <c r="G26" i="7"/>
  <c r="C27" i="7"/>
  <c r="D27" i="7"/>
  <c r="E27" i="7"/>
  <c r="G27" i="7"/>
  <c r="C28" i="7"/>
  <c r="D28" i="7"/>
  <c r="E28" i="7"/>
  <c r="G28" i="7"/>
  <c r="C29" i="7"/>
  <c r="D29" i="7"/>
  <c r="E29" i="7"/>
  <c r="G29" i="7"/>
  <c r="C30" i="7"/>
  <c r="D30" i="7"/>
  <c r="E30" i="7"/>
  <c r="G30" i="7"/>
  <c r="C31" i="7"/>
  <c r="D31" i="7"/>
  <c r="E31" i="7"/>
  <c r="G31" i="7"/>
  <c r="C32" i="7"/>
  <c r="D32" i="7"/>
  <c r="E32" i="7"/>
  <c r="G32" i="7"/>
  <c r="C33" i="7"/>
  <c r="D33" i="7"/>
  <c r="E33" i="7"/>
  <c r="G33" i="7"/>
  <c r="C34" i="7"/>
  <c r="D34" i="7"/>
  <c r="E34" i="7"/>
  <c r="G34" i="7"/>
  <c r="C35" i="7"/>
  <c r="D35" i="7"/>
  <c r="E35" i="7"/>
  <c r="G35" i="7"/>
  <c r="C36" i="7"/>
  <c r="D36" i="7"/>
  <c r="E36" i="7"/>
  <c r="G36" i="7"/>
  <c r="C37" i="7"/>
  <c r="D37" i="7"/>
  <c r="E37" i="7"/>
  <c r="G37" i="7"/>
  <c r="C38" i="7"/>
  <c r="D38" i="7"/>
  <c r="E38" i="7"/>
  <c r="G38" i="7"/>
  <c r="C39" i="7"/>
  <c r="D39" i="7"/>
  <c r="E39" i="7"/>
  <c r="G39" i="7"/>
  <c r="C40" i="7"/>
  <c r="D40" i="7"/>
  <c r="E40" i="7"/>
  <c r="G40" i="7"/>
  <c r="C41" i="7"/>
  <c r="D41" i="7"/>
  <c r="E41" i="7"/>
  <c r="G41" i="7"/>
  <c r="C42" i="7"/>
  <c r="D42" i="7"/>
  <c r="E42" i="7"/>
  <c r="G42" i="7"/>
  <c r="C43" i="7"/>
  <c r="D43" i="7"/>
  <c r="E43" i="7"/>
  <c r="G43" i="7"/>
  <c r="C44" i="7"/>
  <c r="D44" i="7"/>
  <c r="E44" i="7"/>
  <c r="G44" i="7"/>
  <c r="C45" i="7"/>
  <c r="D45" i="7"/>
  <c r="E45" i="7"/>
  <c r="G45" i="7"/>
  <c r="C46" i="7"/>
  <c r="D46" i="7"/>
  <c r="E46" i="7"/>
  <c r="G46" i="7"/>
  <c r="C47" i="7"/>
  <c r="D47" i="7"/>
  <c r="E47" i="7"/>
  <c r="G47" i="7"/>
  <c r="C48" i="7"/>
  <c r="D48" i="7"/>
  <c r="E48" i="7"/>
  <c r="G48" i="7"/>
  <c r="C49" i="7"/>
  <c r="D49" i="7"/>
  <c r="E49" i="7"/>
  <c r="G49" i="7"/>
  <c r="C50" i="7"/>
  <c r="D50" i="7"/>
  <c r="E50" i="7"/>
  <c r="G50" i="7"/>
  <c r="C51" i="7"/>
  <c r="D51" i="7"/>
  <c r="E51" i="7"/>
  <c r="G51" i="7"/>
  <c r="C52" i="7"/>
  <c r="D52" i="7"/>
  <c r="E52" i="7"/>
  <c r="G52" i="7"/>
  <c r="C53" i="7"/>
  <c r="D53" i="7"/>
  <c r="E53" i="7"/>
  <c r="G53" i="7"/>
  <c r="C54" i="7"/>
  <c r="D54" i="7"/>
  <c r="E54" i="7"/>
  <c r="G54" i="7"/>
  <c r="C55" i="7"/>
  <c r="D55" i="7"/>
  <c r="E55" i="7"/>
  <c r="G55" i="7"/>
  <c r="C56" i="7"/>
  <c r="D56" i="7"/>
  <c r="E56" i="7"/>
  <c r="G56" i="7"/>
  <c r="C57" i="7"/>
  <c r="D57" i="7"/>
  <c r="E57" i="7"/>
  <c r="G57" i="7"/>
  <c r="C58" i="7"/>
  <c r="D58" i="7"/>
  <c r="E58" i="7"/>
  <c r="G58" i="7"/>
  <c r="C59" i="7"/>
  <c r="D59" i="7"/>
  <c r="E59" i="7"/>
  <c r="G59" i="7"/>
  <c r="C60" i="7"/>
  <c r="D60" i="7"/>
  <c r="E60" i="7"/>
  <c r="G60" i="7"/>
  <c r="C61" i="7"/>
  <c r="D61" i="7"/>
  <c r="E61" i="7"/>
  <c r="G61" i="7"/>
  <c r="C62" i="7"/>
  <c r="D62" i="7"/>
  <c r="E62" i="7"/>
  <c r="G62" i="7"/>
  <c r="C63" i="7"/>
  <c r="D63" i="7"/>
  <c r="E63" i="7"/>
  <c r="G63" i="7"/>
  <c r="C64" i="7"/>
  <c r="D64" i="7"/>
  <c r="E64" i="7"/>
  <c r="G64" i="7"/>
  <c r="C65" i="7"/>
  <c r="D65" i="7"/>
  <c r="E65" i="7"/>
  <c r="G65" i="7"/>
  <c r="C66" i="7"/>
  <c r="D66" i="7"/>
  <c r="E66" i="7"/>
  <c r="G66" i="7"/>
  <c r="C67" i="7"/>
  <c r="D67" i="7"/>
  <c r="E67" i="7"/>
  <c r="G67" i="7"/>
  <c r="C68" i="7"/>
  <c r="D68" i="7"/>
  <c r="E68" i="7"/>
  <c r="G68" i="7"/>
  <c r="C69" i="7"/>
  <c r="D69" i="7"/>
  <c r="E69" i="7"/>
  <c r="G69" i="7"/>
  <c r="C70" i="7"/>
  <c r="D70" i="7"/>
  <c r="E70" i="7"/>
  <c r="G70" i="7"/>
  <c r="C71" i="7"/>
  <c r="D71" i="7"/>
  <c r="E71" i="7"/>
  <c r="G71" i="7"/>
  <c r="C72" i="7"/>
  <c r="D72" i="7"/>
  <c r="E72" i="7"/>
  <c r="G72" i="7"/>
  <c r="C73" i="7"/>
  <c r="D73" i="7"/>
  <c r="E73" i="7"/>
  <c r="G73" i="7"/>
  <c r="C74" i="7"/>
  <c r="D74" i="7"/>
  <c r="E74" i="7"/>
  <c r="G74" i="7"/>
  <c r="C75" i="7"/>
  <c r="D75" i="7"/>
  <c r="E75" i="7"/>
  <c r="G75" i="7"/>
  <c r="C76" i="7"/>
  <c r="D76" i="7"/>
  <c r="E76" i="7"/>
  <c r="G76" i="7"/>
  <c r="C77" i="7"/>
  <c r="D77" i="7"/>
  <c r="E77" i="7"/>
  <c r="G77" i="7"/>
  <c r="C78" i="7"/>
  <c r="D78" i="7"/>
  <c r="E78" i="7"/>
  <c r="G78" i="7"/>
  <c r="C79" i="7"/>
  <c r="D79" i="7"/>
  <c r="E79" i="7"/>
  <c r="G79" i="7"/>
  <c r="C80" i="7"/>
  <c r="D80" i="7"/>
  <c r="E80" i="7"/>
  <c r="G80" i="7"/>
  <c r="C81" i="7"/>
  <c r="D81" i="7"/>
  <c r="E81" i="7"/>
  <c r="G81" i="7"/>
  <c r="C82" i="7"/>
  <c r="D82" i="7"/>
  <c r="E82" i="7"/>
  <c r="G82" i="7"/>
  <c r="C83" i="7"/>
  <c r="D83" i="7"/>
  <c r="E83" i="7"/>
  <c r="G83" i="7"/>
  <c r="C84" i="7"/>
  <c r="D84" i="7"/>
  <c r="E84" i="7"/>
  <c r="G84" i="7"/>
  <c r="C85" i="7"/>
  <c r="D85" i="7"/>
  <c r="E85" i="7"/>
  <c r="G85" i="7"/>
  <c r="C86" i="7"/>
  <c r="D86" i="7"/>
  <c r="E86" i="7"/>
  <c r="G86" i="7"/>
  <c r="C87" i="7"/>
  <c r="D87" i="7"/>
  <c r="E87" i="7"/>
  <c r="G87" i="7"/>
  <c r="C88" i="7"/>
  <c r="D88" i="7"/>
  <c r="E88" i="7"/>
  <c r="G88" i="7"/>
  <c r="C89" i="7"/>
  <c r="D89" i="7"/>
  <c r="E89" i="7"/>
  <c r="G89" i="7"/>
  <c r="C90" i="7"/>
  <c r="D90" i="7"/>
  <c r="E90" i="7"/>
  <c r="G90" i="7"/>
  <c r="C91" i="7"/>
  <c r="D91" i="7"/>
  <c r="E91" i="7"/>
  <c r="G91" i="7"/>
  <c r="C92" i="7"/>
  <c r="D92" i="7"/>
  <c r="E92" i="7"/>
  <c r="G92" i="7"/>
  <c r="C93" i="7"/>
  <c r="D93" i="7"/>
  <c r="E93" i="7"/>
  <c r="G93" i="7"/>
  <c r="C94" i="7"/>
  <c r="D94" i="7"/>
  <c r="E94" i="7"/>
  <c r="G94" i="7"/>
  <c r="C95" i="7"/>
  <c r="D95" i="7"/>
  <c r="E95" i="7"/>
  <c r="G95" i="7"/>
  <c r="C96" i="7"/>
  <c r="D96" i="7"/>
  <c r="E96" i="7"/>
  <c r="G96" i="7"/>
  <c r="C97" i="7"/>
  <c r="D97" i="7"/>
  <c r="E97" i="7"/>
  <c r="G97" i="7"/>
  <c r="C98" i="7"/>
  <c r="D98" i="7"/>
  <c r="E98" i="7"/>
  <c r="G98" i="7"/>
  <c r="C99" i="7"/>
  <c r="D99" i="7"/>
  <c r="E99" i="7"/>
  <c r="G99" i="7"/>
  <c r="C100" i="7"/>
  <c r="D100" i="7"/>
  <c r="E100" i="7"/>
  <c r="G100" i="7"/>
  <c r="C101" i="7"/>
  <c r="D101" i="7"/>
  <c r="E101" i="7"/>
  <c r="G101" i="7"/>
  <c r="H4" i="8"/>
  <c r="H19" i="8"/>
  <c r="B2" i="23"/>
  <c r="P4" i="8"/>
  <c r="P19" i="8"/>
  <c r="B3" i="23"/>
  <c r="B12" i="23"/>
  <c r="M39" i="8"/>
  <c r="M24" i="8"/>
  <c r="C6" i="23"/>
  <c r="M19" i="8"/>
  <c r="M4" i="8"/>
  <c r="C5" i="23"/>
  <c r="U4" i="8"/>
  <c r="U19" i="8"/>
  <c r="C4" i="23"/>
  <c r="Q4" i="8"/>
  <c r="Q19" i="8"/>
  <c r="C3" i="23"/>
  <c r="I4" i="8"/>
  <c r="I19" i="8"/>
  <c r="C2" i="23"/>
  <c r="F19" i="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4" i="22"/>
  <c r="J19" i="2"/>
  <c r="K19" i="2"/>
  <c r="G7" i="19"/>
  <c r="R73" i="22"/>
  <c r="R78" i="22"/>
  <c r="R68" i="22"/>
  <c r="C5" i="17"/>
  <c r="D5" i="17"/>
  <c r="E5" i="17"/>
  <c r="F5" i="17"/>
  <c r="G5" i="17"/>
  <c r="C6" i="17"/>
  <c r="D6" i="17"/>
  <c r="E6" i="17"/>
  <c r="G6" i="17"/>
  <c r="C7" i="17"/>
  <c r="D7" i="17"/>
  <c r="E7" i="17"/>
  <c r="G7" i="17"/>
  <c r="C8" i="17"/>
  <c r="D8" i="17"/>
  <c r="E8" i="17"/>
  <c r="G8" i="17"/>
  <c r="C9" i="17"/>
  <c r="D9" i="17"/>
  <c r="E9" i="17"/>
  <c r="G9" i="17"/>
  <c r="C10" i="17"/>
  <c r="D10" i="17"/>
  <c r="E10" i="17"/>
  <c r="G10" i="17"/>
  <c r="C11" i="17"/>
  <c r="D11" i="17"/>
  <c r="E11" i="17"/>
  <c r="G11" i="17"/>
  <c r="C12" i="17"/>
  <c r="D12" i="17"/>
  <c r="E12" i="17"/>
  <c r="G12" i="17"/>
  <c r="C13" i="17"/>
  <c r="D13" i="17"/>
  <c r="E13" i="17"/>
  <c r="G13" i="17"/>
  <c r="C14" i="17"/>
  <c r="D14" i="17"/>
  <c r="E14" i="17"/>
  <c r="G14" i="17"/>
  <c r="C15" i="17"/>
  <c r="D15" i="17"/>
  <c r="E15" i="17"/>
  <c r="G15" i="17"/>
  <c r="C16" i="17"/>
  <c r="D16" i="17"/>
  <c r="E16" i="17"/>
  <c r="G16" i="17"/>
  <c r="C17" i="17"/>
  <c r="D17" i="17"/>
  <c r="E17" i="17"/>
  <c r="G17" i="17"/>
  <c r="C18" i="17"/>
  <c r="D18" i="17"/>
  <c r="E18" i="17"/>
  <c r="G18" i="17"/>
  <c r="C19" i="17"/>
  <c r="D19" i="17"/>
  <c r="E19" i="17"/>
  <c r="G19" i="17"/>
  <c r="C20" i="17"/>
  <c r="D20" i="17"/>
  <c r="E20" i="17"/>
  <c r="G20" i="17"/>
  <c r="C21" i="17"/>
  <c r="D21" i="17"/>
  <c r="E21" i="17"/>
  <c r="G21" i="17"/>
  <c r="C22" i="17"/>
  <c r="D22" i="17"/>
  <c r="E22" i="17"/>
  <c r="G22" i="17"/>
  <c r="C23" i="17"/>
  <c r="D23" i="17"/>
  <c r="E23" i="17"/>
  <c r="G23" i="17"/>
  <c r="C24" i="17"/>
  <c r="D24" i="17"/>
  <c r="E24" i="17"/>
  <c r="G24" i="17"/>
  <c r="C25" i="17"/>
  <c r="D25" i="17"/>
  <c r="E25" i="17"/>
  <c r="G25" i="17"/>
  <c r="C26" i="17"/>
  <c r="D26" i="17"/>
  <c r="E26" i="17"/>
  <c r="G26" i="17"/>
  <c r="C27" i="17"/>
  <c r="D27" i="17"/>
  <c r="E27" i="17"/>
  <c r="G27" i="17"/>
  <c r="C28" i="17"/>
  <c r="D28" i="17"/>
  <c r="E28" i="17"/>
  <c r="G28" i="17"/>
  <c r="C29" i="17"/>
  <c r="D29" i="17"/>
  <c r="E29" i="17"/>
  <c r="G29" i="17"/>
  <c r="C30" i="17"/>
  <c r="D30" i="17"/>
  <c r="E30" i="17"/>
  <c r="G30" i="17"/>
  <c r="C31" i="17"/>
  <c r="D31" i="17"/>
  <c r="E31" i="17"/>
  <c r="G31" i="17"/>
  <c r="C32" i="17"/>
  <c r="D32" i="17"/>
  <c r="E32" i="17"/>
  <c r="G32" i="17"/>
  <c r="C33" i="17"/>
  <c r="D33" i="17"/>
  <c r="E33" i="17"/>
  <c r="G33" i="17"/>
  <c r="C34" i="17"/>
  <c r="D34" i="17"/>
  <c r="E34" i="17"/>
  <c r="G34" i="17"/>
  <c r="C35" i="17"/>
  <c r="D35" i="17"/>
  <c r="E35" i="17"/>
  <c r="G35" i="17"/>
  <c r="C36" i="17"/>
  <c r="D36" i="17"/>
  <c r="E36" i="17"/>
  <c r="G36" i="17"/>
  <c r="C37" i="17"/>
  <c r="D37" i="17"/>
  <c r="E37" i="17"/>
  <c r="G37" i="17"/>
  <c r="C38" i="17"/>
  <c r="D38" i="17"/>
  <c r="E38" i="17"/>
  <c r="G38" i="17"/>
  <c r="C39" i="17"/>
  <c r="D39" i="17"/>
  <c r="E39" i="17"/>
  <c r="G39" i="17"/>
  <c r="C40" i="17"/>
  <c r="D40" i="17"/>
  <c r="E40" i="17"/>
  <c r="G40" i="17"/>
  <c r="C41" i="17"/>
  <c r="D41" i="17"/>
  <c r="E41" i="17"/>
  <c r="G41" i="17"/>
  <c r="C42" i="17"/>
  <c r="D42" i="17"/>
  <c r="E42" i="17"/>
  <c r="G42" i="17"/>
  <c r="C43" i="17"/>
  <c r="D43" i="17"/>
  <c r="E43" i="17"/>
  <c r="G43" i="17"/>
  <c r="C44" i="17"/>
  <c r="D44" i="17"/>
  <c r="E44" i="17"/>
  <c r="G44" i="17"/>
  <c r="C45" i="17"/>
  <c r="D45" i="17"/>
  <c r="E45" i="17"/>
  <c r="G45" i="17"/>
  <c r="C46" i="17"/>
  <c r="D46" i="17"/>
  <c r="E46" i="17"/>
  <c r="G46" i="17"/>
  <c r="C47" i="17"/>
  <c r="D47" i="17"/>
  <c r="E47" i="17"/>
  <c r="G47" i="17"/>
  <c r="C48" i="17"/>
  <c r="D48" i="17"/>
  <c r="E48" i="17"/>
  <c r="G48" i="17"/>
  <c r="C49" i="17"/>
  <c r="D49" i="17"/>
  <c r="E49" i="17"/>
  <c r="G49" i="17"/>
  <c r="C50" i="17"/>
  <c r="D50" i="17"/>
  <c r="E50" i="17"/>
  <c r="G50" i="17"/>
  <c r="C51" i="17"/>
  <c r="D51" i="17"/>
  <c r="E51" i="17"/>
  <c r="G51" i="17"/>
  <c r="C52" i="17"/>
  <c r="D52" i="17"/>
  <c r="E52" i="17"/>
  <c r="G52" i="17"/>
  <c r="C53" i="17"/>
  <c r="D53" i="17"/>
  <c r="E53" i="17"/>
  <c r="G53" i="17"/>
  <c r="C54" i="17"/>
  <c r="D54" i="17"/>
  <c r="E54" i="17"/>
  <c r="G54" i="17"/>
  <c r="C55" i="17"/>
  <c r="D55" i="17"/>
  <c r="E55" i="17"/>
  <c r="G55" i="17"/>
  <c r="C56" i="17"/>
  <c r="D56" i="17"/>
  <c r="E56" i="17"/>
  <c r="G56" i="17"/>
  <c r="C57" i="17"/>
  <c r="D57" i="17"/>
  <c r="E57" i="17"/>
  <c r="G57" i="17"/>
  <c r="C58" i="17"/>
  <c r="D58" i="17"/>
  <c r="E58" i="17"/>
  <c r="G58" i="17"/>
  <c r="C59" i="17"/>
  <c r="D59" i="17"/>
  <c r="E59" i="17"/>
  <c r="G59" i="17"/>
  <c r="C60" i="17"/>
  <c r="D60" i="17"/>
  <c r="E60" i="17"/>
  <c r="G60" i="17"/>
  <c r="C61" i="17"/>
  <c r="D61" i="17"/>
  <c r="E61" i="17"/>
  <c r="G61" i="17"/>
  <c r="C62" i="17"/>
  <c r="D62" i="17"/>
  <c r="E62" i="17"/>
  <c r="G62" i="17"/>
  <c r="C63" i="17"/>
  <c r="D63" i="17"/>
  <c r="E63" i="17"/>
  <c r="G63" i="17"/>
  <c r="C64" i="17"/>
  <c r="D64" i="17"/>
  <c r="E64" i="17"/>
  <c r="G64" i="17"/>
  <c r="C65" i="17"/>
  <c r="D65" i="17"/>
  <c r="E65" i="17"/>
  <c r="G65" i="17"/>
  <c r="C66" i="17"/>
  <c r="D66" i="17"/>
  <c r="E66" i="17"/>
  <c r="G66" i="17"/>
  <c r="C67" i="17"/>
  <c r="D67" i="17"/>
  <c r="E67" i="17"/>
  <c r="G67" i="17"/>
  <c r="C68" i="17"/>
  <c r="D68" i="17"/>
  <c r="E68" i="17"/>
  <c r="G68" i="17"/>
  <c r="C69" i="17"/>
  <c r="D69" i="17"/>
  <c r="E69" i="17"/>
  <c r="G69" i="17"/>
  <c r="C70" i="17"/>
  <c r="D70" i="17"/>
  <c r="E70" i="17"/>
  <c r="G70" i="17"/>
  <c r="C71" i="17"/>
  <c r="D71" i="17"/>
  <c r="E71" i="17"/>
  <c r="G71" i="17"/>
  <c r="C72" i="17"/>
  <c r="D72" i="17"/>
  <c r="E72" i="17"/>
  <c r="G72" i="17"/>
  <c r="C73" i="17"/>
  <c r="D73" i="17"/>
  <c r="E73" i="17"/>
  <c r="G73" i="17"/>
  <c r="C74" i="17"/>
  <c r="D74" i="17"/>
  <c r="E74" i="17"/>
  <c r="G74" i="17"/>
  <c r="C75" i="17"/>
  <c r="D75" i="17"/>
  <c r="E75" i="17"/>
  <c r="G75" i="17"/>
  <c r="C76" i="17"/>
  <c r="D76" i="17"/>
  <c r="E76" i="17"/>
  <c r="G76" i="17"/>
  <c r="C77" i="17"/>
  <c r="D77" i="17"/>
  <c r="E77" i="17"/>
  <c r="G77" i="17"/>
  <c r="C78" i="17"/>
  <c r="D78" i="17"/>
  <c r="E78" i="17"/>
  <c r="G78" i="17"/>
  <c r="C79" i="17"/>
  <c r="D79" i="17"/>
  <c r="E79" i="17"/>
  <c r="G79" i="17"/>
  <c r="C80" i="17"/>
  <c r="D80" i="17"/>
  <c r="E80" i="17"/>
  <c r="G80" i="17"/>
  <c r="C81" i="17"/>
  <c r="D81" i="17"/>
  <c r="E81" i="17"/>
  <c r="G81" i="17"/>
  <c r="C82" i="17"/>
  <c r="D82" i="17"/>
  <c r="E82" i="17"/>
  <c r="G82" i="17"/>
  <c r="C83" i="17"/>
  <c r="D83" i="17"/>
  <c r="E83" i="17"/>
  <c r="G83" i="17"/>
  <c r="C84" i="17"/>
  <c r="D84" i="17"/>
  <c r="E84" i="17"/>
  <c r="G84" i="17"/>
  <c r="C85" i="17"/>
  <c r="D85" i="17"/>
  <c r="E85" i="17"/>
  <c r="G85" i="17"/>
  <c r="C86" i="17"/>
  <c r="D86" i="17"/>
  <c r="E86" i="17"/>
  <c r="G86" i="17"/>
  <c r="C87" i="17"/>
  <c r="D87" i="17"/>
  <c r="E87" i="17"/>
  <c r="G87" i="17"/>
  <c r="C88" i="17"/>
  <c r="D88" i="17"/>
  <c r="E88" i="17"/>
  <c r="G88" i="17"/>
  <c r="C89" i="17"/>
  <c r="D89" i="17"/>
  <c r="E89" i="17"/>
  <c r="G89" i="17"/>
  <c r="C90" i="17"/>
  <c r="D90" i="17"/>
  <c r="E90" i="17"/>
  <c r="G90" i="17"/>
  <c r="C91" i="17"/>
  <c r="D91" i="17"/>
  <c r="E91" i="17"/>
  <c r="G91" i="17"/>
  <c r="C92" i="17"/>
  <c r="D92" i="17"/>
  <c r="E92" i="17"/>
  <c r="G92" i="17"/>
  <c r="C93" i="17"/>
  <c r="D93" i="17"/>
  <c r="E93" i="17"/>
  <c r="G93" i="17"/>
  <c r="C94" i="17"/>
  <c r="D94" i="17"/>
  <c r="E94" i="17"/>
  <c r="G94" i="17"/>
  <c r="C95" i="17"/>
  <c r="D95" i="17"/>
  <c r="E95" i="17"/>
  <c r="G95" i="17"/>
  <c r="C96" i="17"/>
  <c r="D96" i="17"/>
  <c r="E96" i="17"/>
  <c r="G96" i="17"/>
  <c r="C97" i="17"/>
  <c r="D97" i="17"/>
  <c r="E97" i="17"/>
  <c r="G97" i="17"/>
  <c r="C98" i="17"/>
  <c r="D98" i="17"/>
  <c r="E98" i="17"/>
  <c r="G98" i="17"/>
  <c r="C99" i="17"/>
  <c r="D99" i="17"/>
  <c r="E99" i="17"/>
  <c r="G99" i="17"/>
  <c r="C100" i="17"/>
  <c r="D100" i="17"/>
  <c r="E100" i="17"/>
  <c r="G100" i="17"/>
  <c r="C101" i="17"/>
  <c r="D101" i="17"/>
  <c r="E101" i="17"/>
  <c r="G101" i="17"/>
  <c r="D25" i="23"/>
  <c r="D26" i="23"/>
  <c r="C16" i="23"/>
  <c r="C17" i="23"/>
  <c r="C18" i="23"/>
  <c r="C20" i="23"/>
  <c r="C22" i="23"/>
  <c r="C23" i="23"/>
  <c r="C19" i="23"/>
  <c r="C25" i="23"/>
  <c r="C26" i="23"/>
  <c r="D21" i="23"/>
  <c r="D20" i="23"/>
  <c r="D18" i="23"/>
  <c r="D19" i="23"/>
  <c r="D17" i="23"/>
  <c r="D16" i="23"/>
  <c r="B10" i="23"/>
  <c r="B9" i="2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T73" i="22"/>
  <c r="Q5" i="22"/>
  <c r="T5" i="22"/>
  <c r="Q6" i="22"/>
  <c r="T6" i="22"/>
  <c r="Q7" i="22"/>
  <c r="T7" i="22"/>
  <c r="Q8" i="22"/>
  <c r="T8" i="22"/>
  <c r="Q9" i="22"/>
  <c r="T9" i="22"/>
  <c r="Q10" i="22"/>
  <c r="T10" i="22"/>
  <c r="Q11" i="22"/>
  <c r="T11" i="22"/>
  <c r="Q12" i="22"/>
  <c r="T12" i="22"/>
  <c r="Q13" i="22"/>
  <c r="T13" i="22"/>
  <c r="Q14" i="22"/>
  <c r="T14" i="22"/>
  <c r="Q15" i="22"/>
  <c r="T15" i="22"/>
  <c r="Q16" i="22"/>
  <c r="T16" i="22"/>
  <c r="Q17" i="22"/>
  <c r="T17" i="22"/>
  <c r="Q18" i="22"/>
  <c r="T18" i="22"/>
  <c r="Q19" i="22"/>
  <c r="T19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19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4" i="22"/>
  <c r="T13" i="8"/>
  <c r="C21" i="23"/>
  <c r="D24" i="23"/>
  <c r="C24" i="23"/>
  <c r="D22" i="23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3" i="4"/>
  <c r="I3" i="4"/>
  <c r="B13" i="23"/>
  <c r="H7" i="21"/>
  <c r="G7" i="21"/>
  <c r="G8" i="2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14"/>
  <c r="H18" i="14"/>
  <c r="G19" i="14"/>
  <c r="H19" i="14"/>
  <c r="G20" i="14"/>
  <c r="H20" i="14"/>
  <c r="G21" i="14"/>
  <c r="H21" i="14"/>
  <c r="G22" i="14"/>
  <c r="H22" i="14"/>
  <c r="G23" i="14"/>
  <c r="H23" i="14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8"/>
  <c r="H18" i="18"/>
  <c r="G19" i="18"/>
  <c r="H19" i="18"/>
  <c r="G20" i="18"/>
  <c r="H20" i="18"/>
  <c r="G21" i="18"/>
  <c r="H21" i="18"/>
  <c r="G22" i="18"/>
  <c r="H22" i="18"/>
  <c r="G23" i="18"/>
  <c r="H23" i="18"/>
  <c r="G18" i="15"/>
  <c r="H18" i="15"/>
  <c r="G19" i="15"/>
  <c r="H19" i="15"/>
  <c r="G20" i="15"/>
  <c r="H20" i="15"/>
  <c r="G21" i="15"/>
  <c r="H21" i="15"/>
  <c r="G22" i="15"/>
  <c r="H22" i="15"/>
  <c r="G23" i="15"/>
  <c r="H23" i="15"/>
  <c r="H34" i="8"/>
  <c r="I34" i="8"/>
  <c r="L34" i="8"/>
  <c r="M34" i="8"/>
  <c r="P34" i="8"/>
  <c r="Q34" i="8"/>
  <c r="H35" i="8"/>
  <c r="I35" i="8"/>
  <c r="L35" i="8"/>
  <c r="M35" i="8"/>
  <c r="P35" i="8"/>
  <c r="Q35" i="8"/>
  <c r="H36" i="8"/>
  <c r="I36" i="8"/>
  <c r="L36" i="8"/>
  <c r="M36" i="8"/>
  <c r="P36" i="8"/>
  <c r="Q36" i="8"/>
  <c r="H37" i="8"/>
  <c r="I37" i="8"/>
  <c r="L37" i="8"/>
  <c r="M37" i="8"/>
  <c r="P37" i="8"/>
  <c r="Q37" i="8"/>
  <c r="H38" i="8"/>
  <c r="I38" i="8"/>
  <c r="L38" i="8"/>
  <c r="M38" i="8"/>
  <c r="P38" i="8"/>
  <c r="Q38" i="8"/>
  <c r="H39" i="8"/>
  <c r="I39" i="8"/>
  <c r="P39" i="8"/>
  <c r="Q39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H17" i="18"/>
  <c r="G17" i="18"/>
  <c r="H16" i="18"/>
  <c r="G16" i="18"/>
  <c r="H15" i="18"/>
  <c r="G15" i="18"/>
  <c r="H14" i="18"/>
  <c r="G14" i="18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H8" i="14"/>
  <c r="H9" i="14"/>
  <c r="H10" i="14"/>
  <c r="H11" i="14"/>
  <c r="H12" i="14"/>
  <c r="H13" i="14"/>
  <c r="H14" i="14"/>
  <c r="H15" i="14"/>
  <c r="H16" i="14"/>
  <c r="H17" i="14"/>
  <c r="G8" i="14"/>
  <c r="G9" i="14"/>
  <c r="G10" i="14"/>
  <c r="G11" i="14"/>
  <c r="G12" i="14"/>
  <c r="G13" i="14"/>
  <c r="G14" i="14"/>
  <c r="G15" i="14"/>
  <c r="G16" i="14"/>
  <c r="G17" i="14"/>
  <c r="H7" i="14"/>
  <c r="G7" i="14"/>
  <c r="P23" i="8"/>
  <c r="L23" i="8"/>
  <c r="H23" i="8"/>
  <c r="U3" i="8"/>
  <c r="Q3" i="8"/>
  <c r="M3" i="8"/>
  <c r="Q23" i="8"/>
  <c r="M23" i="8"/>
  <c r="I23" i="8"/>
  <c r="T3" i="8"/>
  <c r="P3" i="8"/>
  <c r="L3" i="8"/>
  <c r="G3" i="5"/>
  <c r="P24" i="8"/>
  <c r="I24" i="8"/>
  <c r="Q24" i="8"/>
  <c r="H24" i="8"/>
  <c r="G4" i="5"/>
  <c r="L25" i="8"/>
  <c r="P5" i="8"/>
  <c r="I5" i="8"/>
  <c r="H5" i="8"/>
  <c r="T5" i="8"/>
  <c r="Q25" i="8"/>
  <c r="Q5" i="8"/>
  <c r="P25" i="8"/>
  <c r="H25" i="8"/>
  <c r="L5" i="8"/>
  <c r="M25" i="8"/>
  <c r="U5" i="8"/>
  <c r="I25" i="8"/>
  <c r="M5" i="8"/>
  <c r="L7" i="8"/>
  <c r="G5" i="5"/>
  <c r="I6" i="8"/>
  <c r="M26" i="8"/>
  <c r="I26" i="8"/>
  <c r="L26" i="8"/>
  <c r="Q26" i="8"/>
  <c r="P6" i="8"/>
  <c r="P26" i="8"/>
  <c r="H26" i="8"/>
  <c r="H6" i="8"/>
  <c r="L6" i="8"/>
  <c r="U6" i="8"/>
  <c r="Q6" i="8"/>
  <c r="T6" i="8"/>
  <c r="M6" i="8"/>
  <c r="P27" i="8"/>
  <c r="Q27" i="8"/>
  <c r="I27" i="8"/>
  <c r="M7" i="8"/>
  <c r="H27" i="8"/>
  <c r="I7" i="8"/>
  <c r="T7" i="8"/>
  <c r="U7" i="8"/>
  <c r="M27" i="8"/>
  <c r="Q7" i="8"/>
  <c r="L27" i="8"/>
  <c r="H7" i="8"/>
  <c r="P7" i="8"/>
  <c r="G6" i="5"/>
  <c r="U8" i="8"/>
  <c r="M8" i="8"/>
  <c r="I28" i="8"/>
  <c r="P28" i="8"/>
  <c r="L28" i="8"/>
  <c r="H8" i="8"/>
  <c r="H28" i="8"/>
  <c r="G7" i="5"/>
  <c r="T8" i="8"/>
  <c r="Q8" i="8"/>
  <c r="M28" i="8"/>
  <c r="T9" i="8"/>
  <c r="L8" i="8"/>
  <c r="I8" i="8"/>
  <c r="P8" i="8"/>
  <c r="Q28" i="8"/>
  <c r="L9" i="8"/>
  <c r="M29" i="8"/>
  <c r="U9" i="8"/>
  <c r="M9" i="8"/>
  <c r="H29" i="8"/>
  <c r="I29" i="8"/>
  <c r="P29" i="8"/>
  <c r="H9" i="8"/>
  <c r="P9" i="8"/>
  <c r="Q9" i="8"/>
  <c r="L29" i="8"/>
  <c r="G8" i="5"/>
  <c r="Q29" i="8"/>
  <c r="I9" i="8"/>
  <c r="Q30" i="8"/>
  <c r="U10" i="8"/>
  <c r="M30" i="8"/>
  <c r="H30" i="8"/>
  <c r="Q10" i="8"/>
  <c r="I10" i="8"/>
  <c r="T10" i="8"/>
  <c r="L10" i="8"/>
  <c r="G9" i="5"/>
  <c r="P30" i="8"/>
  <c r="P10" i="8"/>
  <c r="M10" i="8"/>
  <c r="L30" i="8"/>
  <c r="I30" i="8"/>
  <c r="H10" i="8"/>
  <c r="P31" i="8"/>
  <c r="L31" i="8"/>
  <c r="T11" i="8"/>
  <c r="L11" i="8"/>
  <c r="I31" i="8"/>
  <c r="Q11" i="8"/>
  <c r="I11" i="8"/>
  <c r="G10" i="5"/>
  <c r="M31" i="8"/>
  <c r="H31" i="8"/>
  <c r="P11" i="8"/>
  <c r="Q31" i="8"/>
  <c r="U11" i="8"/>
  <c r="M11" i="8"/>
  <c r="H11" i="8"/>
  <c r="Q32" i="8"/>
  <c r="U12" i="8"/>
  <c r="M12" i="8"/>
  <c r="H12" i="8"/>
  <c r="M32" i="8"/>
  <c r="H32" i="8"/>
  <c r="P12" i="8"/>
  <c r="G11" i="5"/>
  <c r="I32" i="8"/>
  <c r="Q12" i="8"/>
  <c r="I12" i="8"/>
  <c r="P32" i="8"/>
  <c r="L32" i="8"/>
  <c r="T12" i="8"/>
  <c r="L12" i="8"/>
  <c r="G12" i="5"/>
  <c r="H33" i="8"/>
  <c r="H13" i="8"/>
  <c r="U13" i="8"/>
  <c r="L33" i="8"/>
  <c r="L13" i="8"/>
  <c r="Q33" i="8"/>
  <c r="I33" i="8"/>
  <c r="Q13" i="8"/>
  <c r="I13" i="8"/>
  <c r="P33" i="8"/>
  <c r="P13" i="8"/>
  <c r="M33" i="8"/>
  <c r="M13" i="8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<sst xmlns="http://schemas.openxmlformats.org/spreadsheetml/2006/main" count="437" uniqueCount="186">
  <si>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</si>
  <si>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</si>
  <si>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</si>
  <si>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</si>
  <si>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</si>
  <si>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</si>
  <si>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</si>
  <si>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</si>
  <si>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</si>
  <si>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</si>
  <si>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</si>
  <si>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</si>
  <si>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</si>
  <si>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</si>
  <si>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</si>
  <si>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</si>
  <si>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</si>
  <si>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</si>
  <si>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</si>
  <si>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</si>
  <si>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</si>
  <si>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</si>
  <si>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</si>
  <si>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</si>
  <si>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</si>
  <si>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</si>
  <si>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</si>
  <si>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</si>
  <si>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</si>
  <si>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</si>
  <si>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</si>
  <si>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</si>
  <si>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</si>
  <si>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</si>
  <si>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</si>
  <si>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</si>
  <si>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</si>
  <si>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</si>
  <si>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</si>
  <si>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</si>
  <si>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</si>
  <si>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</si>
  <si>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</si>
  <si>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</si>
  <si>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</si>
  <si>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</si>
  <si>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</si>
  <si>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</si>
  <si>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</si>
  <si>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</si>
  <si>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</si>
  <si>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</si>
  <si>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</si>
  <si>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</si>
  <si>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</si>
  <si>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</si>
  <si>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</si>
  <si>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</si>
  <si>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</si>
  <si>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</si>
  <si>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</si>
  <si>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</si>
  <si>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</si>
  <si>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</si>
  <si>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</si>
  <si>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</si>
  <si>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</si>
  <si>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</si>
  <si>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</si>
  <si>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</si>
  <si>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</si>
  <si>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</si>
  <si>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</si>
  <si>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</si>
  <si>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</si>
  <si>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</si>
  <si>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</si>
  <si>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</si>
  <si>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</si>
  <si>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</si>
  <si>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</si>
  <si>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</si>
  <si>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</si>
  <si>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</si>
  <si>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</si>
  <si>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Neutralised soy pepton</t>
  </si>
  <si>
    <t>Trypton</t>
  </si>
  <si>
    <t>Granulated yeast extract</t>
  </si>
  <si>
    <t>Hemine</t>
  </si>
  <si>
    <t>Menadione</t>
  </si>
  <si>
    <t>/</t>
  </si>
  <si>
    <t>Selenite and tungsten</t>
  </si>
  <si>
    <t>1,0 ml of a 1000x stock solution</t>
  </si>
  <si>
    <t>Trace element solution SL-10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</si>
  <si>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</si>
  <si>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</si>
  <si>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</si>
  <si>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</si>
  <si>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</si>
  <si>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</si>
  <si>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</si>
  <si>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</si>
  <si>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</si>
  <si>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</si>
  <si>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</si>
  <si>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</si>
  <si>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</si>
  <si>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</si>
  <si>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</si>
  <si>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Acetic acid consumed</t>
  </si>
  <si>
    <t>Formic acid produced</t>
  </si>
  <si>
    <t>Lactic acid produced</t>
  </si>
  <si>
    <t>Butyric acid produced</t>
  </si>
  <si>
    <t>Hydrogen recovery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</si>
  <si>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</si>
  <si>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</si>
  <si>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r>
      <rPr>
        <i/>
        <sz val="11"/>
        <color theme="1"/>
        <rFont val="Calibri"/>
        <family val="2"/>
        <scheme val="minor"/>
      </rPr>
      <t xml:space="preserve">Roseburia intestinalis </t>
    </r>
    <r>
      <rPr>
        <sz val="11"/>
        <color theme="1"/>
        <rFont val="Calibri"/>
        <family val="2"/>
        <scheme val="minor"/>
      </rPr>
      <t>DSM 14610</t>
    </r>
    <r>
      <rPr>
        <vertAlign val="superscript"/>
        <sz val="11"/>
        <color theme="1"/>
        <rFont val="Calibri"/>
        <family val="2"/>
        <scheme val="minor"/>
      </rPr>
      <t>T</t>
    </r>
  </si>
  <si>
    <t>x</t>
  </si>
  <si>
    <t>2x mol pyruvate produced</t>
  </si>
  <si>
    <t>2x</t>
  </si>
  <si>
    <t>z mol lactate produced</t>
  </si>
  <si>
    <t>z</t>
  </si>
  <si>
    <t>2x-z mol CO2 geproduceerd</t>
  </si>
  <si>
    <t>2x-z</t>
  </si>
  <si>
    <t>y mol acetaat verbruikt</t>
  </si>
  <si>
    <t>y</t>
  </si>
  <si>
    <t>(2x-2+Y)/2</t>
  </si>
  <si>
    <t>2x-z-y mol H2</t>
  </si>
  <si>
    <t>2x NAD + H2 wordt NADH + H+</t>
  </si>
  <si>
    <t>2x-z+y NADH + H+ wordt NAD + H2</t>
  </si>
  <si>
    <t>Theoretical</t>
  </si>
  <si>
    <t>Experimental</t>
  </si>
  <si>
    <t>2x-z-y</t>
  </si>
  <si>
    <t>f</t>
  </si>
  <si>
    <t>f mol formaat geproduceerd</t>
  </si>
  <si>
    <t>2x-z-f mol CO2 geproduceerd</t>
  </si>
  <si>
    <t>2x-z -f</t>
  </si>
  <si>
    <t>LN(Count/mL)</t>
  </si>
  <si>
    <t>y = lnN</t>
  </si>
  <si>
    <t>a= umax</t>
  </si>
  <si>
    <r>
      <t>h</t>
    </r>
    <r>
      <rPr>
        <vertAlign val="superscript"/>
        <sz val="11"/>
        <color theme="1"/>
        <rFont val="Calibri"/>
        <family val="2"/>
        <scheme val="minor"/>
      </rPr>
      <t>-1</t>
    </r>
  </si>
  <si>
    <t>x =t (h)</t>
  </si>
  <si>
    <r>
      <t>b = ln N</t>
    </r>
    <r>
      <rPr>
        <vertAlign val="subscript"/>
        <sz val="11"/>
        <color theme="1"/>
        <rFont val="Calibri"/>
        <family val="2"/>
        <scheme val="minor"/>
      </rPr>
      <t>O</t>
    </r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</si>
  <si>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</si>
  <si>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doubling time td</t>
  </si>
  <si>
    <t>h</t>
  </si>
  <si>
    <t>umax average</t>
  </si>
  <si>
    <t>umax STDEV</t>
  </si>
  <si>
    <r>
      <t>h</t>
    </r>
    <r>
      <rPr>
        <vertAlign val="superscript"/>
        <sz val="11"/>
        <color rgb="FF000000"/>
        <rFont val="Calibri"/>
        <family val="2"/>
        <scheme val="minor"/>
      </rPr>
      <t>-1</t>
    </r>
  </si>
  <si>
    <t>doubling time average</t>
  </si>
  <si>
    <t>D-Fructose</t>
  </si>
  <si>
    <t>D Fructose</t>
  </si>
  <si>
    <t>D-Fructose consumed</t>
  </si>
  <si>
    <t>x mol D-Fructose consumed</t>
  </si>
  <si>
    <t>10 ml of a 0,1 g/l stock solution</t>
  </si>
  <si>
    <t>2x-z-y-f mol H2</t>
  </si>
  <si>
    <t>2x-z-y-f</t>
  </si>
  <si>
    <t>2x-z+y  mol acetyl-CoA gevormd</t>
  </si>
  <si>
    <t>2x-z+y</t>
  </si>
  <si>
    <t>(2x-2+Y)/2 mol butyraat gevormd</t>
  </si>
  <si>
    <t>Left (mL) after inoculation</t>
  </si>
  <si>
    <t xml:space="preserve"> Volume Fermentor (mL) after inoculation</t>
  </si>
  <si>
    <r>
      <t>Na</t>
    </r>
    <r>
      <rPr>
        <vertAlign val="subscript"/>
        <sz val="11"/>
        <rFont val="Calibri"/>
        <scheme val="minor"/>
      </rPr>
      <t>2</t>
    </r>
    <r>
      <rPr>
        <sz val="11"/>
        <rFont val="Calibri"/>
        <family val="2"/>
        <scheme val="minor"/>
      </rPr>
      <t>SO</t>
    </r>
    <r>
      <rPr>
        <vertAlign val="subscript"/>
        <sz val="11"/>
        <rFont val="Calibri"/>
        <scheme val="minor"/>
      </rPr>
      <t>4</t>
    </r>
  </si>
  <si>
    <t>22.50  g in 100 ml MilliQ,H20 per 1.5l</t>
  </si>
  <si>
    <t>D - Fructose (83 mM)</t>
  </si>
  <si>
    <t>17 g per 1.5 l</t>
  </si>
  <si>
    <t>Na-acetate trihydrate (83 mM)</t>
  </si>
  <si>
    <t>LOG</t>
  </si>
  <si>
    <t>STDEV LOG(Count/mL)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</si>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</sst>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vertAlign val="subscript"/>
      <sz val="11"/>
      <name val="Calibri"/>
      <scheme val="minor"/>
    </font>
    <font>
      <sz val="11"/>
      <color rgb="FF008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9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6" xfId="0" applyFill="1" applyBorder="1"/>
    <xf numFmtId="1" fontId="0" fillId="0" borderId="0" xfId="0" applyNumberFormat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24" fillId="0" borderId="16" xfId="0" applyFont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1" fontId="24" fillId="0" borderId="0" xfId="0" applyNumberFormat="1" applyFont="1"/>
    <xf numFmtId="0" fontId="25" fillId="0" borderId="0" xfId="0" applyFont="1"/>
    <xf numFmtId="2" fontId="25" fillId="0" borderId="0" xfId="0" applyNumberFormat="1" applyFont="1"/>
    <xf numFmtId="0" fontId="0" fillId="0" borderId="17" xfId="0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/>
    </xf>
    <xf numFmtId="164" fontId="25" fillId="0" borderId="18" xfId="0" applyNumberFormat="1" applyFont="1" applyBorder="1" applyAlignment="1">
      <alignment horizontal="center"/>
    </xf>
    <xf numFmtId="0" fontId="0" fillId="2" borderId="16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/>
    </xf>
    <xf numFmtId="2" fontId="18" fillId="0" borderId="18" xfId="0" applyNumberFormat="1" applyFont="1" applyBorder="1" applyAlignment="1">
      <alignment horizontal="center" vertical="center"/>
    </xf>
    <xf numFmtId="2" fontId="18" fillId="0" borderId="16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64" fontId="25" fillId="0" borderId="18" xfId="0" applyNumberFormat="1" applyFont="1" applyBorder="1" applyAlignment="1">
      <alignment horizontal="center" vertical="center"/>
    </xf>
    <xf numFmtId="1" fontId="25" fillId="0" borderId="16" xfId="0" applyNumberFormat="1" applyFont="1" applyBorder="1" applyAlignment="1">
      <alignment horizontal="center"/>
    </xf>
    <xf numFmtId="1" fontId="25" fillId="0" borderId="3" xfId="0" applyNumberFormat="1" applyFont="1" applyBorder="1" applyAlignment="1">
      <alignment horizontal="center"/>
    </xf>
    <xf numFmtId="1" fontId="25" fillId="0" borderId="20" xfId="0" applyNumberFormat="1" applyFont="1" applyBorder="1" applyAlignment="1">
      <alignment horizontal="center"/>
    </xf>
    <xf numFmtId="164" fontId="18" fillId="0" borderId="16" xfId="0" applyNumberFormat="1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11" borderId="17" xfId="0" applyFont="1" applyFill="1" applyBorder="1" applyAlignment="1">
      <alignment horizontal="center" vertical="center"/>
    </xf>
    <xf numFmtId="0" fontId="25" fillId="11" borderId="5" xfId="0" applyFont="1" applyFill="1" applyBorder="1" applyAlignment="1">
      <alignment horizontal="center" vertical="center"/>
    </xf>
    <xf numFmtId="0" fontId="25" fillId="11" borderId="1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0" fillId="10" borderId="16" xfId="0" applyNumberFormat="1" applyFill="1" applyBorder="1" applyAlignment="1">
      <alignment horizontal="center" vertical="center"/>
    </xf>
    <xf numFmtId="165" fontId="0" fillId="0" borderId="0" xfId="0" applyNumberFormat="1"/>
    <xf numFmtId="1" fontId="28" fillId="0" borderId="0" xfId="0" applyNumberFormat="1" applyFont="1"/>
  </cellXfs>
  <cellStyles count="289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Input" xfId="10"/>
    <cellStyle name="Linked Cell" xfId="11"/>
    <cellStyle name="Neutral" xfId="12"/>
    <cellStyle name="Normal" xfId="0" builtinId="0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67FF65"/>
      <color rgb="FFFEC109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connections" Target="connections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chartsheet" Target="chartsheets/sheet1.xml"/><Relationship Id="rId18" Type="http://schemas.openxmlformats.org/officeDocument/2006/relationships/chartsheet" Target="chartsheets/sheet2.xml"/><Relationship Id="rId19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9"/>
          <c:order val="0"/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37079514650833"/>
                  <c:y val="0.0311659473528152"/>
                </c:manualLayout>
              </c:layout>
              <c:numFmt formatCode="General" sourceLinked="0"/>
            </c:trendlineLbl>
          </c:trendline>
          <c:xVal>
            <c:numRef>
              <c:f>'Flow cytometer'!$D$10:$D$13</c:f>
              <c:numCache>
                <c:formatCode>0</c:formatCode>
                <c:ptCount val="4"/>
                <c:pt idx="0">
                  <c:v>10.33333333333333</c:v>
                </c:pt>
                <c:pt idx="1">
                  <c:v>11.66666666666667</c:v>
                </c:pt>
                <c:pt idx="2">
                  <c:v>13.0</c:v>
                </c:pt>
                <c:pt idx="3">
                  <c:v>14.33333333333333</c:v>
                </c:pt>
              </c:numCache>
            </c:numRef>
          </c:xVal>
          <c:yVal>
            <c:numRef>
              <c:f>'Flow cytometer'!$S$10:$S$13</c:f>
              <c:numCache>
                <c:formatCode>0.00</c:formatCode>
                <c:ptCount val="4"/>
                <c:pt idx="0">
                  <c:v>9.399524602933888</c:v>
                </c:pt>
                <c:pt idx="1">
                  <c:v>9.479341842440605</c:v>
                </c:pt>
                <c:pt idx="2">
                  <c:v>9.610443769120838</c:v>
                </c:pt>
                <c:pt idx="3">
                  <c:v>9.644316633367753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20472"/>
        <c:axId val="2133627480"/>
      </c:scatterChart>
      <c:valAx>
        <c:axId val="2108420472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33627480"/>
        <c:crossesAt val="0.0"/>
        <c:crossBetween val="midCat"/>
        <c:majorUnit val="6.0"/>
      </c:valAx>
      <c:valAx>
        <c:axId val="2133627480"/>
        <c:scaling>
          <c:orientation val="minMax"/>
          <c:max val="10.0"/>
          <c:min val="8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Cell growth (log (events/ml))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0842047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9"/>
          <c:order val="0"/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37079514650833"/>
                  <c:y val="0.0311659473528152"/>
                </c:manualLayout>
              </c:layout>
              <c:numFmt formatCode="General" sourceLinked="0"/>
            </c:trendlineLbl>
          </c:trendline>
          <c:xVal>
            <c:numRef>
              <c:f>'Flow cytometer'!$D$10:$D$13</c:f>
              <c:numCache>
                <c:formatCode>0</c:formatCode>
                <c:ptCount val="4"/>
                <c:pt idx="0">
                  <c:v>10.33333333333333</c:v>
                </c:pt>
                <c:pt idx="1">
                  <c:v>11.66666666666667</c:v>
                </c:pt>
                <c:pt idx="2">
                  <c:v>13.0</c:v>
                </c:pt>
                <c:pt idx="3">
                  <c:v>14.33333333333333</c:v>
                </c:pt>
              </c:numCache>
            </c:numRef>
          </c:xVal>
          <c:yVal>
            <c:numRef>
              <c:f>'Flow cytometer'!$T$10:$T$13</c:f>
              <c:numCache>
                <c:formatCode>0.00</c:formatCode>
                <c:ptCount val="4"/>
                <c:pt idx="0">
                  <c:v>21.64320523194635</c:v>
                </c:pt>
                <c:pt idx="1">
                  <c:v>21.82699121779845</c:v>
                </c:pt>
                <c:pt idx="2">
                  <c:v>22.12886455983515</c:v>
                </c:pt>
                <c:pt idx="3">
                  <c:v>22.20685971210711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28696"/>
        <c:axId val="2134601240"/>
      </c:scatterChart>
      <c:valAx>
        <c:axId val="2113228696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34601240"/>
        <c:crossesAt val="0.0"/>
        <c:crossBetween val="midCat"/>
        <c:majorUnit val="6.0"/>
      </c:valAx>
      <c:valAx>
        <c:axId val="2134601240"/>
        <c:scaling>
          <c:orientation val="minMax"/>
          <c:max val="2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Cell growth (ln (events/ml))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322869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Metabolites!$M$4:$M$19</c:f>
                <c:numCache>
                  <c:formatCode>General</c:formatCode>
                  <c:ptCount val="16"/>
                  <c:pt idx="0">
                    <c:v>0.066651022795521</c:v>
                  </c:pt>
                  <c:pt idx="1">
                    <c:v>0.025653990635172</c:v>
                  </c:pt>
                  <c:pt idx="2">
                    <c:v>0.0339605907123036</c:v>
                  </c:pt>
                  <c:pt idx="3">
                    <c:v>0.0559904272545258</c:v>
                  </c:pt>
                  <c:pt idx="4">
                    <c:v>0.0257282858957515</c:v>
                  </c:pt>
                  <c:pt idx="5">
                    <c:v>0.034113625193692</c:v>
                  </c:pt>
                  <c:pt idx="6">
                    <c:v>0.0260942270555878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0.0133221250093549</c:v>
                  </c:pt>
                  <c:pt idx="10">
                    <c:v>0.0</c:v>
                  </c:pt>
                  <c:pt idx="11">
                    <c:v>0.058925613518944</c:v>
                  </c:pt>
                  <c:pt idx="12">
                    <c:v>0.0272196076691084</c:v>
                  </c:pt>
                  <c:pt idx="13">
                    <c:v>0.0138425670792096</c:v>
                  </c:pt>
                  <c:pt idx="14">
                    <c:v>0.048052692888551</c:v>
                  </c:pt>
                  <c:pt idx="15">
                    <c:v>0.0416611429205376</c:v>
                  </c:pt>
                </c:numCache>
              </c:numRef>
            </c:plus>
            <c:minus>
              <c:numRef>
                <c:f>Metabolites!$M$4:$M$19</c:f>
                <c:numCache>
                  <c:formatCode>General</c:formatCode>
                  <c:ptCount val="16"/>
                  <c:pt idx="0">
                    <c:v>0.066651022795521</c:v>
                  </c:pt>
                  <c:pt idx="1">
                    <c:v>0.025653990635172</c:v>
                  </c:pt>
                  <c:pt idx="2">
                    <c:v>0.0339605907123036</c:v>
                  </c:pt>
                  <c:pt idx="3">
                    <c:v>0.0559904272545258</c:v>
                  </c:pt>
                  <c:pt idx="4">
                    <c:v>0.0257282858957515</c:v>
                  </c:pt>
                  <c:pt idx="5">
                    <c:v>0.034113625193692</c:v>
                  </c:pt>
                  <c:pt idx="6">
                    <c:v>0.0260942270555878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0.0133221250093549</c:v>
                  </c:pt>
                  <c:pt idx="10">
                    <c:v>0.0</c:v>
                  </c:pt>
                  <c:pt idx="11">
                    <c:v>0.058925613518944</c:v>
                  </c:pt>
                  <c:pt idx="12">
                    <c:v>0.0272196076691084</c:v>
                  </c:pt>
                  <c:pt idx="13">
                    <c:v>0.0138425670792096</c:v>
                  </c:pt>
                  <c:pt idx="14">
                    <c:v>0.048052692888551</c:v>
                  </c:pt>
                  <c:pt idx="15">
                    <c:v>0.0416611429205376</c:v>
                  </c:pt>
                </c:numCache>
              </c:numRef>
            </c:minus>
          </c:errBars>
          <c:xVal>
            <c:numRef>
              <c:f>Metabolites!$E$4:$E$19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Metabolites!$L$4:$L$19</c:f>
              <c:numCache>
                <c:formatCode>0</c:formatCode>
                <c:ptCount val="16"/>
                <c:pt idx="0">
                  <c:v>0.799812273546253</c:v>
                </c:pt>
                <c:pt idx="1">
                  <c:v>0.851651957942769</c:v>
                </c:pt>
                <c:pt idx="2">
                  <c:v>0.881886206312424</c:v>
                </c:pt>
                <c:pt idx="3">
                  <c:v>0.79352411865432</c:v>
                </c:pt>
                <c:pt idx="4">
                  <c:v>0.839264152505037</c:v>
                </c:pt>
                <c:pt idx="5">
                  <c:v>0.863527584895989</c:v>
                </c:pt>
                <c:pt idx="6">
                  <c:v>0.866266768353232</c:v>
                </c:pt>
                <c:pt idx="7">
                  <c:v>0.933308283469265</c:v>
                </c:pt>
                <c:pt idx="8">
                  <c:v>1.214548481390282</c:v>
                </c:pt>
                <c:pt idx="9">
                  <c:v>1.738286336034326</c:v>
                </c:pt>
                <c:pt idx="10">
                  <c:v>3.555857820186745</c:v>
                </c:pt>
                <c:pt idx="11">
                  <c:v>5.931715014197047</c:v>
                </c:pt>
                <c:pt idx="12">
                  <c:v>8.054064505185316</c:v>
                </c:pt>
                <c:pt idx="13">
                  <c:v>11.63636631168952</c:v>
                </c:pt>
                <c:pt idx="14">
                  <c:v>12.10927860791485</c:v>
                </c:pt>
                <c:pt idx="15">
                  <c:v>12.38733212115872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109"/>
              </a:solidFill>
            </a:ln>
          </c:spPr>
          <c:marker>
            <c:symbol val="triangle"/>
            <c:size val="8"/>
            <c:spPr>
              <a:solidFill>
                <a:srgbClr val="FEC109"/>
              </a:solidFill>
              <a:ln>
                <a:solidFill>
                  <a:srgbClr val="FEC1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Metabolites!$Q$4:$Q$19</c:f>
                <c:numCache>
                  <c:formatCode>General</c:formatCode>
                  <c:ptCount val="16"/>
                  <c:pt idx="0">
                    <c:v>0.152725155748939</c:v>
                  </c:pt>
                  <c:pt idx="1">
                    <c:v>0.578208107730869</c:v>
                  </c:pt>
                  <c:pt idx="2">
                    <c:v>0.245830284488477</c:v>
                  </c:pt>
                  <c:pt idx="3">
                    <c:v>0.782935316294268</c:v>
                  </c:pt>
                  <c:pt idx="4">
                    <c:v>0.51055818520423</c:v>
                  </c:pt>
                  <c:pt idx="5">
                    <c:v>0.19341681136697</c:v>
                  </c:pt>
                  <c:pt idx="6">
                    <c:v>0.269067168938677</c:v>
                  </c:pt>
                  <c:pt idx="7">
                    <c:v>0.0710833158361062</c:v>
                  </c:pt>
                  <c:pt idx="8">
                    <c:v>0.562758091971926</c:v>
                  </c:pt>
                  <c:pt idx="9">
                    <c:v>0.399186015270048</c:v>
                  </c:pt>
                  <c:pt idx="10">
                    <c:v>0.139453145229704</c:v>
                  </c:pt>
                  <c:pt idx="11">
                    <c:v>0.246702491746354</c:v>
                  </c:pt>
                  <c:pt idx="12">
                    <c:v>0.174433004519351</c:v>
                  </c:pt>
                  <c:pt idx="13">
                    <c:v>0.129677403455594</c:v>
                  </c:pt>
                  <c:pt idx="14">
                    <c:v>0.361015394207571</c:v>
                  </c:pt>
                  <c:pt idx="15">
                    <c:v>0.350443903278412</c:v>
                  </c:pt>
                </c:numCache>
              </c:numRef>
            </c:plus>
            <c:minus>
              <c:numRef>
                <c:f>Metabolites!$Q$4:$Q$19</c:f>
                <c:numCache>
                  <c:formatCode>General</c:formatCode>
                  <c:ptCount val="16"/>
                  <c:pt idx="0">
                    <c:v>0.152725155748939</c:v>
                  </c:pt>
                  <c:pt idx="1">
                    <c:v>0.578208107730869</c:v>
                  </c:pt>
                  <c:pt idx="2">
                    <c:v>0.245830284488477</c:v>
                  </c:pt>
                  <c:pt idx="3">
                    <c:v>0.782935316294268</c:v>
                  </c:pt>
                  <c:pt idx="4">
                    <c:v>0.51055818520423</c:v>
                  </c:pt>
                  <c:pt idx="5">
                    <c:v>0.19341681136697</c:v>
                  </c:pt>
                  <c:pt idx="6">
                    <c:v>0.269067168938677</c:v>
                  </c:pt>
                  <c:pt idx="7">
                    <c:v>0.0710833158361062</c:v>
                  </c:pt>
                  <c:pt idx="8">
                    <c:v>0.562758091971926</c:v>
                  </c:pt>
                  <c:pt idx="9">
                    <c:v>0.399186015270048</c:v>
                  </c:pt>
                  <c:pt idx="10">
                    <c:v>0.139453145229704</c:v>
                  </c:pt>
                  <c:pt idx="11">
                    <c:v>0.246702491746354</c:v>
                  </c:pt>
                  <c:pt idx="12">
                    <c:v>0.174433004519351</c:v>
                  </c:pt>
                  <c:pt idx="13">
                    <c:v>0.129677403455594</c:v>
                  </c:pt>
                  <c:pt idx="14">
                    <c:v>0.361015394207571</c:v>
                  </c:pt>
                  <c:pt idx="15">
                    <c:v>0.350443903278412</c:v>
                  </c:pt>
                </c:numCache>
              </c:numRef>
            </c:minus>
          </c:errBars>
          <c:xVal>
            <c:numRef>
              <c:f>Metabolites!$E$4:$E$19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Metabolites!$P$4:$P$19</c:f>
              <c:numCache>
                <c:formatCode>0</c:formatCode>
                <c:ptCount val="16"/>
                <c:pt idx="0">
                  <c:v>80.38559539167544</c:v>
                </c:pt>
                <c:pt idx="1">
                  <c:v>79.91901233384651</c:v>
                </c:pt>
                <c:pt idx="2">
                  <c:v>80.51919779067378</c:v>
                </c:pt>
                <c:pt idx="3">
                  <c:v>79.4866058482236</c:v>
                </c:pt>
                <c:pt idx="4">
                  <c:v>79.35943005181051</c:v>
                </c:pt>
                <c:pt idx="5">
                  <c:v>79.0171599615865</c:v>
                </c:pt>
                <c:pt idx="6">
                  <c:v>74.88350268092942</c:v>
                </c:pt>
                <c:pt idx="7">
                  <c:v>71.78904990734905</c:v>
                </c:pt>
                <c:pt idx="8">
                  <c:v>69.26748222874893</c:v>
                </c:pt>
                <c:pt idx="9">
                  <c:v>66.1123911452359</c:v>
                </c:pt>
                <c:pt idx="10">
                  <c:v>64.07872023304888</c:v>
                </c:pt>
                <c:pt idx="11">
                  <c:v>64.05437023681796</c:v>
                </c:pt>
                <c:pt idx="12">
                  <c:v>64.72291183807587</c:v>
                </c:pt>
                <c:pt idx="13">
                  <c:v>69.2346280999422</c:v>
                </c:pt>
                <c:pt idx="14">
                  <c:v>69.25978797442377</c:v>
                </c:pt>
                <c:pt idx="15">
                  <c:v>68.43478862357888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triangle"/>
            <c:size val="8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Metabolites!$U$4:$U$19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0.0920605404488196</c:v>
                  </c:pt>
                  <c:pt idx="7">
                    <c:v>0.0257198267545057</c:v>
                  </c:pt>
                  <c:pt idx="8">
                    <c:v>0.186709937161143</c:v>
                  </c:pt>
                  <c:pt idx="9">
                    <c:v>0.0521423863064387</c:v>
                  </c:pt>
                  <c:pt idx="10">
                    <c:v>0.146204445793583</c:v>
                  </c:pt>
                  <c:pt idx="11">
                    <c:v>0.052910846633043</c:v>
                  </c:pt>
                  <c:pt idx="12">
                    <c:v>0.0461317463559032</c:v>
                  </c:pt>
                  <c:pt idx="13">
                    <c:v>0.0270896902562502</c:v>
                  </c:pt>
                  <c:pt idx="14">
                    <c:v>0.0718229981676561</c:v>
                  </c:pt>
                  <c:pt idx="15">
                    <c:v>0.0815302140839025</c:v>
                  </c:pt>
                </c:numCache>
              </c:numRef>
            </c:plus>
            <c:minus>
              <c:numRef>
                <c:f>Metabolites!$U$4:$U$19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0.0920605404488196</c:v>
                  </c:pt>
                  <c:pt idx="7">
                    <c:v>0.0257198267545057</c:v>
                  </c:pt>
                  <c:pt idx="8">
                    <c:v>0.186709937161143</c:v>
                  </c:pt>
                  <c:pt idx="9">
                    <c:v>0.0521423863064387</c:v>
                  </c:pt>
                  <c:pt idx="10">
                    <c:v>0.146204445793583</c:v>
                  </c:pt>
                  <c:pt idx="11">
                    <c:v>0.052910846633043</c:v>
                  </c:pt>
                  <c:pt idx="12">
                    <c:v>0.0461317463559032</c:v>
                  </c:pt>
                  <c:pt idx="13">
                    <c:v>0.0270896902562502</c:v>
                  </c:pt>
                  <c:pt idx="14">
                    <c:v>0.0718229981676561</c:v>
                  </c:pt>
                  <c:pt idx="15">
                    <c:v>0.0815302140839025</c:v>
                  </c:pt>
                </c:numCache>
              </c:numRef>
            </c:minus>
          </c:errBars>
          <c:xVal>
            <c:numRef>
              <c:f>Metabolites!$E$4:$E$19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Metabolites!$T$4:$T$19</c:f>
              <c:numCache>
                <c:formatCode>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1.253026172331283</c:v>
                </c:pt>
                <c:pt idx="7">
                  <c:v>2.925321733344204</c:v>
                </c:pt>
                <c:pt idx="8">
                  <c:v>4.813500323083113</c:v>
                </c:pt>
                <c:pt idx="9">
                  <c:v>6.562763727906175</c:v>
                </c:pt>
                <c:pt idx="10">
                  <c:v>8.44450699484276</c:v>
                </c:pt>
                <c:pt idx="11">
                  <c:v>10.05032211884402</c:v>
                </c:pt>
                <c:pt idx="12">
                  <c:v>11.30227785719628</c:v>
                </c:pt>
                <c:pt idx="13">
                  <c:v>13.62264900664909</c:v>
                </c:pt>
                <c:pt idx="14">
                  <c:v>13.71393023924828</c:v>
                </c:pt>
                <c:pt idx="15">
                  <c:v>13.6978038950928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'CO2'!$G$105:$G$201</c:f>
              <c:numCache>
                <c:formatCode>0.0</c:formatCode>
                <c:ptCount val="97"/>
                <c:pt idx="0">
                  <c:v>0.0681255397541471</c:v>
                </c:pt>
                <c:pt idx="1">
                  <c:v>0.215634220678357</c:v>
                </c:pt>
                <c:pt idx="2">
                  <c:v>0.37748594091079</c:v>
                </c:pt>
                <c:pt idx="3">
                  <c:v>0.544487374371459</c:v>
                </c:pt>
                <c:pt idx="4">
                  <c:v>0.718831974637446</c:v>
                </c:pt>
                <c:pt idx="5">
                  <c:v>0.904447921010484</c:v>
                </c:pt>
                <c:pt idx="6">
                  <c:v>1.097942343769117</c:v>
                </c:pt>
                <c:pt idx="7">
                  <c:v>1.300855483959743</c:v>
                </c:pt>
                <c:pt idx="8">
                  <c:v>1.520299524076512</c:v>
                </c:pt>
                <c:pt idx="9">
                  <c:v>1.761628106510008</c:v>
                </c:pt>
                <c:pt idx="10">
                  <c:v>2.042050590193042</c:v>
                </c:pt>
                <c:pt idx="11">
                  <c:v>2.380761527755428</c:v>
                </c:pt>
                <c:pt idx="12">
                  <c:v>2.789453019775224</c:v>
                </c:pt>
                <c:pt idx="13">
                  <c:v>3.263156173161076</c:v>
                </c:pt>
                <c:pt idx="14">
                  <c:v>3.792322984819633</c:v>
                </c:pt>
                <c:pt idx="15">
                  <c:v>4.411829349391918</c:v>
                </c:pt>
                <c:pt idx="16">
                  <c:v>5.158355642542465</c:v>
                </c:pt>
                <c:pt idx="17">
                  <c:v>6.062152650966946</c:v>
                </c:pt>
                <c:pt idx="18">
                  <c:v>7.162985522487402</c:v>
                </c:pt>
                <c:pt idx="19">
                  <c:v>8.46113782046144</c:v>
                </c:pt>
                <c:pt idx="20">
                  <c:v>9.934591772787285</c:v>
                </c:pt>
                <c:pt idx="21">
                  <c:v>11.62271552817685</c:v>
                </c:pt>
                <c:pt idx="22">
                  <c:v>13.53578526179158</c:v>
                </c:pt>
                <c:pt idx="23">
                  <c:v>15.50960912093067</c:v>
                </c:pt>
                <c:pt idx="24">
                  <c:v>17.5391769666782</c:v>
                </c:pt>
                <c:pt idx="25">
                  <c:v>19.76841884888871</c:v>
                </c:pt>
                <c:pt idx="26">
                  <c:v>22.20538993872166</c:v>
                </c:pt>
                <c:pt idx="27">
                  <c:v>24.80578331756045</c:v>
                </c:pt>
                <c:pt idx="28">
                  <c:v>27.6144042326395</c:v>
                </c:pt>
                <c:pt idx="29">
                  <c:v>30.59816501921238</c:v>
                </c:pt>
                <c:pt idx="30">
                  <c:v>33.65873959449638</c:v>
                </c:pt>
                <c:pt idx="31">
                  <c:v>36.78274049960007</c:v>
                </c:pt>
                <c:pt idx="32">
                  <c:v>40.03312364768624</c:v>
                </c:pt>
                <c:pt idx="33">
                  <c:v>43.39650366190145</c:v>
                </c:pt>
                <c:pt idx="34">
                  <c:v>46.84968139565919</c:v>
                </c:pt>
                <c:pt idx="35">
                  <c:v>50.41635552084254</c:v>
                </c:pt>
                <c:pt idx="36">
                  <c:v>54.01329754439639</c:v>
                </c:pt>
                <c:pt idx="37">
                  <c:v>57.6677324472469</c:v>
                </c:pt>
                <c:pt idx="38">
                  <c:v>61.35838932188114</c:v>
                </c:pt>
                <c:pt idx="39">
                  <c:v>64.99601742633075</c:v>
                </c:pt>
                <c:pt idx="40">
                  <c:v>68.53750633353033</c:v>
                </c:pt>
                <c:pt idx="41">
                  <c:v>71.98076436178489</c:v>
                </c:pt>
                <c:pt idx="42">
                  <c:v>75.3901540898076</c:v>
                </c:pt>
                <c:pt idx="43">
                  <c:v>78.66967146275304</c:v>
                </c:pt>
                <c:pt idx="44">
                  <c:v>81.53008853870622</c:v>
                </c:pt>
                <c:pt idx="45">
                  <c:v>83.89319518084745</c:v>
                </c:pt>
                <c:pt idx="46">
                  <c:v>85.9090448419191</c:v>
                </c:pt>
                <c:pt idx="47">
                  <c:v>87.66471915248724</c:v>
                </c:pt>
                <c:pt idx="48">
                  <c:v>89.22471589134497</c:v>
                </c:pt>
                <c:pt idx="49">
                  <c:v>90.60234819655145</c:v>
                </c:pt>
                <c:pt idx="50">
                  <c:v>91.78879281002462</c:v>
                </c:pt>
                <c:pt idx="51">
                  <c:v>92.79459792228244</c:v>
                </c:pt>
                <c:pt idx="52">
                  <c:v>93.63702163122027</c:v>
                </c:pt>
                <c:pt idx="53">
                  <c:v>94.34997082189744</c:v>
                </c:pt>
                <c:pt idx="54">
                  <c:v>94.95333395293436</c:v>
                </c:pt>
                <c:pt idx="55">
                  <c:v>95.46862787791725</c:v>
                </c:pt>
                <c:pt idx="56">
                  <c:v>95.90377845092436</c:v>
                </c:pt>
                <c:pt idx="57">
                  <c:v>96.26979873606935</c:v>
                </c:pt>
                <c:pt idx="58">
                  <c:v>96.58046696618418</c:v>
                </c:pt>
                <c:pt idx="59">
                  <c:v>96.84335218212689</c:v>
                </c:pt>
                <c:pt idx="60">
                  <c:v>97.07155160810143</c:v>
                </c:pt>
                <c:pt idx="61">
                  <c:v>97.27193002643972</c:v>
                </c:pt>
                <c:pt idx="62">
                  <c:v>97.4439776477801</c:v>
                </c:pt>
                <c:pt idx="63">
                  <c:v>97.5911251501319</c:v>
                </c:pt>
                <c:pt idx="64">
                  <c:v>97.71689868175546</c:v>
                </c:pt>
                <c:pt idx="65">
                  <c:v>97.82513807887888</c:v>
                </c:pt>
                <c:pt idx="66">
                  <c:v>97.91952065099333</c:v>
                </c:pt>
                <c:pt idx="67">
                  <c:v>98.00264114313619</c:v>
                </c:pt>
                <c:pt idx="68">
                  <c:v>98.07705622589943</c:v>
                </c:pt>
                <c:pt idx="69">
                  <c:v>98.14536973672529</c:v>
                </c:pt>
                <c:pt idx="70">
                  <c:v>98.20722991320067</c:v>
                </c:pt>
                <c:pt idx="71">
                  <c:v>98.2622378260623</c:v>
                </c:pt>
                <c:pt idx="72">
                  <c:v>98.31108733945615</c:v>
                </c:pt>
                <c:pt idx="73">
                  <c:v>98.35541281315609</c:v>
                </c:pt>
                <c:pt idx="74">
                  <c:v>98.399481994694</c:v>
                </c:pt>
                <c:pt idx="75">
                  <c:v>98.44373188777853</c:v>
                </c:pt>
                <c:pt idx="76">
                  <c:v>98.48464600482947</c:v>
                </c:pt>
                <c:pt idx="77">
                  <c:v>98.52160663059158</c:v>
                </c:pt>
                <c:pt idx="78">
                  <c:v>98.55543094495175</c:v>
                </c:pt>
                <c:pt idx="79">
                  <c:v>98.58735437842057</c:v>
                </c:pt>
                <c:pt idx="80">
                  <c:v>98.61758605630983</c:v>
                </c:pt>
                <c:pt idx="81">
                  <c:v>98.64743755802083</c:v>
                </c:pt>
                <c:pt idx="82">
                  <c:v>98.67741237547276</c:v>
                </c:pt>
                <c:pt idx="83">
                  <c:v>98.70577158623585</c:v>
                </c:pt>
                <c:pt idx="84">
                  <c:v>98.73148888511137</c:v>
                </c:pt>
                <c:pt idx="85">
                  <c:v>98.75508708537886</c:v>
                </c:pt>
                <c:pt idx="86">
                  <c:v>98.77718390229358</c:v>
                </c:pt>
                <c:pt idx="87">
                  <c:v>98.79764579115914</c:v>
                </c:pt>
                <c:pt idx="88">
                  <c:v>98.81672961241287</c:v>
                </c:pt>
                <c:pt idx="89">
                  <c:v>98.82590100754163</c:v>
                </c:pt>
                <c:pt idx="90">
                  <c:v>98.83503432822503</c:v>
                </c:pt>
                <c:pt idx="91">
                  <c:v>98.85245480766442</c:v>
                </c:pt>
                <c:pt idx="92">
                  <c:v>98.86074196642039</c:v>
                </c:pt>
                <c:pt idx="93">
                  <c:v>98.86074196642039</c:v>
                </c:pt>
                <c:pt idx="94">
                  <c:v>98.86074196642039</c:v>
                </c:pt>
                <c:pt idx="95">
                  <c:v>98.86074196642039</c:v>
                </c:pt>
                <c:pt idx="96">
                  <c:v>98.86074196642039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Metabolites!$I$4:$I$19</c:f>
                <c:numCache>
                  <c:formatCode>General</c:formatCode>
                  <c:ptCount val="16"/>
                  <c:pt idx="0">
                    <c:v>0.121856455517066</c:v>
                  </c:pt>
                  <c:pt idx="1">
                    <c:v>0.736212544985677</c:v>
                  </c:pt>
                  <c:pt idx="2">
                    <c:v>0.312903780970256</c:v>
                  </c:pt>
                  <c:pt idx="3">
                    <c:v>0.664135612605384</c:v>
                  </c:pt>
                  <c:pt idx="4">
                    <c:v>0.438467287711233</c:v>
                  </c:pt>
                  <c:pt idx="5">
                    <c:v>0.230018655032918</c:v>
                  </c:pt>
                  <c:pt idx="6">
                    <c:v>0.220935830957766</c:v>
                  </c:pt>
                  <c:pt idx="7">
                    <c:v>0.0647197018290514</c:v>
                  </c:pt>
                  <c:pt idx="8">
                    <c:v>0.413812196437951</c:v>
                  </c:pt>
                  <c:pt idx="9">
                    <c:v>0.244833693018012</c:v>
                  </c:pt>
                  <c:pt idx="10">
                    <c:v>0.0922344655854727</c:v>
                  </c:pt>
                  <c:pt idx="11">
                    <c:v>0.0946292400845512</c:v>
                  </c:pt>
                  <c:pt idx="12">
                    <c:v>0.0296618797781164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Metabolites!$I$4:$I$19</c:f>
                <c:numCache>
                  <c:formatCode>General</c:formatCode>
                  <c:ptCount val="16"/>
                  <c:pt idx="0">
                    <c:v>0.121856455517066</c:v>
                  </c:pt>
                  <c:pt idx="1">
                    <c:v>0.736212544985677</c:v>
                  </c:pt>
                  <c:pt idx="2">
                    <c:v>0.312903780970256</c:v>
                  </c:pt>
                  <c:pt idx="3">
                    <c:v>0.664135612605384</c:v>
                  </c:pt>
                  <c:pt idx="4">
                    <c:v>0.438467287711233</c:v>
                  </c:pt>
                  <c:pt idx="5">
                    <c:v>0.230018655032918</c:v>
                  </c:pt>
                  <c:pt idx="6">
                    <c:v>0.220935830957766</c:v>
                  </c:pt>
                  <c:pt idx="7">
                    <c:v>0.0647197018290514</c:v>
                  </c:pt>
                  <c:pt idx="8">
                    <c:v>0.413812196437951</c:v>
                  </c:pt>
                  <c:pt idx="9">
                    <c:v>0.244833693018012</c:v>
                  </c:pt>
                  <c:pt idx="10">
                    <c:v>0.0922344655854727</c:v>
                  </c:pt>
                  <c:pt idx="11">
                    <c:v>0.0946292400845512</c:v>
                  </c:pt>
                  <c:pt idx="12">
                    <c:v>0.0296618797781164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Metabolites!$H$4:$H$19</c:f>
              <c:numCache>
                <c:formatCode>0</c:formatCode>
                <c:ptCount val="16"/>
                <c:pt idx="0">
                  <c:v>80.78844529737101</c:v>
                </c:pt>
                <c:pt idx="1">
                  <c:v>80.19969459601057</c:v>
                </c:pt>
                <c:pt idx="2">
                  <c:v>80.85562566362771</c:v>
                </c:pt>
                <c:pt idx="3">
                  <c:v>79.67872084880391</c:v>
                </c:pt>
                <c:pt idx="4">
                  <c:v>79.12107094368287</c:v>
                </c:pt>
                <c:pt idx="5">
                  <c:v>77.4681018294837</c:v>
                </c:pt>
                <c:pt idx="6">
                  <c:v>66.29953879705195</c:v>
                </c:pt>
                <c:pt idx="7">
                  <c:v>58.36211920572237</c:v>
                </c:pt>
                <c:pt idx="8">
                  <c:v>51.00721688354471</c:v>
                </c:pt>
                <c:pt idx="9">
                  <c:v>42.7264628171269</c:v>
                </c:pt>
                <c:pt idx="10">
                  <c:v>33.12990406977912</c:v>
                </c:pt>
                <c:pt idx="11">
                  <c:v>24.21856801191242</c:v>
                </c:pt>
                <c:pt idx="12">
                  <c:v>15.46773266190955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Metabolites!$J$21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Metabolites!$M$24:$M$39</c:f>
                <c:numCache>
                  <c:formatCode>General</c:formatCode>
                  <c:ptCount val="16"/>
                  <c:pt idx="0">
                    <c:v>0.297887968898561</c:v>
                  </c:pt>
                  <c:pt idx="1">
                    <c:v>0.182182545969187</c:v>
                  </c:pt>
                  <c:pt idx="2">
                    <c:v>0.151340516747783</c:v>
                  </c:pt>
                  <c:pt idx="3">
                    <c:v>0.202168891729398</c:v>
                  </c:pt>
                  <c:pt idx="4">
                    <c:v>0.0602689577295236</c:v>
                  </c:pt>
                  <c:pt idx="5">
                    <c:v>0.362445679842733</c:v>
                  </c:pt>
                  <c:pt idx="6">
                    <c:v>0.519872092576751</c:v>
                  </c:pt>
                  <c:pt idx="7">
                    <c:v>0.141561547634141</c:v>
                  </c:pt>
                  <c:pt idx="8">
                    <c:v>0.266438756086477</c:v>
                  </c:pt>
                  <c:pt idx="9">
                    <c:v>0.347509894938193</c:v>
                  </c:pt>
                  <c:pt idx="10">
                    <c:v>0.161734587694973</c:v>
                  </c:pt>
                  <c:pt idx="11">
                    <c:v>1.511710713575825</c:v>
                  </c:pt>
                  <c:pt idx="12">
                    <c:v>0.0501679919345164</c:v>
                  </c:pt>
                  <c:pt idx="13">
                    <c:v>0.0787953628733135</c:v>
                  </c:pt>
                  <c:pt idx="14">
                    <c:v>0.432718162677479</c:v>
                  </c:pt>
                  <c:pt idx="15">
                    <c:v>0.238839591327529</c:v>
                  </c:pt>
                </c:numCache>
              </c:numRef>
            </c:plus>
            <c:minus>
              <c:numRef>
                <c:f>Metabolites!$M$24:$M$39</c:f>
                <c:numCache>
                  <c:formatCode>General</c:formatCode>
                  <c:ptCount val="16"/>
                  <c:pt idx="0">
                    <c:v>0.297887968898561</c:v>
                  </c:pt>
                  <c:pt idx="1">
                    <c:v>0.182182545969187</c:v>
                  </c:pt>
                  <c:pt idx="2">
                    <c:v>0.151340516747783</c:v>
                  </c:pt>
                  <c:pt idx="3">
                    <c:v>0.202168891729398</c:v>
                  </c:pt>
                  <c:pt idx="4">
                    <c:v>0.0602689577295236</c:v>
                  </c:pt>
                  <c:pt idx="5">
                    <c:v>0.362445679842733</c:v>
                  </c:pt>
                  <c:pt idx="6">
                    <c:v>0.519872092576751</c:v>
                  </c:pt>
                  <c:pt idx="7">
                    <c:v>0.141561547634141</c:v>
                  </c:pt>
                  <c:pt idx="8">
                    <c:v>0.266438756086477</c:v>
                  </c:pt>
                  <c:pt idx="9">
                    <c:v>0.347509894938193</c:v>
                  </c:pt>
                  <c:pt idx="10">
                    <c:v>0.161734587694973</c:v>
                  </c:pt>
                  <c:pt idx="11">
                    <c:v>1.511710713575825</c:v>
                  </c:pt>
                  <c:pt idx="12">
                    <c:v>0.0501679919345164</c:v>
                  </c:pt>
                  <c:pt idx="13">
                    <c:v>0.0787953628733135</c:v>
                  </c:pt>
                  <c:pt idx="14">
                    <c:v>0.432718162677479</c:v>
                  </c:pt>
                  <c:pt idx="15">
                    <c:v>0.238839591327529</c:v>
                  </c:pt>
                </c:numCache>
              </c:numRef>
            </c:minus>
          </c:errBars>
          <c:xVal>
            <c:numRef>
              <c:f>Metabolites!$E$4:$E$19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Metabolites!$L$24:$L$39</c:f>
              <c:numCache>
                <c:formatCode>0</c:formatCode>
                <c:ptCount val="16"/>
                <c:pt idx="0">
                  <c:v>1.953382043181501</c:v>
                </c:pt>
                <c:pt idx="1">
                  <c:v>2.369800695797712</c:v>
                </c:pt>
                <c:pt idx="2">
                  <c:v>3.06090696634056</c:v>
                </c:pt>
                <c:pt idx="3">
                  <c:v>3.775799048870923</c:v>
                </c:pt>
                <c:pt idx="4">
                  <c:v>5.216511189975537</c:v>
                </c:pt>
                <c:pt idx="5">
                  <c:v>6.918075313999592</c:v>
                </c:pt>
                <c:pt idx="6">
                  <c:v>18.75236103596651</c:v>
                </c:pt>
                <c:pt idx="7">
                  <c:v>26.41437270721034</c:v>
                </c:pt>
                <c:pt idx="8">
                  <c:v>34.75208919498018</c:v>
                </c:pt>
                <c:pt idx="9">
                  <c:v>41.92033417211295</c:v>
                </c:pt>
                <c:pt idx="10">
                  <c:v>50.52280802962946</c:v>
                </c:pt>
                <c:pt idx="11">
                  <c:v>57.40375403528172</c:v>
                </c:pt>
                <c:pt idx="12">
                  <c:v>64.57172912994647</c:v>
                </c:pt>
                <c:pt idx="13">
                  <c:v>75.99566681210004</c:v>
                </c:pt>
                <c:pt idx="14">
                  <c:v>77.55527568228199</c:v>
                </c:pt>
                <c:pt idx="15">
                  <c:v>79.23995000762834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'H2'!$G$107:$G$203</c:f>
              <c:numCache>
                <c:formatCode>0.0</c:formatCode>
                <c:ptCount val="97"/>
                <c:pt idx="0">
                  <c:v>0.0102539354142424</c:v>
                </c:pt>
                <c:pt idx="1">
                  <c:v>0.0798949949249573</c:v>
                </c:pt>
                <c:pt idx="2">
                  <c:v>0.309192116112305</c:v>
                </c:pt>
                <c:pt idx="3">
                  <c:v>0.670027063089788</c:v>
                </c:pt>
                <c:pt idx="4">
                  <c:v>1.071300972516664</c:v>
                </c:pt>
                <c:pt idx="5">
                  <c:v>1.50333633121284</c:v>
                </c:pt>
                <c:pt idx="6">
                  <c:v>1.911871000007991</c:v>
                </c:pt>
                <c:pt idx="7">
                  <c:v>2.340584204746057</c:v>
                </c:pt>
                <c:pt idx="8">
                  <c:v>2.876493237048049</c:v>
                </c:pt>
                <c:pt idx="9">
                  <c:v>3.547096835666753</c:v>
                </c:pt>
                <c:pt idx="10">
                  <c:v>4.42615342948765</c:v>
                </c:pt>
                <c:pt idx="11">
                  <c:v>5.585684977463737</c:v>
                </c:pt>
                <c:pt idx="12">
                  <c:v>6.916954070467755</c:v>
                </c:pt>
                <c:pt idx="13">
                  <c:v>8.25923265991543</c:v>
                </c:pt>
                <c:pt idx="14">
                  <c:v>9.756010614711137</c:v>
                </c:pt>
                <c:pt idx="15">
                  <c:v>11.65435802947003</c:v>
                </c:pt>
                <c:pt idx="16">
                  <c:v>14.01583375434577</c:v>
                </c:pt>
                <c:pt idx="17">
                  <c:v>16.82730720515018</c:v>
                </c:pt>
                <c:pt idx="18">
                  <c:v>20.07205642850399</c:v>
                </c:pt>
                <c:pt idx="19">
                  <c:v>23.57341429763217</c:v>
                </c:pt>
                <c:pt idx="20">
                  <c:v>27.16846368426745</c:v>
                </c:pt>
                <c:pt idx="21">
                  <c:v>30.92257799130897</c:v>
                </c:pt>
                <c:pt idx="22">
                  <c:v>34.87522578708778</c:v>
                </c:pt>
                <c:pt idx="23">
                  <c:v>39.01882153824047</c:v>
                </c:pt>
                <c:pt idx="24">
                  <c:v>43.61330791641348</c:v>
                </c:pt>
                <c:pt idx="25">
                  <c:v>48.42513983646212</c:v>
                </c:pt>
                <c:pt idx="26">
                  <c:v>53.2247753656052</c:v>
                </c:pt>
                <c:pt idx="27">
                  <c:v>58.62345952290596</c:v>
                </c:pt>
                <c:pt idx="28">
                  <c:v>64.26759219172381</c:v>
                </c:pt>
                <c:pt idx="29">
                  <c:v>69.62377981069928</c:v>
                </c:pt>
                <c:pt idx="30">
                  <c:v>74.9853476967737</c:v>
                </c:pt>
                <c:pt idx="31">
                  <c:v>80.43982155065925</c:v>
                </c:pt>
                <c:pt idx="32">
                  <c:v>86.11159732877989</c:v>
                </c:pt>
                <c:pt idx="33">
                  <c:v>92.04041592317703</c:v>
                </c:pt>
                <c:pt idx="34">
                  <c:v>98.22880812563126</c:v>
                </c:pt>
                <c:pt idx="35">
                  <c:v>104.6624067591199</c:v>
                </c:pt>
                <c:pt idx="36">
                  <c:v>111.3050020518698</c:v>
                </c:pt>
                <c:pt idx="37">
                  <c:v>118.2969626277475</c:v>
                </c:pt>
                <c:pt idx="38">
                  <c:v>125.5377797110343</c:v>
                </c:pt>
                <c:pt idx="39">
                  <c:v>133.4538070758996</c:v>
                </c:pt>
                <c:pt idx="40">
                  <c:v>141.2774333429374</c:v>
                </c:pt>
                <c:pt idx="41">
                  <c:v>148.3513107283228</c:v>
                </c:pt>
                <c:pt idx="42">
                  <c:v>155.3087871367604</c:v>
                </c:pt>
                <c:pt idx="43">
                  <c:v>160.7192733119324</c:v>
                </c:pt>
                <c:pt idx="44">
                  <c:v>163.4821241271841</c:v>
                </c:pt>
                <c:pt idx="45">
                  <c:v>164.5223253005961</c:v>
                </c:pt>
                <c:pt idx="46">
                  <c:v>164.8497294590207</c:v>
                </c:pt>
                <c:pt idx="47">
                  <c:v>164.9615169364922</c:v>
                </c:pt>
                <c:pt idx="48">
                  <c:v>165.0280012066163</c:v>
                </c:pt>
                <c:pt idx="49">
                  <c:v>165.0801344533319</c:v>
                </c:pt>
                <c:pt idx="50">
                  <c:v>165.1249030109887</c:v>
                </c:pt>
                <c:pt idx="51">
                  <c:v>165.1543596274144</c:v>
                </c:pt>
                <c:pt idx="52">
                  <c:v>165.1866006708431</c:v>
                </c:pt>
                <c:pt idx="53">
                  <c:v>165.2282263834195</c:v>
                </c:pt>
                <c:pt idx="54">
                  <c:v>165.2654515779314</c:v>
                </c:pt>
                <c:pt idx="55">
                  <c:v>165.3085591085287</c:v>
                </c:pt>
                <c:pt idx="56">
                  <c:v>165.3497354611278</c:v>
                </c:pt>
                <c:pt idx="57">
                  <c:v>165.3830538985977</c:v>
                </c:pt>
                <c:pt idx="58">
                  <c:v>165.4238712981672</c:v>
                </c:pt>
                <c:pt idx="59">
                  <c:v>165.4658110277756</c:v>
                </c:pt>
                <c:pt idx="60">
                  <c:v>165.5075075034211</c:v>
                </c:pt>
                <c:pt idx="61">
                  <c:v>165.5500088133957</c:v>
                </c:pt>
                <c:pt idx="62">
                  <c:v>165.5942274513385</c:v>
                </c:pt>
                <c:pt idx="63">
                  <c:v>165.6375874252972</c:v>
                </c:pt>
                <c:pt idx="64">
                  <c:v>165.6725522681922</c:v>
                </c:pt>
                <c:pt idx="65">
                  <c:v>165.703892082924</c:v>
                </c:pt>
                <c:pt idx="66">
                  <c:v>165.7339913526674</c:v>
                </c:pt>
                <c:pt idx="67">
                  <c:v>165.763374595528</c:v>
                </c:pt>
                <c:pt idx="68">
                  <c:v>165.7903250518129</c:v>
                </c:pt>
                <c:pt idx="69">
                  <c:v>165.8175619188509</c:v>
                </c:pt>
                <c:pt idx="70">
                  <c:v>165.845180666893</c:v>
                </c:pt>
                <c:pt idx="71">
                  <c:v>165.8683634579134</c:v>
                </c:pt>
                <c:pt idx="72">
                  <c:v>165.8911172010794</c:v>
                </c:pt>
                <c:pt idx="73">
                  <c:v>165.9176391777851</c:v>
                </c:pt>
                <c:pt idx="74">
                  <c:v>165.9565154595965</c:v>
                </c:pt>
                <c:pt idx="75">
                  <c:v>165.9977767928581</c:v>
                </c:pt>
                <c:pt idx="76">
                  <c:v>166.026969663492</c:v>
                </c:pt>
                <c:pt idx="77">
                  <c:v>166.0492937905282</c:v>
                </c:pt>
                <c:pt idx="78">
                  <c:v>166.0681838299033</c:v>
                </c:pt>
                <c:pt idx="79">
                  <c:v>166.0860719999177</c:v>
                </c:pt>
                <c:pt idx="80">
                  <c:v>166.1037692294301</c:v>
                </c:pt>
                <c:pt idx="81">
                  <c:v>166.1205123247073</c:v>
                </c:pt>
                <c:pt idx="82">
                  <c:v>166.1368258038548</c:v>
                </c:pt>
                <c:pt idx="83">
                  <c:v>166.1511361125562</c:v>
                </c:pt>
                <c:pt idx="84">
                  <c:v>166.1670682789748</c:v>
                </c:pt>
                <c:pt idx="85">
                  <c:v>166.1852422914671</c:v>
                </c:pt>
                <c:pt idx="86">
                  <c:v>166.1982171532045</c:v>
                </c:pt>
                <c:pt idx="87">
                  <c:v>166.2095224220992</c:v>
                </c:pt>
                <c:pt idx="88">
                  <c:v>166.223021801942</c:v>
                </c:pt>
                <c:pt idx="89">
                  <c:v>166.2373798457689</c:v>
                </c:pt>
                <c:pt idx="90">
                  <c:v>166.2520720354746</c:v>
                </c:pt>
                <c:pt idx="91">
                  <c:v>166.265142367463</c:v>
                </c:pt>
                <c:pt idx="92">
                  <c:v>166.2720111110606</c:v>
                </c:pt>
                <c:pt idx="93">
                  <c:v>166.2835544873076</c:v>
                </c:pt>
                <c:pt idx="94">
                  <c:v>166.2948120210768</c:v>
                </c:pt>
                <c:pt idx="95">
                  <c:v>166.3020626456785</c:v>
                </c:pt>
                <c:pt idx="96">
                  <c:v>166.3117669079812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90728"/>
        <c:axId val="2134080440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9676.0</c:v>
                </c:pt>
                <c:pt idx="1">
                  <c:v>11327.0</c:v>
                </c:pt>
                <c:pt idx="2">
                  <c:v>9505.0</c:v>
                </c:pt>
                <c:pt idx="3">
                  <c:v>11612.0</c:v>
                </c:pt>
                <c:pt idx="4">
                  <c:v>15776.0</c:v>
                </c:pt>
                <c:pt idx="5">
                  <c:v>40047.0</c:v>
                </c:pt>
                <c:pt idx="6">
                  <c:v>17341.0</c:v>
                </c:pt>
                <c:pt idx="7">
                  <c:v>22264.0</c:v>
                </c:pt>
                <c:pt idx="8">
                  <c:v>26750.0</c:v>
                </c:pt>
                <c:pt idx="9">
                  <c:v>29365.0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cytometer'!$X$4:$X$19</c:f>
                <c:numCache>
                  <c:formatCode>General</c:formatCode>
                  <c:ptCount val="16"/>
                  <c:pt idx="0">
                    <c:v>0.0148209987821609</c:v>
                  </c:pt>
                  <c:pt idx="1">
                    <c:v>0.0167367471290755</c:v>
                  </c:pt>
                  <c:pt idx="2">
                    <c:v>0.0275304491057589</c:v>
                  </c:pt>
                  <c:pt idx="3">
                    <c:v>0.0190624945213326</c:v>
                  </c:pt>
                  <c:pt idx="4">
                    <c:v>0.0288069546808635</c:v>
                  </c:pt>
                  <c:pt idx="5">
                    <c:v>0.0134962940216007</c:v>
                  </c:pt>
                  <c:pt idx="6">
                    <c:v>0.0151237448022343</c:v>
                  </c:pt>
                  <c:pt idx="7">
                    <c:v>0.0506392174936031</c:v>
                  </c:pt>
                  <c:pt idx="8">
                    <c:v>0.00566662487377963</c:v>
                  </c:pt>
                  <c:pt idx="9">
                    <c:v>0.0109679092599743</c:v>
                  </c:pt>
                  <c:pt idx="10">
                    <c:v>0.0270160373784605</c:v>
                  </c:pt>
                  <c:pt idx="11">
                    <c:v>0.0176901160070925</c:v>
                  </c:pt>
                  <c:pt idx="12">
                    <c:v>0.00602934719094484</c:v>
                  </c:pt>
                  <c:pt idx="13">
                    <c:v>0.0169985434830873</c:v>
                  </c:pt>
                  <c:pt idx="14">
                    <c:v>0.0161493443955483</c:v>
                  </c:pt>
                  <c:pt idx="15">
                    <c:v>0.00514078712577258</c:v>
                  </c:pt>
                </c:numCache>
              </c:numRef>
            </c:plus>
            <c:minus>
              <c:numRef>
                <c:f>'Flow cytometer'!$X$4:$X$19</c:f>
                <c:numCache>
                  <c:formatCode>General</c:formatCode>
                  <c:ptCount val="16"/>
                  <c:pt idx="0">
                    <c:v>0.0148209987821609</c:v>
                  </c:pt>
                  <c:pt idx="1">
                    <c:v>0.0167367471290755</c:v>
                  </c:pt>
                  <c:pt idx="2">
                    <c:v>0.0275304491057589</c:v>
                  </c:pt>
                  <c:pt idx="3">
                    <c:v>0.0190624945213326</c:v>
                  </c:pt>
                  <c:pt idx="4">
                    <c:v>0.0288069546808635</c:v>
                  </c:pt>
                  <c:pt idx="5">
                    <c:v>0.0134962940216007</c:v>
                  </c:pt>
                  <c:pt idx="6">
                    <c:v>0.0151237448022343</c:v>
                  </c:pt>
                  <c:pt idx="7">
                    <c:v>0.0506392174936031</c:v>
                  </c:pt>
                  <c:pt idx="8">
                    <c:v>0.00566662487377963</c:v>
                  </c:pt>
                  <c:pt idx="9">
                    <c:v>0.0109679092599743</c:v>
                  </c:pt>
                  <c:pt idx="10">
                    <c:v>0.0270160373784605</c:v>
                  </c:pt>
                  <c:pt idx="11">
                    <c:v>0.0176901160070925</c:v>
                  </c:pt>
                  <c:pt idx="12">
                    <c:v>0.00602934719094484</c:v>
                  </c:pt>
                  <c:pt idx="13">
                    <c:v>0.0169985434830873</c:v>
                  </c:pt>
                  <c:pt idx="14">
                    <c:v>0.0161493443955483</c:v>
                  </c:pt>
                  <c:pt idx="15">
                    <c:v>0.00514078712577258</c:v>
                  </c:pt>
                </c:numCache>
              </c:numRef>
            </c:minus>
          </c:errBars>
          <c:xVal>
            <c:numRef>
              <c:f>'Flow cytometer'!$D$4:$D$19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'Flow cytometer'!$S$4:$S$19</c:f>
              <c:numCache>
                <c:formatCode>0.00</c:formatCode>
                <c:ptCount val="16"/>
                <c:pt idx="0">
                  <c:v>8.132549125350188</c:v>
                </c:pt>
                <c:pt idx="1">
                  <c:v>8.201000024260052</c:v>
                </c:pt>
                <c:pt idx="2">
                  <c:v>8.13502281288891</c:v>
                </c:pt>
                <c:pt idx="3">
                  <c:v>8.208362623213501</c:v>
                </c:pt>
                <c:pt idx="4">
                  <c:v>8.38541163076494</c:v>
                </c:pt>
                <c:pt idx="5">
                  <c:v>8.780279649320935</c:v>
                </c:pt>
                <c:pt idx="6">
                  <c:v>9.399524602933888</c:v>
                </c:pt>
                <c:pt idx="7">
                  <c:v>9.479341842440605</c:v>
                </c:pt>
                <c:pt idx="8">
                  <c:v>9.610443769120838</c:v>
                </c:pt>
                <c:pt idx="9">
                  <c:v>9.644316633367753</c:v>
                </c:pt>
                <c:pt idx="10">
                  <c:v>9.67308701407812</c:v>
                </c:pt>
                <c:pt idx="11">
                  <c:v>9.607429501940204</c:v>
                </c:pt>
                <c:pt idx="12">
                  <c:v>9.66088296174666</c:v>
                </c:pt>
                <c:pt idx="13">
                  <c:v>9.624882912204036</c:v>
                </c:pt>
                <c:pt idx="14">
                  <c:v>9.605269798705737</c:v>
                </c:pt>
                <c:pt idx="15">
                  <c:v>9.18775054790096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129400"/>
        <c:axId val="2078195320"/>
      </c:scatterChart>
      <c:valAx>
        <c:axId val="2110790728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34080440"/>
        <c:crosses val="autoZero"/>
        <c:crossBetween val="midCat"/>
        <c:majorUnit val="6.0"/>
      </c:valAx>
      <c:valAx>
        <c:axId val="2134080440"/>
        <c:scaling>
          <c:orientation val="minMax"/>
          <c:max val="15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0790728"/>
        <c:crosses val="autoZero"/>
        <c:crossBetween val="midCat"/>
      </c:valAx>
      <c:valAx>
        <c:axId val="2078195320"/>
        <c:scaling>
          <c:orientation val="minMax"/>
          <c:max val="10.0"/>
          <c:min val="6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136129400"/>
        <c:crosses val="max"/>
        <c:crossBetween val="midCat"/>
        <c:majorUnit val="1.0"/>
        <c:minorUnit val="0.2"/>
      </c:valAx>
      <c:valAx>
        <c:axId val="2136129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7819532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Metabolites!$M$4:$M$19</c:f>
                <c:numCache>
                  <c:formatCode>General</c:formatCode>
                  <c:ptCount val="16"/>
                  <c:pt idx="0">
                    <c:v>0.066651022795521</c:v>
                  </c:pt>
                  <c:pt idx="1">
                    <c:v>0.025653990635172</c:v>
                  </c:pt>
                  <c:pt idx="2">
                    <c:v>0.0339605907123036</c:v>
                  </c:pt>
                  <c:pt idx="3">
                    <c:v>0.0559904272545258</c:v>
                  </c:pt>
                  <c:pt idx="4">
                    <c:v>0.0257282858957515</c:v>
                  </c:pt>
                  <c:pt idx="5">
                    <c:v>0.034113625193692</c:v>
                  </c:pt>
                  <c:pt idx="6">
                    <c:v>0.0260942270555878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0.0133221250093549</c:v>
                  </c:pt>
                  <c:pt idx="10">
                    <c:v>0.0</c:v>
                  </c:pt>
                  <c:pt idx="11">
                    <c:v>0.058925613518944</c:v>
                  </c:pt>
                  <c:pt idx="12">
                    <c:v>0.0272196076691084</c:v>
                  </c:pt>
                  <c:pt idx="13">
                    <c:v>0.0138425670792096</c:v>
                  </c:pt>
                  <c:pt idx="14">
                    <c:v>0.048052692888551</c:v>
                  </c:pt>
                  <c:pt idx="15">
                    <c:v>0.0416611429205376</c:v>
                  </c:pt>
                </c:numCache>
              </c:numRef>
            </c:plus>
            <c:minus>
              <c:numRef>
                <c:f>Metabolites!$M$4:$M$19</c:f>
                <c:numCache>
                  <c:formatCode>General</c:formatCode>
                  <c:ptCount val="16"/>
                  <c:pt idx="0">
                    <c:v>0.066651022795521</c:v>
                  </c:pt>
                  <c:pt idx="1">
                    <c:v>0.025653990635172</c:v>
                  </c:pt>
                  <c:pt idx="2">
                    <c:v>0.0339605907123036</c:v>
                  </c:pt>
                  <c:pt idx="3">
                    <c:v>0.0559904272545258</c:v>
                  </c:pt>
                  <c:pt idx="4">
                    <c:v>0.0257282858957515</c:v>
                  </c:pt>
                  <c:pt idx="5">
                    <c:v>0.034113625193692</c:v>
                  </c:pt>
                  <c:pt idx="6">
                    <c:v>0.0260942270555878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0.0133221250093549</c:v>
                  </c:pt>
                  <c:pt idx="10">
                    <c:v>0.0</c:v>
                  </c:pt>
                  <c:pt idx="11">
                    <c:v>0.058925613518944</c:v>
                  </c:pt>
                  <c:pt idx="12">
                    <c:v>0.0272196076691084</c:v>
                  </c:pt>
                  <c:pt idx="13">
                    <c:v>0.0138425670792096</c:v>
                  </c:pt>
                  <c:pt idx="14">
                    <c:v>0.048052692888551</c:v>
                  </c:pt>
                  <c:pt idx="15">
                    <c:v>0.0416611429205376</c:v>
                  </c:pt>
                </c:numCache>
              </c:numRef>
            </c:minus>
          </c:errBars>
          <c:xVal>
            <c:numRef>
              <c:f>Metabolites!$E$4:$E$19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Metabolites!$L$4:$L$19</c:f>
              <c:numCache>
                <c:formatCode>0</c:formatCode>
                <c:ptCount val="16"/>
                <c:pt idx="0">
                  <c:v>0.799812273546253</c:v>
                </c:pt>
                <c:pt idx="1">
                  <c:v>0.851651957942769</c:v>
                </c:pt>
                <c:pt idx="2">
                  <c:v>0.881886206312424</c:v>
                </c:pt>
                <c:pt idx="3">
                  <c:v>0.79352411865432</c:v>
                </c:pt>
                <c:pt idx="4">
                  <c:v>0.839264152505037</c:v>
                </c:pt>
                <c:pt idx="5">
                  <c:v>0.863527584895989</c:v>
                </c:pt>
                <c:pt idx="6">
                  <c:v>0.866266768353232</c:v>
                </c:pt>
                <c:pt idx="7">
                  <c:v>0.933308283469265</c:v>
                </c:pt>
                <c:pt idx="8">
                  <c:v>1.214548481390282</c:v>
                </c:pt>
                <c:pt idx="9">
                  <c:v>1.738286336034326</c:v>
                </c:pt>
                <c:pt idx="10">
                  <c:v>3.555857820186745</c:v>
                </c:pt>
                <c:pt idx="11">
                  <c:v>5.931715014197047</c:v>
                </c:pt>
                <c:pt idx="12">
                  <c:v>8.054064505185316</c:v>
                </c:pt>
                <c:pt idx="13">
                  <c:v>11.63636631168952</c:v>
                </c:pt>
                <c:pt idx="14">
                  <c:v>12.10927860791485</c:v>
                </c:pt>
                <c:pt idx="15">
                  <c:v>12.38733212115872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109"/>
              </a:solidFill>
            </a:ln>
          </c:spPr>
          <c:marker>
            <c:symbol val="triangle"/>
            <c:size val="8"/>
            <c:spPr>
              <a:solidFill>
                <a:srgbClr val="FEC109"/>
              </a:solidFill>
              <a:ln>
                <a:solidFill>
                  <a:srgbClr val="FEC1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Metabolites!$Q$4:$Q$19</c:f>
                <c:numCache>
                  <c:formatCode>General</c:formatCode>
                  <c:ptCount val="16"/>
                  <c:pt idx="0">
                    <c:v>0.152725155748939</c:v>
                  </c:pt>
                  <c:pt idx="1">
                    <c:v>0.578208107730869</c:v>
                  </c:pt>
                  <c:pt idx="2">
                    <c:v>0.245830284488477</c:v>
                  </c:pt>
                  <c:pt idx="3">
                    <c:v>0.782935316294268</c:v>
                  </c:pt>
                  <c:pt idx="4">
                    <c:v>0.51055818520423</c:v>
                  </c:pt>
                  <c:pt idx="5">
                    <c:v>0.19341681136697</c:v>
                  </c:pt>
                  <c:pt idx="6">
                    <c:v>0.269067168938677</c:v>
                  </c:pt>
                  <c:pt idx="7">
                    <c:v>0.0710833158361062</c:v>
                  </c:pt>
                  <c:pt idx="8">
                    <c:v>0.562758091971926</c:v>
                  </c:pt>
                  <c:pt idx="9">
                    <c:v>0.399186015270048</c:v>
                  </c:pt>
                  <c:pt idx="10">
                    <c:v>0.139453145229704</c:v>
                  </c:pt>
                  <c:pt idx="11">
                    <c:v>0.246702491746354</c:v>
                  </c:pt>
                  <c:pt idx="12">
                    <c:v>0.174433004519351</c:v>
                  </c:pt>
                  <c:pt idx="13">
                    <c:v>0.129677403455594</c:v>
                  </c:pt>
                  <c:pt idx="14">
                    <c:v>0.361015394207571</c:v>
                  </c:pt>
                  <c:pt idx="15">
                    <c:v>0.350443903278412</c:v>
                  </c:pt>
                </c:numCache>
              </c:numRef>
            </c:plus>
            <c:minus>
              <c:numRef>
                <c:f>Metabolites!$Q$4:$Q$19</c:f>
                <c:numCache>
                  <c:formatCode>General</c:formatCode>
                  <c:ptCount val="16"/>
                  <c:pt idx="0">
                    <c:v>0.152725155748939</c:v>
                  </c:pt>
                  <c:pt idx="1">
                    <c:v>0.578208107730869</c:v>
                  </c:pt>
                  <c:pt idx="2">
                    <c:v>0.245830284488477</c:v>
                  </c:pt>
                  <c:pt idx="3">
                    <c:v>0.782935316294268</c:v>
                  </c:pt>
                  <c:pt idx="4">
                    <c:v>0.51055818520423</c:v>
                  </c:pt>
                  <c:pt idx="5">
                    <c:v>0.19341681136697</c:v>
                  </c:pt>
                  <c:pt idx="6">
                    <c:v>0.269067168938677</c:v>
                  </c:pt>
                  <c:pt idx="7">
                    <c:v>0.0710833158361062</c:v>
                  </c:pt>
                  <c:pt idx="8">
                    <c:v>0.562758091971926</c:v>
                  </c:pt>
                  <c:pt idx="9">
                    <c:v>0.399186015270048</c:v>
                  </c:pt>
                  <c:pt idx="10">
                    <c:v>0.139453145229704</c:v>
                  </c:pt>
                  <c:pt idx="11">
                    <c:v>0.246702491746354</c:v>
                  </c:pt>
                  <c:pt idx="12">
                    <c:v>0.174433004519351</c:v>
                  </c:pt>
                  <c:pt idx="13">
                    <c:v>0.129677403455594</c:v>
                  </c:pt>
                  <c:pt idx="14">
                    <c:v>0.361015394207571</c:v>
                  </c:pt>
                  <c:pt idx="15">
                    <c:v>0.350443903278412</c:v>
                  </c:pt>
                </c:numCache>
              </c:numRef>
            </c:minus>
          </c:errBars>
          <c:xVal>
            <c:numRef>
              <c:f>Metabolites!$E$4:$E$19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Metabolites!$P$4:$P$19</c:f>
              <c:numCache>
                <c:formatCode>0</c:formatCode>
                <c:ptCount val="16"/>
                <c:pt idx="0">
                  <c:v>80.38559539167544</c:v>
                </c:pt>
                <c:pt idx="1">
                  <c:v>79.91901233384651</c:v>
                </c:pt>
                <c:pt idx="2">
                  <c:v>80.51919779067378</c:v>
                </c:pt>
                <c:pt idx="3">
                  <c:v>79.4866058482236</c:v>
                </c:pt>
                <c:pt idx="4">
                  <c:v>79.35943005181051</c:v>
                </c:pt>
                <c:pt idx="5">
                  <c:v>79.0171599615865</c:v>
                </c:pt>
                <c:pt idx="6">
                  <c:v>74.88350268092942</c:v>
                </c:pt>
                <c:pt idx="7">
                  <c:v>71.78904990734905</c:v>
                </c:pt>
                <c:pt idx="8">
                  <c:v>69.26748222874893</c:v>
                </c:pt>
                <c:pt idx="9">
                  <c:v>66.1123911452359</c:v>
                </c:pt>
                <c:pt idx="10">
                  <c:v>64.07872023304888</c:v>
                </c:pt>
                <c:pt idx="11">
                  <c:v>64.05437023681796</c:v>
                </c:pt>
                <c:pt idx="12">
                  <c:v>64.72291183807587</c:v>
                </c:pt>
                <c:pt idx="13">
                  <c:v>69.2346280999422</c:v>
                </c:pt>
                <c:pt idx="14">
                  <c:v>69.25978797442377</c:v>
                </c:pt>
                <c:pt idx="15">
                  <c:v>68.43478862357888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triangle"/>
            <c:size val="8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Metabolites!$U$4:$U$19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0.0920605404488196</c:v>
                  </c:pt>
                  <c:pt idx="7">
                    <c:v>0.0257198267545057</c:v>
                  </c:pt>
                  <c:pt idx="8">
                    <c:v>0.186709937161143</c:v>
                  </c:pt>
                  <c:pt idx="9">
                    <c:v>0.0521423863064387</c:v>
                  </c:pt>
                  <c:pt idx="10">
                    <c:v>0.146204445793583</c:v>
                  </c:pt>
                  <c:pt idx="11">
                    <c:v>0.052910846633043</c:v>
                  </c:pt>
                  <c:pt idx="12">
                    <c:v>0.0461317463559032</c:v>
                  </c:pt>
                  <c:pt idx="13">
                    <c:v>0.0270896902562502</c:v>
                  </c:pt>
                  <c:pt idx="14">
                    <c:v>0.0718229981676561</c:v>
                  </c:pt>
                  <c:pt idx="15">
                    <c:v>0.0815302140839025</c:v>
                  </c:pt>
                </c:numCache>
              </c:numRef>
            </c:plus>
            <c:minus>
              <c:numRef>
                <c:f>Metabolites!$U$4:$U$19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0.0920605404488196</c:v>
                  </c:pt>
                  <c:pt idx="7">
                    <c:v>0.0257198267545057</c:v>
                  </c:pt>
                  <c:pt idx="8">
                    <c:v>0.186709937161143</c:v>
                  </c:pt>
                  <c:pt idx="9">
                    <c:v>0.0521423863064387</c:v>
                  </c:pt>
                  <c:pt idx="10">
                    <c:v>0.146204445793583</c:v>
                  </c:pt>
                  <c:pt idx="11">
                    <c:v>0.052910846633043</c:v>
                  </c:pt>
                  <c:pt idx="12">
                    <c:v>0.0461317463559032</c:v>
                  </c:pt>
                  <c:pt idx="13">
                    <c:v>0.0270896902562502</c:v>
                  </c:pt>
                  <c:pt idx="14">
                    <c:v>0.0718229981676561</c:v>
                  </c:pt>
                  <c:pt idx="15">
                    <c:v>0.0815302140839025</c:v>
                  </c:pt>
                </c:numCache>
              </c:numRef>
            </c:minus>
          </c:errBars>
          <c:xVal>
            <c:numRef>
              <c:f>Metabolites!$E$4:$E$19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Metabolites!$T$4:$T$19</c:f>
              <c:numCache>
                <c:formatCode>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1.253026172331283</c:v>
                </c:pt>
                <c:pt idx="7">
                  <c:v>2.925321733344204</c:v>
                </c:pt>
                <c:pt idx="8">
                  <c:v>4.813500323083113</c:v>
                </c:pt>
                <c:pt idx="9">
                  <c:v>6.562763727906175</c:v>
                </c:pt>
                <c:pt idx="10">
                  <c:v>8.44450699484276</c:v>
                </c:pt>
                <c:pt idx="11">
                  <c:v>10.05032211884402</c:v>
                </c:pt>
                <c:pt idx="12">
                  <c:v>11.30227785719628</c:v>
                </c:pt>
                <c:pt idx="13">
                  <c:v>13.62264900664909</c:v>
                </c:pt>
                <c:pt idx="14">
                  <c:v>13.71393023924828</c:v>
                </c:pt>
                <c:pt idx="15">
                  <c:v>13.6978038950928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'CO2'!$G$105:$G$201</c:f>
              <c:numCache>
                <c:formatCode>0.0</c:formatCode>
                <c:ptCount val="97"/>
                <c:pt idx="0">
                  <c:v>0.0681255397541471</c:v>
                </c:pt>
                <c:pt idx="1">
                  <c:v>0.215634220678357</c:v>
                </c:pt>
                <c:pt idx="2">
                  <c:v>0.37748594091079</c:v>
                </c:pt>
                <c:pt idx="3">
                  <c:v>0.544487374371459</c:v>
                </c:pt>
                <c:pt idx="4">
                  <c:v>0.718831974637446</c:v>
                </c:pt>
                <c:pt idx="5">
                  <c:v>0.904447921010484</c:v>
                </c:pt>
                <c:pt idx="6">
                  <c:v>1.097942343769117</c:v>
                </c:pt>
                <c:pt idx="7">
                  <c:v>1.300855483959743</c:v>
                </c:pt>
                <c:pt idx="8">
                  <c:v>1.520299524076512</c:v>
                </c:pt>
                <c:pt idx="9">
                  <c:v>1.761628106510008</c:v>
                </c:pt>
                <c:pt idx="10">
                  <c:v>2.042050590193042</c:v>
                </c:pt>
                <c:pt idx="11">
                  <c:v>2.380761527755428</c:v>
                </c:pt>
                <c:pt idx="12">
                  <c:v>2.789453019775224</c:v>
                </c:pt>
                <c:pt idx="13">
                  <c:v>3.263156173161076</c:v>
                </c:pt>
                <c:pt idx="14">
                  <c:v>3.792322984819633</c:v>
                </c:pt>
                <c:pt idx="15">
                  <c:v>4.411829349391918</c:v>
                </c:pt>
                <c:pt idx="16">
                  <c:v>5.158355642542465</c:v>
                </c:pt>
                <c:pt idx="17">
                  <c:v>6.062152650966946</c:v>
                </c:pt>
                <c:pt idx="18">
                  <c:v>7.162985522487402</c:v>
                </c:pt>
                <c:pt idx="19">
                  <c:v>8.46113782046144</c:v>
                </c:pt>
                <c:pt idx="20">
                  <c:v>9.934591772787285</c:v>
                </c:pt>
                <c:pt idx="21">
                  <c:v>11.62271552817685</c:v>
                </c:pt>
                <c:pt idx="22">
                  <c:v>13.53578526179158</c:v>
                </c:pt>
                <c:pt idx="23">
                  <c:v>15.50960912093067</c:v>
                </c:pt>
                <c:pt idx="24">
                  <c:v>17.5391769666782</c:v>
                </c:pt>
                <c:pt idx="25">
                  <c:v>19.76841884888871</c:v>
                </c:pt>
                <c:pt idx="26">
                  <c:v>22.20538993872166</c:v>
                </c:pt>
                <c:pt idx="27">
                  <c:v>24.80578331756045</c:v>
                </c:pt>
                <c:pt idx="28">
                  <c:v>27.6144042326395</c:v>
                </c:pt>
                <c:pt idx="29">
                  <c:v>30.59816501921238</c:v>
                </c:pt>
                <c:pt idx="30">
                  <c:v>33.65873959449638</c:v>
                </c:pt>
                <c:pt idx="31">
                  <c:v>36.78274049960007</c:v>
                </c:pt>
                <c:pt idx="32">
                  <c:v>40.03312364768624</c:v>
                </c:pt>
                <c:pt idx="33">
                  <c:v>43.39650366190145</c:v>
                </c:pt>
                <c:pt idx="34">
                  <c:v>46.84968139565919</c:v>
                </c:pt>
                <c:pt idx="35">
                  <c:v>50.41635552084254</c:v>
                </c:pt>
                <c:pt idx="36">
                  <c:v>54.01329754439639</c:v>
                </c:pt>
                <c:pt idx="37">
                  <c:v>57.6677324472469</c:v>
                </c:pt>
                <c:pt idx="38">
                  <c:v>61.35838932188114</c:v>
                </c:pt>
                <c:pt idx="39">
                  <c:v>64.99601742633075</c:v>
                </c:pt>
                <c:pt idx="40">
                  <c:v>68.53750633353033</c:v>
                </c:pt>
                <c:pt idx="41">
                  <c:v>71.98076436178489</c:v>
                </c:pt>
                <c:pt idx="42">
                  <c:v>75.3901540898076</c:v>
                </c:pt>
                <c:pt idx="43">
                  <c:v>78.66967146275304</c:v>
                </c:pt>
                <c:pt idx="44">
                  <c:v>81.53008853870622</c:v>
                </c:pt>
                <c:pt idx="45">
                  <c:v>83.89319518084745</c:v>
                </c:pt>
                <c:pt idx="46">
                  <c:v>85.9090448419191</c:v>
                </c:pt>
                <c:pt idx="47">
                  <c:v>87.66471915248724</c:v>
                </c:pt>
                <c:pt idx="48">
                  <c:v>89.22471589134497</c:v>
                </c:pt>
                <c:pt idx="49">
                  <c:v>90.60234819655145</c:v>
                </c:pt>
                <c:pt idx="50">
                  <c:v>91.78879281002462</c:v>
                </c:pt>
                <c:pt idx="51">
                  <c:v>92.79459792228244</c:v>
                </c:pt>
                <c:pt idx="52">
                  <c:v>93.63702163122027</c:v>
                </c:pt>
                <c:pt idx="53">
                  <c:v>94.34997082189744</c:v>
                </c:pt>
                <c:pt idx="54">
                  <c:v>94.95333395293436</c:v>
                </c:pt>
                <c:pt idx="55">
                  <c:v>95.46862787791725</c:v>
                </c:pt>
                <c:pt idx="56">
                  <c:v>95.90377845092436</c:v>
                </c:pt>
                <c:pt idx="57">
                  <c:v>96.26979873606935</c:v>
                </c:pt>
                <c:pt idx="58">
                  <c:v>96.58046696618418</c:v>
                </c:pt>
                <c:pt idx="59">
                  <c:v>96.84335218212689</c:v>
                </c:pt>
                <c:pt idx="60">
                  <c:v>97.07155160810143</c:v>
                </c:pt>
                <c:pt idx="61">
                  <c:v>97.27193002643972</c:v>
                </c:pt>
                <c:pt idx="62">
                  <c:v>97.4439776477801</c:v>
                </c:pt>
                <c:pt idx="63">
                  <c:v>97.5911251501319</c:v>
                </c:pt>
                <c:pt idx="64">
                  <c:v>97.71689868175546</c:v>
                </c:pt>
                <c:pt idx="65">
                  <c:v>97.82513807887888</c:v>
                </c:pt>
                <c:pt idx="66">
                  <c:v>97.91952065099333</c:v>
                </c:pt>
                <c:pt idx="67">
                  <c:v>98.00264114313619</c:v>
                </c:pt>
                <c:pt idx="68">
                  <c:v>98.07705622589943</c:v>
                </c:pt>
                <c:pt idx="69">
                  <c:v>98.14536973672529</c:v>
                </c:pt>
                <c:pt idx="70">
                  <c:v>98.20722991320067</c:v>
                </c:pt>
                <c:pt idx="71">
                  <c:v>98.2622378260623</c:v>
                </c:pt>
                <c:pt idx="72">
                  <c:v>98.31108733945615</c:v>
                </c:pt>
                <c:pt idx="73">
                  <c:v>98.35541281315609</c:v>
                </c:pt>
                <c:pt idx="74">
                  <c:v>98.399481994694</c:v>
                </c:pt>
                <c:pt idx="75">
                  <c:v>98.44373188777853</c:v>
                </c:pt>
                <c:pt idx="76">
                  <c:v>98.48464600482947</c:v>
                </c:pt>
                <c:pt idx="77">
                  <c:v>98.52160663059158</c:v>
                </c:pt>
                <c:pt idx="78">
                  <c:v>98.55543094495175</c:v>
                </c:pt>
                <c:pt idx="79">
                  <c:v>98.58735437842057</c:v>
                </c:pt>
                <c:pt idx="80">
                  <c:v>98.61758605630983</c:v>
                </c:pt>
                <c:pt idx="81">
                  <c:v>98.64743755802083</c:v>
                </c:pt>
                <c:pt idx="82">
                  <c:v>98.67741237547276</c:v>
                </c:pt>
                <c:pt idx="83">
                  <c:v>98.70577158623585</c:v>
                </c:pt>
                <c:pt idx="84">
                  <c:v>98.73148888511137</c:v>
                </c:pt>
                <c:pt idx="85">
                  <c:v>98.75508708537886</c:v>
                </c:pt>
                <c:pt idx="86">
                  <c:v>98.77718390229358</c:v>
                </c:pt>
                <c:pt idx="87">
                  <c:v>98.79764579115914</c:v>
                </c:pt>
                <c:pt idx="88">
                  <c:v>98.81672961241287</c:v>
                </c:pt>
                <c:pt idx="89">
                  <c:v>98.82590100754163</c:v>
                </c:pt>
                <c:pt idx="90">
                  <c:v>98.83503432822503</c:v>
                </c:pt>
                <c:pt idx="91">
                  <c:v>98.85245480766442</c:v>
                </c:pt>
                <c:pt idx="92">
                  <c:v>98.86074196642039</c:v>
                </c:pt>
                <c:pt idx="93">
                  <c:v>98.86074196642039</c:v>
                </c:pt>
                <c:pt idx="94">
                  <c:v>98.86074196642039</c:v>
                </c:pt>
                <c:pt idx="95">
                  <c:v>98.86074196642039</c:v>
                </c:pt>
                <c:pt idx="96">
                  <c:v>98.86074196642039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Metabolites!$I$4:$I$19</c:f>
                <c:numCache>
                  <c:formatCode>General</c:formatCode>
                  <c:ptCount val="16"/>
                  <c:pt idx="0">
                    <c:v>0.121856455517066</c:v>
                  </c:pt>
                  <c:pt idx="1">
                    <c:v>0.736212544985677</c:v>
                  </c:pt>
                  <c:pt idx="2">
                    <c:v>0.312903780970256</c:v>
                  </c:pt>
                  <c:pt idx="3">
                    <c:v>0.664135612605384</c:v>
                  </c:pt>
                  <c:pt idx="4">
                    <c:v>0.438467287711233</c:v>
                  </c:pt>
                  <c:pt idx="5">
                    <c:v>0.230018655032918</c:v>
                  </c:pt>
                  <c:pt idx="6">
                    <c:v>0.220935830957766</c:v>
                  </c:pt>
                  <c:pt idx="7">
                    <c:v>0.0647197018290514</c:v>
                  </c:pt>
                  <c:pt idx="8">
                    <c:v>0.413812196437951</c:v>
                  </c:pt>
                  <c:pt idx="9">
                    <c:v>0.244833693018012</c:v>
                  </c:pt>
                  <c:pt idx="10">
                    <c:v>0.0922344655854727</c:v>
                  </c:pt>
                  <c:pt idx="11">
                    <c:v>0.0946292400845512</c:v>
                  </c:pt>
                  <c:pt idx="12">
                    <c:v>0.0296618797781164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Metabolites!$I$4:$I$19</c:f>
                <c:numCache>
                  <c:formatCode>General</c:formatCode>
                  <c:ptCount val="16"/>
                  <c:pt idx="0">
                    <c:v>0.121856455517066</c:v>
                  </c:pt>
                  <c:pt idx="1">
                    <c:v>0.736212544985677</c:v>
                  </c:pt>
                  <c:pt idx="2">
                    <c:v>0.312903780970256</c:v>
                  </c:pt>
                  <c:pt idx="3">
                    <c:v>0.664135612605384</c:v>
                  </c:pt>
                  <c:pt idx="4">
                    <c:v>0.438467287711233</c:v>
                  </c:pt>
                  <c:pt idx="5">
                    <c:v>0.230018655032918</c:v>
                  </c:pt>
                  <c:pt idx="6">
                    <c:v>0.220935830957766</c:v>
                  </c:pt>
                  <c:pt idx="7">
                    <c:v>0.0647197018290514</c:v>
                  </c:pt>
                  <c:pt idx="8">
                    <c:v>0.413812196437951</c:v>
                  </c:pt>
                  <c:pt idx="9">
                    <c:v>0.244833693018012</c:v>
                  </c:pt>
                  <c:pt idx="10">
                    <c:v>0.0922344655854727</c:v>
                  </c:pt>
                  <c:pt idx="11">
                    <c:v>0.0946292400845512</c:v>
                  </c:pt>
                  <c:pt idx="12">
                    <c:v>0.0296618797781164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Metabolites!$H$4:$H$19</c:f>
              <c:numCache>
                <c:formatCode>0</c:formatCode>
                <c:ptCount val="16"/>
                <c:pt idx="0">
                  <c:v>80.78844529737101</c:v>
                </c:pt>
                <c:pt idx="1">
                  <c:v>80.19969459601057</c:v>
                </c:pt>
                <c:pt idx="2">
                  <c:v>80.85562566362771</c:v>
                </c:pt>
                <c:pt idx="3">
                  <c:v>79.67872084880391</c:v>
                </c:pt>
                <c:pt idx="4">
                  <c:v>79.12107094368287</c:v>
                </c:pt>
                <c:pt idx="5">
                  <c:v>77.4681018294837</c:v>
                </c:pt>
                <c:pt idx="6">
                  <c:v>66.29953879705195</c:v>
                </c:pt>
                <c:pt idx="7">
                  <c:v>58.36211920572237</c:v>
                </c:pt>
                <c:pt idx="8">
                  <c:v>51.00721688354471</c:v>
                </c:pt>
                <c:pt idx="9">
                  <c:v>42.7264628171269</c:v>
                </c:pt>
                <c:pt idx="10">
                  <c:v>33.12990406977912</c:v>
                </c:pt>
                <c:pt idx="11">
                  <c:v>24.21856801191242</c:v>
                </c:pt>
                <c:pt idx="12">
                  <c:v>15.46773266190955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Metabolites!$J$21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Metabolites!$M$24:$M$39</c:f>
                <c:numCache>
                  <c:formatCode>General</c:formatCode>
                  <c:ptCount val="16"/>
                  <c:pt idx="0">
                    <c:v>0.297887968898561</c:v>
                  </c:pt>
                  <c:pt idx="1">
                    <c:v>0.182182545969187</c:v>
                  </c:pt>
                  <c:pt idx="2">
                    <c:v>0.151340516747783</c:v>
                  </c:pt>
                  <c:pt idx="3">
                    <c:v>0.202168891729398</c:v>
                  </c:pt>
                  <c:pt idx="4">
                    <c:v>0.0602689577295236</c:v>
                  </c:pt>
                  <c:pt idx="5">
                    <c:v>0.362445679842733</c:v>
                  </c:pt>
                  <c:pt idx="6">
                    <c:v>0.519872092576751</c:v>
                  </c:pt>
                  <c:pt idx="7">
                    <c:v>0.141561547634141</c:v>
                  </c:pt>
                  <c:pt idx="8">
                    <c:v>0.266438756086477</c:v>
                  </c:pt>
                  <c:pt idx="9">
                    <c:v>0.347509894938193</c:v>
                  </c:pt>
                  <c:pt idx="10">
                    <c:v>0.161734587694973</c:v>
                  </c:pt>
                  <c:pt idx="11">
                    <c:v>1.511710713575825</c:v>
                  </c:pt>
                  <c:pt idx="12">
                    <c:v>0.0501679919345164</c:v>
                  </c:pt>
                  <c:pt idx="13">
                    <c:v>0.0787953628733135</c:v>
                  </c:pt>
                  <c:pt idx="14">
                    <c:v>0.432718162677479</c:v>
                  </c:pt>
                  <c:pt idx="15">
                    <c:v>0.238839591327529</c:v>
                  </c:pt>
                </c:numCache>
              </c:numRef>
            </c:plus>
            <c:minus>
              <c:numRef>
                <c:f>Metabolites!$M$24:$M$39</c:f>
                <c:numCache>
                  <c:formatCode>General</c:formatCode>
                  <c:ptCount val="16"/>
                  <c:pt idx="0">
                    <c:v>0.297887968898561</c:v>
                  </c:pt>
                  <c:pt idx="1">
                    <c:v>0.182182545969187</c:v>
                  </c:pt>
                  <c:pt idx="2">
                    <c:v>0.151340516747783</c:v>
                  </c:pt>
                  <c:pt idx="3">
                    <c:v>0.202168891729398</c:v>
                  </c:pt>
                  <c:pt idx="4">
                    <c:v>0.0602689577295236</c:v>
                  </c:pt>
                  <c:pt idx="5">
                    <c:v>0.362445679842733</c:v>
                  </c:pt>
                  <c:pt idx="6">
                    <c:v>0.519872092576751</c:v>
                  </c:pt>
                  <c:pt idx="7">
                    <c:v>0.141561547634141</c:v>
                  </c:pt>
                  <c:pt idx="8">
                    <c:v>0.266438756086477</c:v>
                  </c:pt>
                  <c:pt idx="9">
                    <c:v>0.347509894938193</c:v>
                  </c:pt>
                  <c:pt idx="10">
                    <c:v>0.161734587694973</c:v>
                  </c:pt>
                  <c:pt idx="11">
                    <c:v>1.511710713575825</c:v>
                  </c:pt>
                  <c:pt idx="12">
                    <c:v>0.0501679919345164</c:v>
                  </c:pt>
                  <c:pt idx="13">
                    <c:v>0.0787953628733135</c:v>
                  </c:pt>
                  <c:pt idx="14">
                    <c:v>0.432718162677479</c:v>
                  </c:pt>
                  <c:pt idx="15">
                    <c:v>0.238839591327529</c:v>
                  </c:pt>
                </c:numCache>
              </c:numRef>
            </c:minus>
          </c:errBars>
          <c:xVal>
            <c:numRef>
              <c:f>Metabolites!$E$4:$E$19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Metabolites!$L$24:$L$39</c:f>
              <c:numCache>
                <c:formatCode>0</c:formatCode>
                <c:ptCount val="16"/>
                <c:pt idx="0">
                  <c:v>1.953382043181501</c:v>
                </c:pt>
                <c:pt idx="1">
                  <c:v>2.369800695797712</c:v>
                </c:pt>
                <c:pt idx="2">
                  <c:v>3.06090696634056</c:v>
                </c:pt>
                <c:pt idx="3">
                  <c:v>3.775799048870923</c:v>
                </c:pt>
                <c:pt idx="4">
                  <c:v>5.216511189975537</c:v>
                </c:pt>
                <c:pt idx="5">
                  <c:v>6.918075313999592</c:v>
                </c:pt>
                <c:pt idx="6">
                  <c:v>18.75236103596651</c:v>
                </c:pt>
                <c:pt idx="7">
                  <c:v>26.41437270721034</c:v>
                </c:pt>
                <c:pt idx="8">
                  <c:v>34.75208919498018</c:v>
                </c:pt>
                <c:pt idx="9">
                  <c:v>41.92033417211295</c:v>
                </c:pt>
                <c:pt idx="10">
                  <c:v>50.52280802962946</c:v>
                </c:pt>
                <c:pt idx="11">
                  <c:v>57.40375403528172</c:v>
                </c:pt>
                <c:pt idx="12">
                  <c:v>64.57172912994647</c:v>
                </c:pt>
                <c:pt idx="13">
                  <c:v>75.99566681210004</c:v>
                </c:pt>
                <c:pt idx="14">
                  <c:v>77.55527568228199</c:v>
                </c:pt>
                <c:pt idx="15">
                  <c:v>79.23995000762834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'H2'!$G$107:$G$203</c:f>
              <c:numCache>
                <c:formatCode>0.0</c:formatCode>
                <c:ptCount val="97"/>
                <c:pt idx="0">
                  <c:v>0.0102539354142424</c:v>
                </c:pt>
                <c:pt idx="1">
                  <c:v>0.0798949949249573</c:v>
                </c:pt>
                <c:pt idx="2">
                  <c:v>0.309192116112305</c:v>
                </c:pt>
                <c:pt idx="3">
                  <c:v>0.670027063089788</c:v>
                </c:pt>
                <c:pt idx="4">
                  <c:v>1.071300972516664</c:v>
                </c:pt>
                <c:pt idx="5">
                  <c:v>1.50333633121284</c:v>
                </c:pt>
                <c:pt idx="6">
                  <c:v>1.911871000007991</c:v>
                </c:pt>
                <c:pt idx="7">
                  <c:v>2.340584204746057</c:v>
                </c:pt>
                <c:pt idx="8">
                  <c:v>2.876493237048049</c:v>
                </c:pt>
                <c:pt idx="9">
                  <c:v>3.547096835666753</c:v>
                </c:pt>
                <c:pt idx="10">
                  <c:v>4.42615342948765</c:v>
                </c:pt>
                <c:pt idx="11">
                  <c:v>5.585684977463737</c:v>
                </c:pt>
                <c:pt idx="12">
                  <c:v>6.916954070467755</c:v>
                </c:pt>
                <c:pt idx="13">
                  <c:v>8.25923265991543</c:v>
                </c:pt>
                <c:pt idx="14">
                  <c:v>9.756010614711137</c:v>
                </c:pt>
                <c:pt idx="15">
                  <c:v>11.65435802947003</c:v>
                </c:pt>
                <c:pt idx="16">
                  <c:v>14.01583375434577</c:v>
                </c:pt>
                <c:pt idx="17">
                  <c:v>16.82730720515018</c:v>
                </c:pt>
                <c:pt idx="18">
                  <c:v>20.07205642850399</c:v>
                </c:pt>
                <c:pt idx="19">
                  <c:v>23.57341429763217</c:v>
                </c:pt>
                <c:pt idx="20">
                  <c:v>27.16846368426745</c:v>
                </c:pt>
                <c:pt idx="21">
                  <c:v>30.92257799130897</c:v>
                </c:pt>
                <c:pt idx="22">
                  <c:v>34.87522578708778</c:v>
                </c:pt>
                <c:pt idx="23">
                  <c:v>39.01882153824047</c:v>
                </c:pt>
                <c:pt idx="24">
                  <c:v>43.61330791641348</c:v>
                </c:pt>
                <c:pt idx="25">
                  <c:v>48.42513983646212</c:v>
                </c:pt>
                <c:pt idx="26">
                  <c:v>53.2247753656052</c:v>
                </c:pt>
                <c:pt idx="27">
                  <c:v>58.62345952290596</c:v>
                </c:pt>
                <c:pt idx="28">
                  <c:v>64.26759219172381</c:v>
                </c:pt>
                <c:pt idx="29">
                  <c:v>69.62377981069928</c:v>
                </c:pt>
                <c:pt idx="30">
                  <c:v>74.9853476967737</c:v>
                </c:pt>
                <c:pt idx="31">
                  <c:v>80.43982155065925</c:v>
                </c:pt>
                <c:pt idx="32">
                  <c:v>86.11159732877989</c:v>
                </c:pt>
                <c:pt idx="33">
                  <c:v>92.04041592317703</c:v>
                </c:pt>
                <c:pt idx="34">
                  <c:v>98.22880812563126</c:v>
                </c:pt>
                <c:pt idx="35">
                  <c:v>104.6624067591199</c:v>
                </c:pt>
                <c:pt idx="36">
                  <c:v>111.3050020518698</c:v>
                </c:pt>
                <c:pt idx="37">
                  <c:v>118.2969626277475</c:v>
                </c:pt>
                <c:pt idx="38">
                  <c:v>125.5377797110343</c:v>
                </c:pt>
                <c:pt idx="39">
                  <c:v>133.4538070758996</c:v>
                </c:pt>
                <c:pt idx="40">
                  <c:v>141.2774333429374</c:v>
                </c:pt>
                <c:pt idx="41">
                  <c:v>148.3513107283228</c:v>
                </c:pt>
                <c:pt idx="42">
                  <c:v>155.3087871367604</c:v>
                </c:pt>
                <c:pt idx="43">
                  <c:v>160.7192733119324</c:v>
                </c:pt>
                <c:pt idx="44">
                  <c:v>163.4821241271841</c:v>
                </c:pt>
                <c:pt idx="45">
                  <c:v>164.5223253005961</c:v>
                </c:pt>
                <c:pt idx="46">
                  <c:v>164.8497294590207</c:v>
                </c:pt>
                <c:pt idx="47">
                  <c:v>164.9615169364922</c:v>
                </c:pt>
                <c:pt idx="48">
                  <c:v>165.0280012066163</c:v>
                </c:pt>
                <c:pt idx="49">
                  <c:v>165.0801344533319</c:v>
                </c:pt>
                <c:pt idx="50">
                  <c:v>165.1249030109887</c:v>
                </c:pt>
                <c:pt idx="51">
                  <c:v>165.1543596274144</c:v>
                </c:pt>
                <c:pt idx="52">
                  <c:v>165.1866006708431</c:v>
                </c:pt>
                <c:pt idx="53">
                  <c:v>165.2282263834195</c:v>
                </c:pt>
                <c:pt idx="54">
                  <c:v>165.2654515779314</c:v>
                </c:pt>
                <c:pt idx="55">
                  <c:v>165.3085591085287</c:v>
                </c:pt>
                <c:pt idx="56">
                  <c:v>165.3497354611278</c:v>
                </c:pt>
                <c:pt idx="57">
                  <c:v>165.3830538985977</c:v>
                </c:pt>
                <c:pt idx="58">
                  <c:v>165.4238712981672</c:v>
                </c:pt>
                <c:pt idx="59">
                  <c:v>165.4658110277756</c:v>
                </c:pt>
                <c:pt idx="60">
                  <c:v>165.5075075034211</c:v>
                </c:pt>
                <c:pt idx="61">
                  <c:v>165.5500088133957</c:v>
                </c:pt>
                <c:pt idx="62">
                  <c:v>165.5942274513385</c:v>
                </c:pt>
                <c:pt idx="63">
                  <c:v>165.6375874252972</c:v>
                </c:pt>
                <c:pt idx="64">
                  <c:v>165.6725522681922</c:v>
                </c:pt>
                <c:pt idx="65">
                  <c:v>165.703892082924</c:v>
                </c:pt>
                <c:pt idx="66">
                  <c:v>165.7339913526674</c:v>
                </c:pt>
                <c:pt idx="67">
                  <c:v>165.763374595528</c:v>
                </c:pt>
                <c:pt idx="68">
                  <c:v>165.7903250518129</c:v>
                </c:pt>
                <c:pt idx="69">
                  <c:v>165.8175619188509</c:v>
                </c:pt>
                <c:pt idx="70">
                  <c:v>165.845180666893</c:v>
                </c:pt>
                <c:pt idx="71">
                  <c:v>165.8683634579134</c:v>
                </c:pt>
                <c:pt idx="72">
                  <c:v>165.8911172010794</c:v>
                </c:pt>
                <c:pt idx="73">
                  <c:v>165.9176391777851</c:v>
                </c:pt>
                <c:pt idx="74">
                  <c:v>165.9565154595965</c:v>
                </c:pt>
                <c:pt idx="75">
                  <c:v>165.9977767928581</c:v>
                </c:pt>
                <c:pt idx="76">
                  <c:v>166.026969663492</c:v>
                </c:pt>
                <c:pt idx="77">
                  <c:v>166.0492937905282</c:v>
                </c:pt>
                <c:pt idx="78">
                  <c:v>166.0681838299033</c:v>
                </c:pt>
                <c:pt idx="79">
                  <c:v>166.0860719999177</c:v>
                </c:pt>
                <c:pt idx="80">
                  <c:v>166.1037692294301</c:v>
                </c:pt>
                <c:pt idx="81">
                  <c:v>166.1205123247073</c:v>
                </c:pt>
                <c:pt idx="82">
                  <c:v>166.1368258038548</c:v>
                </c:pt>
                <c:pt idx="83">
                  <c:v>166.1511361125562</c:v>
                </c:pt>
                <c:pt idx="84">
                  <c:v>166.1670682789748</c:v>
                </c:pt>
                <c:pt idx="85">
                  <c:v>166.1852422914671</c:v>
                </c:pt>
                <c:pt idx="86">
                  <c:v>166.1982171532045</c:v>
                </c:pt>
                <c:pt idx="87">
                  <c:v>166.2095224220992</c:v>
                </c:pt>
                <c:pt idx="88">
                  <c:v>166.223021801942</c:v>
                </c:pt>
                <c:pt idx="89">
                  <c:v>166.2373798457689</c:v>
                </c:pt>
                <c:pt idx="90">
                  <c:v>166.2520720354746</c:v>
                </c:pt>
                <c:pt idx="91">
                  <c:v>166.265142367463</c:v>
                </c:pt>
                <c:pt idx="92">
                  <c:v>166.2720111110606</c:v>
                </c:pt>
                <c:pt idx="93">
                  <c:v>166.2835544873076</c:v>
                </c:pt>
                <c:pt idx="94">
                  <c:v>166.2948120210768</c:v>
                </c:pt>
                <c:pt idx="95">
                  <c:v>166.3020626456785</c:v>
                </c:pt>
                <c:pt idx="96">
                  <c:v>166.3117669079812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362504"/>
        <c:axId val="2112768936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9676.0</c:v>
                </c:pt>
                <c:pt idx="1">
                  <c:v>11327.0</c:v>
                </c:pt>
                <c:pt idx="2">
                  <c:v>9505.0</c:v>
                </c:pt>
                <c:pt idx="3">
                  <c:v>11612.0</c:v>
                </c:pt>
                <c:pt idx="4">
                  <c:v>15776.0</c:v>
                </c:pt>
                <c:pt idx="5">
                  <c:v>40047.0</c:v>
                </c:pt>
                <c:pt idx="6">
                  <c:v>17341.0</c:v>
                </c:pt>
                <c:pt idx="7">
                  <c:v>22264.0</c:v>
                </c:pt>
                <c:pt idx="8">
                  <c:v>26750.0</c:v>
                </c:pt>
                <c:pt idx="9">
                  <c:v>29365.0</c:v>
                </c:pt>
              </c:numCache>
            </c:numRef>
          </c:yVal>
          <c:smooth val="0"/>
        </c:ser>
        <c:ser>
          <c:idx val="5"/>
          <c:order val="8"/>
          <c:tx>
            <c:v>OD600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OD600nm!$J$4:$J$19</c:f>
                <c:numCache>
                  <c:formatCode>General</c:formatCode>
                  <c:ptCount val="16"/>
                  <c:pt idx="0">
                    <c:v>5.44133936696422E-17</c:v>
                  </c:pt>
                  <c:pt idx="1">
                    <c:v>0.0</c:v>
                  </c:pt>
                  <c:pt idx="2">
                    <c:v>0.0244510963830527</c:v>
                  </c:pt>
                  <c:pt idx="3">
                    <c:v>0.027724937276755</c:v>
                  </c:pt>
                  <c:pt idx="4">
                    <c:v>0.0462082287945917</c:v>
                  </c:pt>
                  <c:pt idx="5">
                    <c:v>0.0514553059104048</c:v>
                  </c:pt>
                  <c:pt idx="6">
                    <c:v>0.182039309868317</c:v>
                  </c:pt>
                  <c:pt idx="7">
                    <c:v>0.272275886147366</c:v>
                  </c:pt>
                  <c:pt idx="8">
                    <c:v>0.435829586335454</c:v>
                  </c:pt>
                  <c:pt idx="9">
                    <c:v>0.284546656075941</c:v>
                  </c:pt>
                  <c:pt idx="10">
                    <c:v>0.0978043855322104</c:v>
                  </c:pt>
                  <c:pt idx="11">
                    <c:v>0.0847010824724219</c:v>
                  </c:pt>
                  <c:pt idx="12">
                    <c:v>0.0184832915178367</c:v>
                  </c:pt>
                  <c:pt idx="13">
                    <c:v>0.112429473081276</c:v>
                  </c:pt>
                  <c:pt idx="14">
                    <c:v>0.128056</c:v>
                  </c:pt>
                  <c:pt idx="15">
                    <c:v>0.0402833999351263</c:v>
                  </c:pt>
                </c:numCache>
              </c:numRef>
            </c:plus>
            <c:minus>
              <c:numRef>
                <c:f>OD600nm!$J$4:$J$19</c:f>
                <c:numCache>
                  <c:formatCode>General</c:formatCode>
                  <c:ptCount val="16"/>
                  <c:pt idx="0">
                    <c:v>5.44133936696422E-17</c:v>
                  </c:pt>
                  <c:pt idx="1">
                    <c:v>0.0</c:v>
                  </c:pt>
                  <c:pt idx="2">
                    <c:v>0.0244510963830527</c:v>
                  </c:pt>
                  <c:pt idx="3">
                    <c:v>0.027724937276755</c:v>
                  </c:pt>
                  <c:pt idx="4">
                    <c:v>0.0462082287945917</c:v>
                  </c:pt>
                  <c:pt idx="5">
                    <c:v>0.0514553059104048</c:v>
                  </c:pt>
                  <c:pt idx="6">
                    <c:v>0.182039309868317</c:v>
                  </c:pt>
                  <c:pt idx="7">
                    <c:v>0.272275886147366</c:v>
                  </c:pt>
                  <c:pt idx="8">
                    <c:v>0.435829586335454</c:v>
                  </c:pt>
                  <c:pt idx="9">
                    <c:v>0.284546656075941</c:v>
                  </c:pt>
                  <c:pt idx="10">
                    <c:v>0.0978043855322104</c:v>
                  </c:pt>
                  <c:pt idx="11">
                    <c:v>0.0847010824724219</c:v>
                  </c:pt>
                  <c:pt idx="12">
                    <c:v>0.0184832915178367</c:v>
                  </c:pt>
                  <c:pt idx="13">
                    <c:v>0.112429473081276</c:v>
                  </c:pt>
                  <c:pt idx="14">
                    <c:v>0.128056</c:v>
                  </c:pt>
                  <c:pt idx="15">
                    <c:v>0.0402833999351263</c:v>
                  </c:pt>
                </c:numCache>
              </c:numRef>
            </c:minus>
          </c:errBars>
          <c:xVal>
            <c:numRef>
              <c:f>OD600nm!$D$4:$D$19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OD600nm!$I$4:$I$19</c:f>
              <c:numCache>
                <c:formatCode>0.000</c:formatCode>
                <c:ptCount val="16"/>
                <c:pt idx="0">
                  <c:v>0.2795274</c:v>
                </c:pt>
                <c:pt idx="1">
                  <c:v>0.4059827</c:v>
                </c:pt>
                <c:pt idx="2">
                  <c:v>0.447580666666667</c:v>
                </c:pt>
                <c:pt idx="3">
                  <c:v>0.490266</c:v>
                </c:pt>
                <c:pt idx="4">
                  <c:v>0.693021333333333</c:v>
                </c:pt>
                <c:pt idx="5">
                  <c:v>0.933126333333333</c:v>
                </c:pt>
                <c:pt idx="6">
                  <c:v>3.136141333333333</c:v>
                </c:pt>
                <c:pt idx="7">
                  <c:v>4.235288666666667</c:v>
                </c:pt>
                <c:pt idx="8">
                  <c:v>5.163694666666667</c:v>
                </c:pt>
                <c:pt idx="9">
                  <c:v>5.398464000000001</c:v>
                </c:pt>
                <c:pt idx="10">
                  <c:v>6.188142666666669</c:v>
                </c:pt>
                <c:pt idx="11">
                  <c:v>6.070758</c:v>
                </c:pt>
                <c:pt idx="12">
                  <c:v>6.369555333333334</c:v>
                </c:pt>
                <c:pt idx="13">
                  <c:v>3.552323333333333</c:v>
                </c:pt>
                <c:pt idx="14">
                  <c:v>2.64526</c:v>
                </c:pt>
                <c:pt idx="15">
                  <c:v>1.456021666666667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788824"/>
        <c:axId val="2129935224"/>
      </c:scatterChart>
      <c:valAx>
        <c:axId val="2134362504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2768936"/>
        <c:crosses val="autoZero"/>
        <c:crossBetween val="midCat"/>
        <c:majorUnit val="6.0"/>
      </c:valAx>
      <c:valAx>
        <c:axId val="2112768936"/>
        <c:scaling>
          <c:orientation val="minMax"/>
          <c:max val="15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34362504"/>
        <c:crosses val="autoZero"/>
        <c:crossBetween val="midCat"/>
      </c:valAx>
      <c:valAx>
        <c:axId val="2129935224"/>
        <c:scaling>
          <c:orientation val="minMax"/>
          <c:max val="9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 600 nm)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134788824"/>
        <c:crosses val="max"/>
        <c:crossBetween val="midCat"/>
        <c:majorUnit val="1.0"/>
        <c:minorUnit val="0.2"/>
      </c:valAx>
      <c:valAx>
        <c:axId val="213478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2993522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73100" y="3733800"/>
    <xdr:ext cx="9296400" cy="6070600"/>
    <xdr:graphicFrame macro="">
      <xdr:nvGraphicFramePr>
        <xdr:cNvPr id="3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73100" y="10312400"/>
    <xdr:ext cx="9296400" cy="6070600"/>
    <xdr:graphicFrame macro="">
      <xdr:nvGraphicFramePr>
        <xdr:cNvPr id="4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E19" sqref="E19"/>
    </sheetView>
  </sheetViews>
  <sheetFormatPr baseColWidth="10" defaultColWidth="8.83203125" defaultRowHeight="14" x14ac:dyDescent="0"/>
  <cols>
    <col min="1" max="1" width="22.5" style="2" bestFit="1" customWidth="1"/>
    <col min="2" max="2" width="13.6640625" style="2" bestFit="1" customWidth="1"/>
    <col min="3" max="3" width="26.5" style="2" bestFit="1" customWidth="1"/>
    <col min="4" max="16384" width="8.83203125" style="2"/>
  </cols>
  <sheetData>
    <row r="1" spans="1:3">
      <c r="A1" s="85" t="s">
        <v>0</v>
      </c>
      <c r="B1" s="86"/>
      <c r="C1" s="74">
        <v>41843</v>
      </c>
    </row>
    <row r="2" spans="1:3" ht="16">
      <c r="A2" s="85" t="s">
        <v>1</v>
      </c>
      <c r="B2" s="87"/>
      <c r="C2" s="31" t="s">
        <v>116</v>
      </c>
    </row>
    <row r="3" spans="1:3">
      <c r="A3" s="10"/>
      <c r="B3" s="10"/>
      <c r="C3" s="9"/>
    </row>
    <row r="4" spans="1:3">
      <c r="A4" s="88" t="s">
        <v>48</v>
      </c>
      <c r="B4" s="88"/>
      <c r="C4" s="31" t="s">
        <v>94</v>
      </c>
    </row>
    <row r="6" spans="1:3">
      <c r="A6" s="69" t="s">
        <v>82</v>
      </c>
      <c r="B6" s="69" t="s">
        <v>83</v>
      </c>
      <c r="C6" s="69" t="s">
        <v>68</v>
      </c>
    </row>
    <row r="7" spans="1:3">
      <c r="A7" s="31" t="s">
        <v>84</v>
      </c>
      <c r="B7" s="45">
        <v>6.5</v>
      </c>
      <c r="C7" s="31" t="s">
        <v>90</v>
      </c>
    </row>
    <row r="8" spans="1:3">
      <c r="A8" s="31" t="s">
        <v>85</v>
      </c>
      <c r="B8" s="45">
        <v>5</v>
      </c>
      <c r="C8" s="31" t="s">
        <v>90</v>
      </c>
    </row>
    <row r="9" spans="1:3">
      <c r="A9" s="31" t="s">
        <v>86</v>
      </c>
      <c r="B9" s="45">
        <v>2.5</v>
      </c>
      <c r="C9" s="31" t="s">
        <v>90</v>
      </c>
    </row>
    <row r="10" spans="1:3">
      <c r="A10" s="31" t="s">
        <v>87</v>
      </c>
      <c r="B10" s="45">
        <v>3</v>
      </c>
      <c r="C10" s="31" t="s">
        <v>90</v>
      </c>
    </row>
    <row r="11" spans="1:3">
      <c r="A11" s="71" t="s">
        <v>166</v>
      </c>
      <c r="B11" s="114">
        <v>11.33</v>
      </c>
      <c r="C11" s="70" t="s">
        <v>165</v>
      </c>
    </row>
    <row r="12" spans="1:3">
      <c r="A12" s="31" t="s">
        <v>72</v>
      </c>
      <c r="B12" s="45">
        <v>1.5</v>
      </c>
      <c r="C12" s="31" t="s">
        <v>90</v>
      </c>
    </row>
    <row r="13" spans="1:3" ht="16">
      <c r="A13" s="31" t="s">
        <v>76</v>
      </c>
      <c r="B13" s="45">
        <v>1</v>
      </c>
      <c r="C13" s="31" t="s">
        <v>90</v>
      </c>
    </row>
    <row r="14" spans="1:3" ht="16">
      <c r="A14" s="9" t="s">
        <v>75</v>
      </c>
      <c r="B14" s="45">
        <v>1</v>
      </c>
      <c r="C14" s="31" t="s">
        <v>90</v>
      </c>
    </row>
    <row r="15" spans="1:3" ht="16">
      <c r="A15" s="73" t="s">
        <v>162</v>
      </c>
      <c r="B15" s="72">
        <v>2</v>
      </c>
      <c r="C15" s="72" t="s">
        <v>90</v>
      </c>
    </row>
    <row r="16" spans="1:3" ht="16">
      <c r="A16" s="31" t="s">
        <v>95</v>
      </c>
      <c r="B16" s="45">
        <v>1</v>
      </c>
      <c r="C16" s="31" t="s">
        <v>90</v>
      </c>
    </row>
    <row r="17" spans="1:3" ht="16">
      <c r="A17" s="31" t="s">
        <v>96</v>
      </c>
      <c r="B17" s="45">
        <v>1</v>
      </c>
      <c r="C17" s="31" t="s">
        <v>90</v>
      </c>
    </row>
    <row r="18" spans="1:3" ht="16">
      <c r="A18" s="31" t="s">
        <v>97</v>
      </c>
      <c r="B18" s="45">
        <v>0.4</v>
      </c>
      <c r="C18" s="31" t="s">
        <v>90</v>
      </c>
    </row>
    <row r="19" spans="1:3" ht="16">
      <c r="A19" s="31" t="s">
        <v>74</v>
      </c>
      <c r="B19" s="45">
        <v>0.2</v>
      </c>
      <c r="C19" s="31" t="s">
        <v>90</v>
      </c>
    </row>
    <row r="20" spans="1:3" ht="16">
      <c r="A20" s="31" t="s">
        <v>98</v>
      </c>
      <c r="B20" s="45">
        <v>0.1</v>
      </c>
      <c r="C20" s="31" t="s">
        <v>90</v>
      </c>
    </row>
    <row r="21" spans="1:3" ht="16">
      <c r="A21" s="31" t="s">
        <v>99</v>
      </c>
      <c r="B21" s="31">
        <v>0.05</v>
      </c>
      <c r="C21" s="31" t="s">
        <v>90</v>
      </c>
    </row>
    <row r="22" spans="1:3" ht="16">
      <c r="A22" s="31" t="s">
        <v>100</v>
      </c>
      <c r="B22" s="31">
        <v>5.0000000000000001E-3</v>
      </c>
      <c r="C22" s="31" t="s">
        <v>90</v>
      </c>
    </row>
    <row r="23" spans="1:3" ht="16">
      <c r="A23" s="31" t="s">
        <v>101</v>
      </c>
      <c r="B23" s="31">
        <v>5.0000000000000001E-3</v>
      </c>
      <c r="C23" s="31" t="s">
        <v>90</v>
      </c>
    </row>
    <row r="24" spans="1:3">
      <c r="A24" s="31" t="s">
        <v>88</v>
      </c>
      <c r="B24" s="31">
        <v>5.0000000000000001E-3</v>
      </c>
      <c r="C24" s="31" t="s">
        <v>90</v>
      </c>
    </row>
    <row r="25" spans="1:3">
      <c r="A25" s="31" t="s">
        <v>89</v>
      </c>
      <c r="B25" s="31">
        <v>5.0000000000000001E-3</v>
      </c>
      <c r="C25" s="31" t="s">
        <v>90</v>
      </c>
    </row>
    <row r="26" spans="1:3">
      <c r="A26" s="31" t="s">
        <v>73</v>
      </c>
      <c r="B26" s="31">
        <v>1E-3</v>
      </c>
      <c r="C26" s="31" t="s">
        <v>154</v>
      </c>
    </row>
    <row r="27" spans="1:3">
      <c r="A27" s="31" t="s">
        <v>91</v>
      </c>
      <c r="B27" s="31" t="s">
        <v>90</v>
      </c>
      <c r="C27" s="31" t="s">
        <v>92</v>
      </c>
    </row>
    <row r="28" spans="1:3">
      <c r="A28" s="31" t="s">
        <v>93</v>
      </c>
      <c r="B28" s="31" t="s">
        <v>90</v>
      </c>
      <c r="C28" s="31" t="s">
        <v>92</v>
      </c>
    </row>
    <row r="29" spans="1:3" ht="28">
      <c r="A29" s="71" t="s">
        <v>164</v>
      </c>
      <c r="B29" s="114">
        <v>15</v>
      </c>
      <c r="C29" s="70" t="s">
        <v>163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3"/>
  <sheetViews>
    <sheetView workbookViewId="0">
      <selection activeCell="G7" sqref="G7:H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60</v>
      </c>
    </row>
    <row r="2" spans="1:8">
      <c r="A2" s="27" t="s">
        <v>150</v>
      </c>
      <c r="B2" s="16">
        <v>180.16</v>
      </c>
    </row>
    <row r="4" spans="1:8">
      <c r="A4" s="106" t="s">
        <v>151</v>
      </c>
      <c r="B4" s="107"/>
      <c r="C4" s="107"/>
      <c r="D4" s="107"/>
      <c r="E4" s="107"/>
      <c r="F4" s="107"/>
      <c r="G4" s="107"/>
      <c r="H4" s="108"/>
    </row>
    <row r="5" spans="1:8">
      <c r="A5" s="109" t="s">
        <v>61</v>
      </c>
      <c r="B5" s="107"/>
      <c r="C5" s="108"/>
      <c r="D5" s="110" t="s">
        <v>44</v>
      </c>
      <c r="E5" s="110" t="s">
        <v>45</v>
      </c>
      <c r="F5" s="110" t="s">
        <v>46</v>
      </c>
      <c r="G5" s="112" t="s">
        <v>62</v>
      </c>
      <c r="H5" s="112" t="s">
        <v>63</v>
      </c>
    </row>
    <row r="6" spans="1:8">
      <c r="A6" s="28" t="s">
        <v>4</v>
      </c>
      <c r="B6" s="28" t="s">
        <v>5</v>
      </c>
      <c r="C6" s="28" t="s">
        <v>19</v>
      </c>
      <c r="D6" s="111"/>
      <c r="E6" s="111"/>
      <c r="F6" s="111"/>
      <c r="G6" s="113"/>
      <c r="H6" s="113"/>
    </row>
    <row r="7" spans="1:8">
      <c r="A7" s="15">
        <v>0</v>
      </c>
      <c r="B7" s="65">
        <v>-0.16666666666666666</v>
      </c>
      <c r="C7" s="15">
        <v>2</v>
      </c>
      <c r="D7" s="18">
        <v>7.548</v>
      </c>
      <c r="E7" s="18">
        <v>7.4690000000000003</v>
      </c>
      <c r="F7" s="18">
        <v>7.492</v>
      </c>
      <c r="G7" s="18">
        <f>(C7*1000*AVERAGE(D7:F7)/$B$2)</f>
        <v>83.292628774422738</v>
      </c>
      <c r="H7" s="18">
        <f>(C7*1000*STDEV(D7:F7))/$B$2</f>
        <v>0.45107126229817923</v>
      </c>
    </row>
    <row r="8" spans="1:8">
      <c r="A8" s="15">
        <v>0</v>
      </c>
      <c r="B8" s="65">
        <v>0.16666666666666666</v>
      </c>
      <c r="C8" s="15">
        <v>2</v>
      </c>
      <c r="D8" s="18">
        <v>7.2850000000000001</v>
      </c>
      <c r="E8" s="18">
        <v>7.2640000000000002</v>
      </c>
      <c r="F8" s="18">
        <v>7.2690000000000001</v>
      </c>
      <c r="G8" s="18">
        <f t="shared" ref="G8:G17" si="0">(C8*1000*AVERAGE(D8:F8))/$B$2</f>
        <v>80.735642391947891</v>
      </c>
      <c r="H8" s="18">
        <f t="shared" ref="H8:H17" si="1">(C8*1000*STDEV(D8:F8))/$B$2</f>
        <v>0.12177681077489848</v>
      </c>
    </row>
    <row r="9" spans="1:8">
      <c r="A9" s="15">
        <v>1</v>
      </c>
      <c r="B9" s="65">
        <v>2</v>
      </c>
      <c r="C9" s="15">
        <v>2</v>
      </c>
      <c r="D9" s="18">
        <v>7.16</v>
      </c>
      <c r="E9" s="18">
        <v>7.2910000000000004</v>
      </c>
      <c r="F9" s="18">
        <v>7.2080000000000002</v>
      </c>
      <c r="G9" s="18">
        <f t="shared" si="0"/>
        <v>80.147276494967429</v>
      </c>
      <c r="H9" s="18">
        <f t="shared" si="1"/>
        <v>0.73573136031575159</v>
      </c>
    </row>
    <row r="10" spans="1:8">
      <c r="A10" s="15">
        <v>2</v>
      </c>
      <c r="B10" s="65">
        <v>3.3333333333333335</v>
      </c>
      <c r="C10" s="15">
        <v>2</v>
      </c>
      <c r="D10" s="18">
        <v>7.2439999999999998</v>
      </c>
      <c r="E10" s="18">
        <v>7.3</v>
      </c>
      <c r="F10" s="18">
        <v>7.2770000000000001</v>
      </c>
      <c r="G10" s="18">
        <f t="shared" si="0"/>
        <v>80.74674363528716</v>
      </c>
      <c r="H10" s="18">
        <f t="shared" si="1"/>
        <v>0.31248241760725104</v>
      </c>
    </row>
    <row r="11" spans="1:8">
      <c r="A11" s="15">
        <v>3</v>
      </c>
      <c r="B11" s="65">
        <v>4.666666666666667</v>
      </c>
      <c r="C11" s="15">
        <v>2</v>
      </c>
      <c r="D11" s="18">
        <v>7.157</v>
      </c>
      <c r="E11" s="18">
        <v>7.2249999999999996</v>
      </c>
      <c r="F11" s="18">
        <v>7.1059999999999999</v>
      </c>
      <c r="G11" s="18">
        <f t="shared" si="0"/>
        <v>79.514505624629948</v>
      </c>
      <c r="H11" s="18">
        <f t="shared" si="1"/>
        <v>0.66276685094174137</v>
      </c>
    </row>
    <row r="12" spans="1:8">
      <c r="A12" s="15">
        <v>4</v>
      </c>
      <c r="B12" s="65">
        <v>6</v>
      </c>
      <c r="C12" s="15">
        <v>2</v>
      </c>
      <c r="D12" s="18">
        <v>7.0739999999999998</v>
      </c>
      <c r="E12" s="18">
        <v>7.1470000000000002</v>
      </c>
      <c r="F12" s="18">
        <v>7.085</v>
      </c>
      <c r="G12" s="18">
        <f t="shared" si="0"/>
        <v>78.84103019538189</v>
      </c>
      <c r="H12" s="18">
        <f t="shared" si="1"/>
        <v>0.43691537864463875</v>
      </c>
    </row>
    <row r="13" spans="1:8">
      <c r="A13" s="15">
        <v>5</v>
      </c>
      <c r="B13" s="65">
        <v>7.333333333333333</v>
      </c>
      <c r="C13" s="15">
        <v>2</v>
      </c>
      <c r="D13" s="18">
        <v>6.9569999999999999</v>
      </c>
      <c r="E13" s="18">
        <v>6.9160000000000004</v>
      </c>
      <c r="F13" s="18">
        <v>6.94</v>
      </c>
      <c r="G13" s="18">
        <f t="shared" si="0"/>
        <v>77.01672587329783</v>
      </c>
      <c r="H13" s="18">
        <f t="shared" si="1"/>
        <v>0.22867842740497624</v>
      </c>
    </row>
    <row r="14" spans="1:8">
      <c r="A14" s="15">
        <v>6</v>
      </c>
      <c r="B14" s="65">
        <v>10.333333333333334</v>
      </c>
      <c r="C14" s="15">
        <v>2</v>
      </c>
      <c r="D14" s="18">
        <v>5.8840000000000003</v>
      </c>
      <c r="E14" s="18">
        <v>5.8730000000000002</v>
      </c>
      <c r="F14" s="18">
        <v>5.8460000000000001</v>
      </c>
      <c r="G14" s="18">
        <f t="shared" si="0"/>
        <v>65.138395500296042</v>
      </c>
      <c r="H14" s="18">
        <f t="shared" si="1"/>
        <v>0.21706645020814919</v>
      </c>
    </row>
    <row r="15" spans="1:8">
      <c r="A15" s="15">
        <v>7</v>
      </c>
      <c r="B15" s="65">
        <v>11.666666666666666</v>
      </c>
      <c r="C15" s="15">
        <v>2</v>
      </c>
      <c r="D15" s="18">
        <v>5.1260000000000003</v>
      </c>
      <c r="E15" s="18">
        <v>5.1340000000000003</v>
      </c>
      <c r="F15" s="18">
        <v>5.1230000000000002</v>
      </c>
      <c r="G15" s="18">
        <f t="shared" si="0"/>
        <v>56.923475429248079</v>
      </c>
      <c r="H15" s="18">
        <f t="shared" si="1"/>
        <v>6.3124341730432701E-2</v>
      </c>
    </row>
    <row r="16" spans="1:8">
      <c r="A16" s="15">
        <v>8</v>
      </c>
      <c r="B16" s="65">
        <v>13</v>
      </c>
      <c r="C16" s="15">
        <v>2</v>
      </c>
      <c r="D16" s="18">
        <v>4.42</v>
      </c>
      <c r="E16" s="18">
        <v>4.444</v>
      </c>
      <c r="F16" s="18">
        <v>4.4909999999999997</v>
      </c>
      <c r="G16" s="18">
        <f t="shared" si="0"/>
        <v>49.419034931912378</v>
      </c>
      <c r="H16" s="18">
        <f t="shared" si="1"/>
        <v>0.40092756751870323</v>
      </c>
    </row>
    <row r="17" spans="1:8">
      <c r="A17" s="15">
        <v>9</v>
      </c>
      <c r="B17" s="65">
        <v>14.333333333333334</v>
      </c>
      <c r="C17" s="15">
        <v>2</v>
      </c>
      <c r="D17" s="18">
        <v>3.6789999999999998</v>
      </c>
      <c r="E17" s="18">
        <v>3.7130000000000001</v>
      </c>
      <c r="F17" s="18">
        <v>3.718</v>
      </c>
      <c r="G17" s="18">
        <f t="shared" si="0"/>
        <v>41.111604499703965</v>
      </c>
      <c r="H17" s="18">
        <f t="shared" si="1"/>
        <v>0.23558013680279877</v>
      </c>
    </row>
    <row r="18" spans="1:8">
      <c r="A18" s="15">
        <v>10</v>
      </c>
      <c r="B18" s="65">
        <v>15.666666666666666</v>
      </c>
      <c r="C18" s="15">
        <v>2</v>
      </c>
      <c r="D18" s="18">
        <v>2.8479999999999999</v>
      </c>
      <c r="E18" s="18">
        <v>2.86</v>
      </c>
      <c r="F18" s="18">
        <v>2.8450000000000002</v>
      </c>
      <c r="G18" s="18">
        <f t="shared" ref="G18:G23" si="2">(C18*1000*AVERAGE(D18:F18))/$B$2</f>
        <v>31.64964476021315</v>
      </c>
      <c r="H18" s="18">
        <f t="shared" ref="H18:H23" si="3">(C18*1000*STDEV(D18:F18))/$B$2</f>
        <v>8.8113387357833625E-2</v>
      </c>
    </row>
    <row r="19" spans="1:8">
      <c r="A19" s="15">
        <v>11</v>
      </c>
      <c r="B19" s="65">
        <v>17</v>
      </c>
      <c r="C19" s="15">
        <v>2</v>
      </c>
      <c r="D19" s="18">
        <v>2.06</v>
      </c>
      <c r="E19" s="18">
        <v>2.0699999999999998</v>
      </c>
      <c r="F19" s="18">
        <v>2.0760000000000001</v>
      </c>
      <c r="G19" s="18">
        <f t="shared" si="2"/>
        <v>22.9647720544701</v>
      </c>
      <c r="H19" s="18">
        <f t="shared" si="3"/>
        <v>8.9730281623609576E-2</v>
      </c>
    </row>
    <row r="20" spans="1:8">
      <c r="A20" s="15">
        <v>12</v>
      </c>
      <c r="B20" s="65">
        <v>18.333333333333332</v>
      </c>
      <c r="C20" s="15">
        <v>2</v>
      </c>
      <c r="D20" s="18">
        <v>1.3120000000000001</v>
      </c>
      <c r="E20" s="18">
        <v>1.3149999999999999</v>
      </c>
      <c r="F20" s="18">
        <v>1.31</v>
      </c>
      <c r="G20" s="18">
        <f t="shared" si="2"/>
        <v>14.568531675547661</v>
      </c>
      <c r="H20" s="18">
        <f t="shared" si="3"/>
        <v>2.7937516412339328E-2</v>
      </c>
    </row>
    <row r="21" spans="1:8">
      <c r="A21" s="15">
        <v>13</v>
      </c>
      <c r="B21" s="65">
        <v>24</v>
      </c>
      <c r="C21" s="15">
        <v>2</v>
      </c>
      <c r="D21" s="18">
        <v>0</v>
      </c>
      <c r="E21" s="18">
        <v>0</v>
      </c>
      <c r="F21" s="18">
        <v>0</v>
      </c>
      <c r="G21" s="18">
        <f t="shared" si="2"/>
        <v>0</v>
      </c>
      <c r="H21" s="18">
        <f t="shared" si="3"/>
        <v>0</v>
      </c>
    </row>
    <row r="22" spans="1:8">
      <c r="A22" s="15">
        <v>14</v>
      </c>
      <c r="B22" s="65">
        <v>30</v>
      </c>
      <c r="C22" s="15">
        <v>2</v>
      </c>
      <c r="D22" s="68">
        <v>0</v>
      </c>
      <c r="E22" s="75">
        <v>0</v>
      </c>
      <c r="F22" s="75">
        <v>0</v>
      </c>
      <c r="G22" s="18">
        <f t="shared" si="2"/>
        <v>0</v>
      </c>
      <c r="H22" s="18">
        <f t="shared" si="3"/>
        <v>0</v>
      </c>
    </row>
    <row r="23" spans="1:8">
      <c r="A23" s="15">
        <v>15</v>
      </c>
      <c r="B23" s="65">
        <v>48</v>
      </c>
      <c r="C23" s="15">
        <v>2</v>
      </c>
      <c r="D23" s="68">
        <v>0</v>
      </c>
      <c r="E23" s="75">
        <v>0</v>
      </c>
      <c r="F23" s="75">
        <v>0</v>
      </c>
      <c r="G23" s="18">
        <f t="shared" si="2"/>
        <v>0</v>
      </c>
      <c r="H23" s="18">
        <f t="shared" si="3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3"/>
  <sheetViews>
    <sheetView topLeftCell="A2" workbookViewId="0">
      <selection activeCell="G7" sqref="G7:H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60</v>
      </c>
    </row>
    <row r="2" spans="1:8">
      <c r="A2" s="27" t="s">
        <v>64</v>
      </c>
      <c r="B2" s="16">
        <v>46.03</v>
      </c>
    </row>
    <row r="4" spans="1:8">
      <c r="A4" s="106" t="s">
        <v>64</v>
      </c>
      <c r="B4" s="107"/>
      <c r="C4" s="107"/>
      <c r="D4" s="107"/>
      <c r="E4" s="107"/>
      <c r="F4" s="107"/>
      <c r="G4" s="107"/>
      <c r="H4" s="108"/>
    </row>
    <row r="5" spans="1:8">
      <c r="A5" s="109" t="s">
        <v>61</v>
      </c>
      <c r="B5" s="107"/>
      <c r="C5" s="108"/>
      <c r="D5" s="110" t="s">
        <v>44</v>
      </c>
      <c r="E5" s="110" t="s">
        <v>45</v>
      </c>
      <c r="F5" s="110" t="s">
        <v>46</v>
      </c>
      <c r="G5" s="112" t="s">
        <v>62</v>
      </c>
      <c r="H5" s="112" t="s">
        <v>63</v>
      </c>
    </row>
    <row r="6" spans="1:8">
      <c r="A6" s="28" t="s">
        <v>4</v>
      </c>
      <c r="B6" s="28" t="s">
        <v>59</v>
      </c>
      <c r="C6" s="28" t="s">
        <v>19</v>
      </c>
      <c r="D6" s="111"/>
      <c r="E6" s="111"/>
      <c r="F6" s="111"/>
      <c r="G6" s="113"/>
      <c r="H6" s="113"/>
    </row>
    <row r="7" spans="1:8">
      <c r="A7" s="15">
        <v>0</v>
      </c>
      <c r="B7" s="65">
        <v>-0.16666666666666666</v>
      </c>
      <c r="C7" s="15">
        <v>2</v>
      </c>
      <c r="D7" s="40">
        <v>0</v>
      </c>
      <c r="E7" s="40">
        <v>0</v>
      </c>
      <c r="F7" s="40">
        <v>0</v>
      </c>
      <c r="G7" s="15">
        <f>(C7*1000*AVERAGE(D7:F7))/$B$2</f>
        <v>0</v>
      </c>
      <c r="H7" s="18">
        <f>(C7*1000*STDEV(D7:F7))/$B$2</f>
        <v>0</v>
      </c>
    </row>
    <row r="8" spans="1:8">
      <c r="A8" s="15">
        <v>0</v>
      </c>
      <c r="B8" s="65">
        <v>0.16666666666666666</v>
      </c>
      <c r="C8" s="15">
        <v>2</v>
      </c>
      <c r="D8" s="40">
        <v>0</v>
      </c>
      <c r="E8" s="40">
        <v>0</v>
      </c>
      <c r="F8" s="40">
        <v>0</v>
      </c>
      <c r="G8" s="15">
        <f t="shared" ref="G8:G17" si="0">(C8*1000*AVERAGE(D8:F8))/$B$2</f>
        <v>0</v>
      </c>
      <c r="H8" s="18">
        <f t="shared" ref="H8:H17" si="1">(C8*1000*STDEV(D8:F8))/$B$2</f>
        <v>0</v>
      </c>
    </row>
    <row r="9" spans="1:8">
      <c r="A9" s="15">
        <v>1</v>
      </c>
      <c r="B9" s="65">
        <v>2</v>
      </c>
      <c r="C9" s="15">
        <v>2</v>
      </c>
      <c r="D9" s="40">
        <v>0</v>
      </c>
      <c r="E9" s="40">
        <v>0</v>
      </c>
      <c r="F9" s="40">
        <v>0</v>
      </c>
      <c r="G9" s="15">
        <f t="shared" si="0"/>
        <v>0</v>
      </c>
      <c r="H9" s="18">
        <f t="shared" si="1"/>
        <v>0</v>
      </c>
    </row>
    <row r="10" spans="1:8">
      <c r="A10" s="15">
        <v>2</v>
      </c>
      <c r="B10" s="65">
        <v>3.3333333333333335</v>
      </c>
      <c r="C10" s="15">
        <v>2</v>
      </c>
      <c r="D10" s="40">
        <v>0</v>
      </c>
      <c r="E10" s="40">
        <v>0</v>
      </c>
      <c r="F10" s="40">
        <v>0</v>
      </c>
      <c r="G10" s="15">
        <f t="shared" si="0"/>
        <v>0</v>
      </c>
      <c r="H10" s="18">
        <f t="shared" si="1"/>
        <v>0</v>
      </c>
    </row>
    <row r="11" spans="1:8">
      <c r="A11" s="15">
        <v>3</v>
      </c>
      <c r="B11" s="65">
        <v>4.666666666666667</v>
      </c>
      <c r="C11" s="15">
        <v>2</v>
      </c>
      <c r="D11" s="40">
        <v>0</v>
      </c>
      <c r="E11" s="40">
        <v>0</v>
      </c>
      <c r="F11" s="40">
        <v>0</v>
      </c>
      <c r="G11" s="15">
        <f t="shared" si="0"/>
        <v>0</v>
      </c>
      <c r="H11" s="18">
        <f t="shared" si="1"/>
        <v>0</v>
      </c>
    </row>
    <row r="12" spans="1:8">
      <c r="A12" s="15">
        <v>4</v>
      </c>
      <c r="B12" s="65">
        <v>6</v>
      </c>
      <c r="C12" s="15">
        <v>2</v>
      </c>
      <c r="D12" s="40">
        <v>0</v>
      </c>
      <c r="E12" s="40">
        <v>0</v>
      </c>
      <c r="F12" s="40">
        <v>0</v>
      </c>
      <c r="G12" s="15">
        <f t="shared" si="0"/>
        <v>0</v>
      </c>
      <c r="H12" s="18">
        <f t="shared" si="1"/>
        <v>0</v>
      </c>
    </row>
    <row r="13" spans="1:8">
      <c r="A13" s="15">
        <v>5</v>
      </c>
      <c r="B13" s="65">
        <v>7.333333333333333</v>
      </c>
      <c r="C13" s="15">
        <v>2</v>
      </c>
      <c r="D13" s="40">
        <v>0</v>
      </c>
      <c r="E13" s="40">
        <v>0</v>
      </c>
      <c r="F13" s="40">
        <v>0</v>
      </c>
      <c r="G13" s="15">
        <f t="shared" si="0"/>
        <v>0</v>
      </c>
      <c r="H13" s="18">
        <f t="shared" si="1"/>
        <v>0</v>
      </c>
    </row>
    <row r="14" spans="1:8">
      <c r="A14" s="15">
        <v>6</v>
      </c>
      <c r="B14" s="65">
        <v>10.333333333333334</v>
      </c>
      <c r="C14" s="15">
        <v>2</v>
      </c>
      <c r="D14" s="40">
        <v>2.9000000000000001E-2</v>
      </c>
      <c r="E14" s="40">
        <v>0.03</v>
      </c>
      <c r="F14" s="40">
        <v>2.5999999999999999E-2</v>
      </c>
      <c r="G14" s="15">
        <f t="shared" si="0"/>
        <v>1.2310811789412701</v>
      </c>
      <c r="H14" s="18">
        <f t="shared" si="1"/>
        <v>9.0448229392402046E-2</v>
      </c>
    </row>
    <row r="15" spans="1:8">
      <c r="A15" s="15">
        <v>7</v>
      </c>
      <c r="B15" s="65">
        <v>11.666666666666666</v>
      </c>
      <c r="C15" s="15">
        <v>2</v>
      </c>
      <c r="D15" s="40">
        <v>6.6000000000000003E-2</v>
      </c>
      <c r="E15" s="40">
        <v>6.6000000000000003E-2</v>
      </c>
      <c r="F15" s="40">
        <v>6.5000000000000002E-2</v>
      </c>
      <c r="G15" s="15">
        <f t="shared" si="0"/>
        <v>2.8532116735462383</v>
      </c>
      <c r="H15" s="18">
        <f t="shared" si="1"/>
        <v>2.5085825296094995E-2</v>
      </c>
    </row>
    <row r="16" spans="1:8">
      <c r="A16" s="15">
        <v>8</v>
      </c>
      <c r="B16" s="65">
        <v>13</v>
      </c>
      <c r="C16" s="15">
        <v>2</v>
      </c>
      <c r="D16" s="40">
        <v>0.104</v>
      </c>
      <c r="E16" s="40">
        <v>0.106</v>
      </c>
      <c r="F16" s="40">
        <v>0.112</v>
      </c>
      <c r="G16" s="15">
        <f t="shared" si="0"/>
        <v>4.6636251719892829</v>
      </c>
      <c r="H16" s="18">
        <f t="shared" si="1"/>
        <v>0.1808964587848042</v>
      </c>
    </row>
    <row r="17" spans="1:8">
      <c r="A17" s="15">
        <v>9</v>
      </c>
      <c r="B17" s="65">
        <v>14.333333333333334</v>
      </c>
      <c r="C17" s="15">
        <v>2</v>
      </c>
      <c r="D17" s="40">
        <v>0.14399999999999999</v>
      </c>
      <c r="E17" s="40">
        <v>0.14599999999999999</v>
      </c>
      <c r="F17" s="40">
        <v>0.14599999999999999</v>
      </c>
      <c r="G17" s="15">
        <f t="shared" si="0"/>
        <v>6.3147222825693374</v>
      </c>
      <c r="H17" s="18">
        <f t="shared" si="1"/>
        <v>5.017165059218999E-2</v>
      </c>
    </row>
    <row r="18" spans="1:8">
      <c r="A18" s="15">
        <v>10</v>
      </c>
      <c r="B18" s="65">
        <v>15.666666666666666</v>
      </c>
      <c r="C18" s="15">
        <v>2</v>
      </c>
      <c r="D18" s="40">
        <v>0.188</v>
      </c>
      <c r="E18" s="40">
        <v>0.187</v>
      </c>
      <c r="F18" s="40">
        <v>0.182</v>
      </c>
      <c r="G18" s="15">
        <f t="shared" ref="G18:G23" si="2">(C18*1000*AVERAGE(D18:F18))/$B$2</f>
        <v>8.0672025490622055</v>
      </c>
      <c r="H18" s="18">
        <f t="shared" ref="H18:H23" si="3">(C18*1000*STDEV(D18:F18))/$B$2</f>
        <v>0.13967196409577759</v>
      </c>
    </row>
    <row r="19" spans="1:8">
      <c r="A19" s="15">
        <v>11</v>
      </c>
      <c r="B19" s="65">
        <v>17</v>
      </c>
      <c r="C19" s="15">
        <v>2</v>
      </c>
      <c r="D19" s="40">
        <v>0.218</v>
      </c>
      <c r="E19" s="40">
        <v>0.22</v>
      </c>
      <c r="F19" s="40">
        <v>0.22</v>
      </c>
      <c r="G19" s="15">
        <f t="shared" si="2"/>
        <v>9.5300166558041859</v>
      </c>
      <c r="H19" s="18">
        <f t="shared" si="3"/>
        <v>5.017165059218999E-2</v>
      </c>
    </row>
    <row r="20" spans="1:8">
      <c r="A20" s="15">
        <v>12</v>
      </c>
      <c r="B20" s="65">
        <v>18.333333333333332</v>
      </c>
      <c r="C20" s="15">
        <v>2</v>
      </c>
      <c r="D20" s="40">
        <v>0.245</v>
      </c>
      <c r="E20" s="40">
        <v>0.246</v>
      </c>
      <c r="F20" s="40">
        <v>0.24399999999999999</v>
      </c>
      <c r="G20" s="15">
        <f t="shared" si="2"/>
        <v>10.645231370845101</v>
      </c>
      <c r="H20" s="18">
        <f t="shared" si="3"/>
        <v>4.34499239626331E-2</v>
      </c>
    </row>
    <row r="21" spans="1:8">
      <c r="A21" s="15">
        <v>13</v>
      </c>
      <c r="B21" s="65">
        <v>24</v>
      </c>
      <c r="C21" s="15">
        <v>2</v>
      </c>
      <c r="D21" s="40">
        <v>0.28999999999999998</v>
      </c>
      <c r="E21" s="40">
        <v>0.29099999999999998</v>
      </c>
      <c r="F21" s="40">
        <v>0.28999999999999998</v>
      </c>
      <c r="G21" s="15">
        <f t="shared" si="2"/>
        <v>12.614961257151132</v>
      </c>
      <c r="H21" s="18">
        <f t="shared" si="3"/>
        <v>2.5085825296094995E-2</v>
      </c>
    </row>
    <row r="22" spans="1:8">
      <c r="A22" s="15">
        <v>14</v>
      </c>
      <c r="B22" s="65">
        <v>30</v>
      </c>
      <c r="C22" s="15">
        <v>2</v>
      </c>
      <c r="D22" s="40">
        <v>0.28999999999999998</v>
      </c>
      <c r="E22" s="40">
        <v>0.29299999999999998</v>
      </c>
      <c r="F22" s="40">
        <v>0.29199999999999998</v>
      </c>
      <c r="G22" s="15">
        <f t="shared" si="2"/>
        <v>12.672894489101312</v>
      </c>
      <c r="H22" s="18">
        <f t="shared" si="3"/>
        <v>6.6370855166280593E-2</v>
      </c>
    </row>
    <row r="23" spans="1:8">
      <c r="A23" s="15">
        <v>15</v>
      </c>
      <c r="B23" s="65">
        <v>48</v>
      </c>
      <c r="C23" s="15">
        <v>2</v>
      </c>
      <c r="D23" s="40">
        <v>0.28899999999999998</v>
      </c>
      <c r="E23" s="40">
        <v>0.29199999999999998</v>
      </c>
      <c r="F23" s="40">
        <v>0.29199999999999998</v>
      </c>
      <c r="G23" s="15">
        <f t="shared" si="2"/>
        <v>12.643927873126222</v>
      </c>
      <c r="H23" s="18">
        <f t="shared" si="3"/>
        <v>7.5257475888284991E-2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7" sqref="G7:H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0" t="s">
        <v>35</v>
      </c>
      <c r="B1" s="20" t="s">
        <v>60</v>
      </c>
    </row>
    <row r="2" spans="1:8">
      <c r="A2" s="20" t="s">
        <v>42</v>
      </c>
      <c r="B2" s="16">
        <v>60.05</v>
      </c>
    </row>
    <row r="4" spans="1:8">
      <c r="A4" s="106" t="s">
        <v>42</v>
      </c>
      <c r="B4" s="107"/>
      <c r="C4" s="107"/>
      <c r="D4" s="107"/>
      <c r="E4" s="107"/>
      <c r="F4" s="107"/>
      <c r="G4" s="107"/>
      <c r="H4" s="108"/>
    </row>
    <row r="5" spans="1:8">
      <c r="A5" s="109" t="s">
        <v>61</v>
      </c>
      <c r="B5" s="107"/>
      <c r="C5" s="108"/>
      <c r="D5" s="110" t="s">
        <v>44</v>
      </c>
      <c r="E5" s="110" t="s">
        <v>45</v>
      </c>
      <c r="F5" s="110" t="s">
        <v>46</v>
      </c>
      <c r="G5" s="112" t="s">
        <v>62</v>
      </c>
      <c r="H5" s="112" t="s">
        <v>63</v>
      </c>
    </row>
    <row r="6" spans="1:8">
      <c r="A6" s="21" t="s">
        <v>4</v>
      </c>
      <c r="B6" s="21" t="s">
        <v>59</v>
      </c>
      <c r="C6" s="21" t="s">
        <v>19</v>
      </c>
      <c r="D6" s="111"/>
      <c r="E6" s="111"/>
      <c r="F6" s="111"/>
      <c r="G6" s="113"/>
      <c r="H6" s="113"/>
    </row>
    <row r="7" spans="1:8">
      <c r="A7" s="15">
        <v>0</v>
      </c>
      <c r="B7" s="65">
        <v>-0.16666666666666666</v>
      </c>
      <c r="C7" s="15">
        <v>2</v>
      </c>
      <c r="D7" s="15">
        <v>2.5379999999999998</v>
      </c>
      <c r="E7" s="15">
        <v>2.5179999999999998</v>
      </c>
      <c r="F7" s="15">
        <v>2.5270000000000001</v>
      </c>
      <c r="G7" s="15">
        <f>(C7*1000*AVERAGE(D7:F7))/$B$2</f>
        <v>84.185401054676646</v>
      </c>
      <c r="H7" s="18">
        <f>(C7*1000*STDEV(D7:F7))/$B$2</f>
        <v>0.33361041801424851</v>
      </c>
    </row>
    <row r="8" spans="1:8">
      <c r="A8" s="15">
        <v>0</v>
      </c>
      <c r="B8" s="65">
        <v>0.16666666666666666</v>
      </c>
      <c r="C8" s="15">
        <v>2</v>
      </c>
      <c r="D8" s="15">
        <v>2.4169999999999998</v>
      </c>
      <c r="E8" s="15">
        <v>2.4079999999999999</v>
      </c>
      <c r="F8" s="18">
        <v>2.411</v>
      </c>
      <c r="G8" s="15">
        <f t="shared" ref="G8:G17" si="0">(C8*1000*AVERAGE(D8:F8))/$B$2</f>
        <v>80.333055786844284</v>
      </c>
      <c r="H8" s="18">
        <f t="shared" ref="H8:H17" si="1">(C8*1000*STDEV(D8:F8))/$B$2</f>
        <v>0.1526253353857043</v>
      </c>
    </row>
    <row r="9" spans="1:8">
      <c r="A9" s="15">
        <v>1</v>
      </c>
      <c r="B9" s="65">
        <v>2</v>
      </c>
      <c r="C9" s="15">
        <v>2</v>
      </c>
      <c r="D9" s="18">
        <v>2.383</v>
      </c>
      <c r="E9" s="15">
        <v>2.4169999999999998</v>
      </c>
      <c r="F9" s="15">
        <v>2.3940000000000001</v>
      </c>
      <c r="G9" s="15">
        <f t="shared" si="0"/>
        <v>79.866777685262292</v>
      </c>
      <c r="H9" s="18">
        <f t="shared" si="1"/>
        <v>0.57783019393496604</v>
      </c>
    </row>
    <row r="10" spans="1:8">
      <c r="A10" s="15">
        <v>2</v>
      </c>
      <c r="B10" s="65">
        <v>3.3333333333333335</v>
      </c>
      <c r="C10" s="15">
        <v>2</v>
      </c>
      <c r="D10" s="15">
        <v>2.4060000000000001</v>
      </c>
      <c r="E10" s="15">
        <v>2.42</v>
      </c>
      <c r="F10" s="15">
        <v>2.4169999999999998</v>
      </c>
      <c r="G10" s="15">
        <f t="shared" si="0"/>
        <v>80.410768803774644</v>
      </c>
      <c r="H10" s="18">
        <f t="shared" si="1"/>
        <v>0.24549924382454139</v>
      </c>
    </row>
    <row r="11" spans="1:8">
      <c r="A11" s="15">
        <v>3</v>
      </c>
      <c r="B11" s="65">
        <v>4.666666666666667</v>
      </c>
      <c r="C11" s="15">
        <v>2</v>
      </c>
      <c r="D11" s="15">
        <v>2.3740000000000001</v>
      </c>
      <c r="E11" s="15">
        <v>2.4079999999999999</v>
      </c>
      <c r="F11" s="15">
        <v>2.363</v>
      </c>
      <c r="G11" s="15">
        <f t="shared" si="0"/>
        <v>79.322786566749926</v>
      </c>
      <c r="H11" s="18">
        <f t="shared" si="1"/>
        <v>0.78132171234694925</v>
      </c>
    </row>
    <row r="12" spans="1:8">
      <c r="A12" s="15">
        <v>4</v>
      </c>
      <c r="B12" s="65">
        <v>6</v>
      </c>
      <c r="C12" s="15">
        <v>2</v>
      </c>
      <c r="D12" s="15">
        <v>2.3610000000000002</v>
      </c>
      <c r="E12" s="15">
        <v>2.391</v>
      </c>
      <c r="F12" s="15">
        <v>2.371</v>
      </c>
      <c r="G12" s="15">
        <f t="shared" si="0"/>
        <v>79.078545656397466</v>
      </c>
      <c r="H12" s="18">
        <f t="shared" si="1"/>
        <v>0.50875111795235262</v>
      </c>
    </row>
    <row r="13" spans="1:8">
      <c r="A13" s="15">
        <v>5</v>
      </c>
      <c r="B13" s="65">
        <v>7.333333333333333</v>
      </c>
      <c r="C13" s="15">
        <v>2</v>
      </c>
      <c r="D13" s="15">
        <v>2.3620000000000001</v>
      </c>
      <c r="E13" s="15">
        <v>2.3519999999999999</v>
      </c>
      <c r="F13" s="15">
        <v>2.3620000000000001</v>
      </c>
      <c r="G13" s="15">
        <f t="shared" si="0"/>
        <v>78.556758257008042</v>
      </c>
      <c r="H13" s="18">
        <f t="shared" si="1"/>
        <v>0.19228984818972158</v>
      </c>
    </row>
    <row r="14" spans="1:8">
      <c r="A14" s="15">
        <v>6</v>
      </c>
      <c r="B14" s="65">
        <v>10.333333333333334</v>
      </c>
      <c r="C14" s="15">
        <v>2</v>
      </c>
      <c r="D14" s="15">
        <v>2.218</v>
      </c>
      <c r="E14" s="15">
        <v>2.206</v>
      </c>
      <c r="F14" s="15">
        <v>2.2029999999999998</v>
      </c>
      <c r="G14" s="15">
        <f t="shared" si="0"/>
        <v>73.572023313905063</v>
      </c>
      <c r="H14" s="18">
        <f t="shared" si="1"/>
        <v>0.26435483541028548</v>
      </c>
    </row>
    <row r="15" spans="1:8">
      <c r="A15" s="15">
        <v>7</v>
      </c>
      <c r="B15" s="65">
        <v>11.666666666666666</v>
      </c>
      <c r="C15" s="15">
        <v>2</v>
      </c>
      <c r="D15" s="18">
        <v>2.1030000000000002</v>
      </c>
      <c r="E15" s="15">
        <v>2.1040000000000001</v>
      </c>
      <c r="F15" s="15">
        <v>2.1</v>
      </c>
      <c r="G15" s="15">
        <f t="shared" si="0"/>
        <v>70.019428254232594</v>
      </c>
      <c r="H15" s="18">
        <f t="shared" si="1"/>
        <v>6.9331090739921816E-2</v>
      </c>
    </row>
    <row r="16" spans="1:8">
      <c r="A16" s="15">
        <v>8</v>
      </c>
      <c r="B16" s="65">
        <v>13</v>
      </c>
      <c r="C16" s="15">
        <v>2</v>
      </c>
      <c r="D16" s="15">
        <v>2.0009999999999999</v>
      </c>
      <c r="E16" s="15">
        <v>2.0110000000000001</v>
      </c>
      <c r="F16" s="15">
        <v>2.0329999999999999</v>
      </c>
      <c r="G16" s="15">
        <f t="shared" si="0"/>
        <v>67.110741049125735</v>
      </c>
      <c r="H16" s="18">
        <f t="shared" si="1"/>
        <v>0.54523582160682404</v>
      </c>
    </row>
    <row r="17" spans="1:8">
      <c r="A17" s="15">
        <v>9</v>
      </c>
      <c r="B17" s="65">
        <v>14.333333333333334</v>
      </c>
      <c r="C17" s="15">
        <v>2</v>
      </c>
      <c r="D17" s="15">
        <v>1.897</v>
      </c>
      <c r="E17" s="15">
        <v>1.9139999999999999</v>
      </c>
      <c r="F17" s="15">
        <v>1.919</v>
      </c>
      <c r="G17" s="15">
        <f t="shared" si="0"/>
        <v>63.613655287260627</v>
      </c>
      <c r="H17" s="18">
        <f t="shared" si="1"/>
        <v>0.38409867092991795</v>
      </c>
    </row>
    <row r="18" spans="1:8">
      <c r="A18" s="15">
        <v>10</v>
      </c>
      <c r="B18" s="65">
        <v>15.666666666666666</v>
      </c>
      <c r="C18" s="15">
        <v>2</v>
      </c>
      <c r="D18" s="15">
        <v>1.8380000000000001</v>
      </c>
      <c r="E18" s="15">
        <v>1.8420000000000001</v>
      </c>
      <c r="F18" s="15">
        <v>1.8340000000000001</v>
      </c>
      <c r="G18" s="15">
        <f t="shared" ref="G18:G23" si="2">(C18*1000*AVERAGE(D18:F18))/$B$2</f>
        <v>61.215653621981687</v>
      </c>
      <c r="H18" s="18">
        <f t="shared" ref="H18:H23" si="3">(C18*1000*STDEV(D18:F18))/$B$2</f>
        <v>0.1332223147377187</v>
      </c>
    </row>
    <row r="19" spans="1:8">
      <c r="A19" s="15">
        <v>11</v>
      </c>
      <c r="B19" s="65">
        <v>17</v>
      </c>
      <c r="C19" s="15">
        <v>2</v>
      </c>
      <c r="D19" s="15">
        <v>1.8169999999999999</v>
      </c>
      <c r="E19" s="15">
        <v>1.823</v>
      </c>
      <c r="F19" s="15">
        <v>1.831</v>
      </c>
      <c r="G19" s="15">
        <f t="shared" si="2"/>
        <v>60.738273660838196</v>
      </c>
      <c r="H19" s="18">
        <f t="shared" si="3"/>
        <v>0.23393069670502914</v>
      </c>
    </row>
    <row r="20" spans="1:8">
      <c r="A20" s="15">
        <v>12</v>
      </c>
      <c r="B20" s="65">
        <v>18.333333333333332</v>
      </c>
      <c r="C20" s="15">
        <v>2</v>
      </c>
      <c r="D20" s="15">
        <v>1.8280000000000001</v>
      </c>
      <c r="E20" s="15">
        <v>1.8360000000000001</v>
      </c>
      <c r="F20" s="15">
        <v>1.827</v>
      </c>
      <c r="G20" s="15">
        <f t="shared" si="2"/>
        <v>60.960310852067721</v>
      </c>
      <c r="H20" s="18">
        <f t="shared" si="3"/>
        <v>0.16429251831194969</v>
      </c>
    </row>
    <row r="21" spans="1:8">
      <c r="A21" s="15">
        <v>13</v>
      </c>
      <c r="B21" s="65">
        <v>24</v>
      </c>
      <c r="C21" s="15">
        <v>2</v>
      </c>
      <c r="D21" s="15">
        <v>1.9259999999999999</v>
      </c>
      <c r="E21" s="18">
        <v>1.9279999999999999</v>
      </c>
      <c r="F21" s="15">
        <v>1.921</v>
      </c>
      <c r="G21" s="15">
        <f t="shared" si="2"/>
        <v>64.113238967527067</v>
      </c>
      <c r="H21" s="18">
        <f t="shared" si="3"/>
        <v>0.12008497170570961</v>
      </c>
    </row>
    <row r="22" spans="1:8">
      <c r="A22" s="15">
        <v>14</v>
      </c>
      <c r="B22" s="65">
        <v>30</v>
      </c>
      <c r="C22" s="15">
        <v>2</v>
      </c>
      <c r="D22" s="15">
        <v>1.9119999999999999</v>
      </c>
      <c r="E22" s="15">
        <v>1.9319999999999999</v>
      </c>
      <c r="F22" s="15">
        <v>1.921</v>
      </c>
      <c r="G22" s="15">
        <f t="shared" si="2"/>
        <v>64.002220371912301</v>
      </c>
      <c r="H22" s="18">
        <f t="shared" si="3"/>
        <v>0.33361041801424873</v>
      </c>
    </row>
    <row r="23" spans="1:8">
      <c r="A23" s="15">
        <v>15</v>
      </c>
      <c r="B23" s="65">
        <v>48</v>
      </c>
      <c r="C23" s="15">
        <v>2</v>
      </c>
      <c r="D23" s="15">
        <v>1.8859999999999999</v>
      </c>
      <c r="E23" s="15">
        <v>1.905</v>
      </c>
      <c r="F23" s="15">
        <v>1.899</v>
      </c>
      <c r="G23" s="15">
        <f t="shared" si="2"/>
        <v>63.169580904801549</v>
      </c>
      <c r="H23" s="18">
        <f t="shared" si="3"/>
        <v>0.32348159387918002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3"/>
  <sheetViews>
    <sheetView workbookViewId="0">
      <selection activeCell="D7" sqref="D7:F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60</v>
      </c>
    </row>
    <row r="2" spans="1:8">
      <c r="A2" s="27" t="s">
        <v>66</v>
      </c>
      <c r="B2" s="16">
        <v>74.08</v>
      </c>
    </row>
    <row r="4" spans="1:8">
      <c r="A4" s="106" t="s">
        <v>66</v>
      </c>
      <c r="B4" s="107"/>
      <c r="C4" s="107"/>
      <c r="D4" s="107"/>
      <c r="E4" s="107"/>
      <c r="F4" s="107"/>
      <c r="G4" s="107"/>
      <c r="H4" s="108"/>
    </row>
    <row r="5" spans="1:8">
      <c r="A5" s="109" t="s">
        <v>61</v>
      </c>
      <c r="B5" s="107"/>
      <c r="C5" s="108"/>
      <c r="D5" s="110" t="s">
        <v>44</v>
      </c>
      <c r="E5" s="110" t="s">
        <v>45</v>
      </c>
      <c r="F5" s="110" t="s">
        <v>46</v>
      </c>
      <c r="G5" s="112" t="s">
        <v>62</v>
      </c>
      <c r="H5" s="112" t="s">
        <v>63</v>
      </c>
    </row>
    <row r="6" spans="1:8">
      <c r="A6" s="28" t="s">
        <v>4</v>
      </c>
      <c r="B6" s="28" t="s">
        <v>59</v>
      </c>
      <c r="C6" s="28" t="s">
        <v>19</v>
      </c>
      <c r="D6" s="111"/>
      <c r="E6" s="111"/>
      <c r="F6" s="111"/>
      <c r="G6" s="113"/>
      <c r="H6" s="113"/>
    </row>
    <row r="7" spans="1:8">
      <c r="A7" s="15">
        <v>0</v>
      </c>
      <c r="B7" s="65">
        <v>-0.16666666666666666</v>
      </c>
      <c r="C7" s="15">
        <v>2</v>
      </c>
      <c r="D7" s="17">
        <v>0</v>
      </c>
      <c r="E7" s="17">
        <v>0</v>
      </c>
      <c r="F7" s="17">
        <v>0</v>
      </c>
      <c r="G7" s="15">
        <f>(C7*1000*AVERAGE(D7:F7))/$B$2</f>
        <v>0</v>
      </c>
      <c r="H7" s="18">
        <f>(C7*1000*STDEV(D7:F7))/$B$2</f>
        <v>0</v>
      </c>
    </row>
    <row r="8" spans="1:8">
      <c r="A8" s="15">
        <v>0</v>
      </c>
      <c r="B8" s="65">
        <v>0.16666666666666666</v>
      </c>
      <c r="C8" s="15">
        <v>2</v>
      </c>
      <c r="D8" s="17">
        <v>0</v>
      </c>
      <c r="E8" s="17">
        <v>0</v>
      </c>
      <c r="F8" s="17">
        <v>0</v>
      </c>
      <c r="G8" s="15">
        <f t="shared" ref="G8:G17" si="0">(C8*1000*AVERAGE(D8:F8))/$B$2</f>
        <v>0</v>
      </c>
      <c r="H8" s="18">
        <f t="shared" ref="H8:H17" si="1">(C8*1000*STDEV(D8:F8))/$B$2</f>
        <v>0</v>
      </c>
    </row>
    <row r="9" spans="1:8">
      <c r="A9" s="15">
        <v>1</v>
      </c>
      <c r="B9" s="65">
        <v>2</v>
      </c>
      <c r="C9" s="15">
        <v>2</v>
      </c>
      <c r="D9" s="17">
        <v>0</v>
      </c>
      <c r="E9" s="17">
        <v>0</v>
      </c>
      <c r="F9" s="17">
        <v>0</v>
      </c>
      <c r="G9" s="15">
        <f t="shared" si="0"/>
        <v>0</v>
      </c>
      <c r="H9" s="18">
        <f t="shared" si="1"/>
        <v>0</v>
      </c>
    </row>
    <row r="10" spans="1:8">
      <c r="A10" s="15">
        <v>2</v>
      </c>
      <c r="B10" s="65">
        <v>3.3333333333333335</v>
      </c>
      <c r="C10" s="15">
        <v>2</v>
      </c>
      <c r="D10" s="17">
        <v>0</v>
      </c>
      <c r="E10" s="17">
        <v>0</v>
      </c>
      <c r="F10" s="17">
        <v>0</v>
      </c>
      <c r="G10" s="15">
        <f t="shared" si="0"/>
        <v>0</v>
      </c>
      <c r="H10" s="18">
        <f t="shared" si="1"/>
        <v>0</v>
      </c>
    </row>
    <row r="11" spans="1:8">
      <c r="A11" s="15">
        <v>3</v>
      </c>
      <c r="B11" s="65">
        <v>4.666666666666667</v>
      </c>
      <c r="C11" s="15">
        <v>2</v>
      </c>
      <c r="D11" s="17">
        <v>0</v>
      </c>
      <c r="E11" s="17">
        <v>0</v>
      </c>
      <c r="F11" s="17">
        <v>0</v>
      </c>
      <c r="G11" s="15">
        <f t="shared" si="0"/>
        <v>0</v>
      </c>
      <c r="H11" s="18">
        <f t="shared" si="1"/>
        <v>0</v>
      </c>
    </row>
    <row r="12" spans="1:8">
      <c r="A12" s="15">
        <v>4</v>
      </c>
      <c r="B12" s="65">
        <v>6</v>
      </c>
      <c r="C12" s="15">
        <v>2</v>
      </c>
      <c r="D12" s="17">
        <v>0</v>
      </c>
      <c r="E12" s="17">
        <v>0</v>
      </c>
      <c r="F12" s="17">
        <v>0</v>
      </c>
      <c r="G12" s="15">
        <f t="shared" si="0"/>
        <v>0</v>
      </c>
      <c r="H12" s="18">
        <f t="shared" si="1"/>
        <v>0</v>
      </c>
    </row>
    <row r="13" spans="1:8">
      <c r="A13" s="15">
        <v>5</v>
      </c>
      <c r="B13" s="65">
        <v>7.333333333333333</v>
      </c>
      <c r="C13" s="15">
        <v>2</v>
      </c>
      <c r="D13" s="17">
        <v>0</v>
      </c>
      <c r="E13" s="17">
        <v>0</v>
      </c>
      <c r="F13" s="17">
        <v>0</v>
      </c>
      <c r="G13" s="15">
        <f t="shared" si="0"/>
        <v>0</v>
      </c>
      <c r="H13" s="18">
        <f t="shared" si="1"/>
        <v>0</v>
      </c>
    </row>
    <row r="14" spans="1:8">
      <c r="A14" s="15">
        <v>6</v>
      </c>
      <c r="B14" s="65">
        <v>10.333333333333334</v>
      </c>
      <c r="C14" s="15">
        <v>2</v>
      </c>
      <c r="D14" s="17">
        <v>0</v>
      </c>
      <c r="E14" s="17">
        <v>0</v>
      </c>
      <c r="F14" s="17">
        <v>0</v>
      </c>
      <c r="G14" s="15">
        <f t="shared" si="0"/>
        <v>0</v>
      </c>
      <c r="H14" s="18">
        <f t="shared" si="1"/>
        <v>0</v>
      </c>
    </row>
    <row r="15" spans="1:8">
      <c r="A15" s="15">
        <v>7</v>
      </c>
      <c r="B15" s="65">
        <v>11.666666666666666</v>
      </c>
      <c r="C15" s="15">
        <v>2</v>
      </c>
      <c r="D15" s="17">
        <v>0</v>
      </c>
      <c r="E15" s="17">
        <v>0</v>
      </c>
      <c r="F15" s="17">
        <v>0</v>
      </c>
      <c r="G15" s="15">
        <f t="shared" si="0"/>
        <v>0</v>
      </c>
      <c r="H15" s="18">
        <f t="shared" si="1"/>
        <v>0</v>
      </c>
    </row>
    <row r="16" spans="1:8">
      <c r="A16" s="15">
        <v>8</v>
      </c>
      <c r="B16" s="65">
        <v>13</v>
      </c>
      <c r="C16" s="15">
        <v>2</v>
      </c>
      <c r="D16" s="17">
        <v>0</v>
      </c>
      <c r="E16" s="17">
        <v>0</v>
      </c>
      <c r="F16" s="17">
        <v>0</v>
      </c>
      <c r="G16" s="15">
        <f t="shared" si="0"/>
        <v>0</v>
      </c>
      <c r="H16" s="18">
        <f t="shared" si="1"/>
        <v>0</v>
      </c>
    </row>
    <row r="17" spans="1:8">
      <c r="A17" s="15">
        <v>9</v>
      </c>
      <c r="B17" s="65">
        <v>14.333333333333334</v>
      </c>
      <c r="C17" s="15">
        <v>2</v>
      </c>
      <c r="D17" s="17">
        <v>0</v>
      </c>
      <c r="E17" s="17">
        <v>0</v>
      </c>
      <c r="F17" s="17">
        <v>0</v>
      </c>
      <c r="G17" s="15">
        <f t="shared" si="0"/>
        <v>0</v>
      </c>
      <c r="H17" s="18">
        <f t="shared" si="1"/>
        <v>0</v>
      </c>
    </row>
    <row r="18" spans="1:8">
      <c r="A18" s="15">
        <v>10</v>
      </c>
      <c r="B18" s="65">
        <v>15.666666666666666</v>
      </c>
      <c r="C18" s="15">
        <v>2</v>
      </c>
      <c r="D18" s="17">
        <v>0</v>
      </c>
      <c r="E18" s="17">
        <v>0</v>
      </c>
      <c r="F18" s="17">
        <v>0</v>
      </c>
      <c r="G18" s="15">
        <f t="shared" ref="G18:G23" si="2">(C18*1000*AVERAGE(D18:F18))/$B$2</f>
        <v>0</v>
      </c>
      <c r="H18" s="18">
        <f t="shared" ref="H18:H23" si="3">(C18*1000*STDEV(D18:F18))/$B$2</f>
        <v>0</v>
      </c>
    </row>
    <row r="19" spans="1:8">
      <c r="A19" s="15">
        <v>11</v>
      </c>
      <c r="B19" s="65">
        <v>17</v>
      </c>
      <c r="C19" s="15">
        <v>2</v>
      </c>
      <c r="D19" s="17">
        <v>0</v>
      </c>
      <c r="E19" s="17">
        <v>0</v>
      </c>
      <c r="F19" s="17">
        <v>0</v>
      </c>
      <c r="G19" s="15">
        <f t="shared" si="2"/>
        <v>0</v>
      </c>
      <c r="H19" s="18">
        <f t="shared" si="3"/>
        <v>0</v>
      </c>
    </row>
    <row r="20" spans="1:8">
      <c r="A20" s="15">
        <v>12</v>
      </c>
      <c r="B20" s="65">
        <v>18.333333333333332</v>
      </c>
      <c r="C20" s="15">
        <v>2</v>
      </c>
      <c r="D20" s="17">
        <v>0</v>
      </c>
      <c r="E20" s="17">
        <v>0</v>
      </c>
      <c r="F20" s="17">
        <v>0</v>
      </c>
      <c r="G20" s="15">
        <f t="shared" si="2"/>
        <v>0</v>
      </c>
      <c r="H20" s="18">
        <f t="shared" si="3"/>
        <v>0</v>
      </c>
    </row>
    <row r="21" spans="1:8">
      <c r="A21" s="15">
        <v>13</v>
      </c>
      <c r="B21" s="65">
        <v>24</v>
      </c>
      <c r="C21" s="15">
        <v>2</v>
      </c>
      <c r="D21" s="17">
        <v>0</v>
      </c>
      <c r="E21" s="17">
        <v>0</v>
      </c>
      <c r="F21" s="17">
        <v>0</v>
      </c>
      <c r="G21" s="15">
        <f t="shared" si="2"/>
        <v>0</v>
      </c>
      <c r="H21" s="18">
        <f t="shared" si="3"/>
        <v>0</v>
      </c>
    </row>
    <row r="22" spans="1:8">
      <c r="A22" s="15">
        <v>14</v>
      </c>
      <c r="B22" s="65">
        <v>30</v>
      </c>
      <c r="C22" s="15">
        <v>2</v>
      </c>
      <c r="D22" s="17">
        <v>0</v>
      </c>
      <c r="E22" s="17">
        <v>0</v>
      </c>
      <c r="F22" s="17">
        <v>0</v>
      </c>
      <c r="G22" s="15">
        <f t="shared" si="2"/>
        <v>0</v>
      </c>
      <c r="H22" s="18">
        <f t="shared" si="3"/>
        <v>0</v>
      </c>
    </row>
    <row r="23" spans="1:8">
      <c r="A23" s="15">
        <v>15</v>
      </c>
      <c r="B23" s="65">
        <v>48</v>
      </c>
      <c r="C23" s="15">
        <v>2</v>
      </c>
      <c r="D23" s="17">
        <v>0</v>
      </c>
      <c r="E23" s="17">
        <v>0</v>
      </c>
      <c r="F23" s="17">
        <v>0</v>
      </c>
      <c r="G23" s="15">
        <f t="shared" si="2"/>
        <v>0</v>
      </c>
      <c r="H23" s="18">
        <f t="shared" si="3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3"/>
  <sheetViews>
    <sheetView workbookViewId="0">
      <selection activeCell="G7" sqref="G7:H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60</v>
      </c>
    </row>
    <row r="2" spans="1:8">
      <c r="A2" s="27" t="s">
        <v>65</v>
      </c>
      <c r="B2" s="16">
        <v>88.11</v>
      </c>
    </row>
    <row r="4" spans="1:8">
      <c r="A4" s="106" t="s">
        <v>65</v>
      </c>
      <c r="B4" s="107"/>
      <c r="C4" s="107"/>
      <c r="D4" s="107"/>
      <c r="E4" s="107"/>
      <c r="F4" s="107"/>
      <c r="G4" s="107"/>
      <c r="H4" s="108"/>
    </row>
    <row r="5" spans="1:8">
      <c r="A5" s="109" t="s">
        <v>61</v>
      </c>
      <c r="B5" s="107"/>
      <c r="C5" s="108"/>
      <c r="D5" s="110" t="s">
        <v>44</v>
      </c>
      <c r="E5" s="110" t="s">
        <v>45</v>
      </c>
      <c r="F5" s="110" t="s">
        <v>46</v>
      </c>
      <c r="G5" s="112" t="s">
        <v>62</v>
      </c>
      <c r="H5" s="112" t="s">
        <v>63</v>
      </c>
    </row>
    <row r="6" spans="1:8">
      <c r="A6" s="28" t="s">
        <v>4</v>
      </c>
      <c r="B6" s="28" t="s">
        <v>59</v>
      </c>
      <c r="C6" s="28" t="s">
        <v>19</v>
      </c>
      <c r="D6" s="111"/>
      <c r="E6" s="111"/>
      <c r="F6" s="111"/>
      <c r="G6" s="113"/>
      <c r="H6" s="113"/>
    </row>
    <row r="7" spans="1:8">
      <c r="A7" s="15">
        <v>0</v>
      </c>
      <c r="B7" s="65">
        <v>-0.16666666666666666</v>
      </c>
      <c r="C7" s="15">
        <v>2</v>
      </c>
      <c r="D7" s="40">
        <v>0</v>
      </c>
      <c r="E7" s="40">
        <v>0</v>
      </c>
      <c r="F7" s="40">
        <v>0</v>
      </c>
      <c r="G7" s="15">
        <f>(C7*1000*AVERAGE(D7:F7))/$B$2</f>
        <v>0</v>
      </c>
      <c r="H7" s="18">
        <f>(C7*1000*STDEV(D7:F7))/$B$2</f>
        <v>0</v>
      </c>
    </row>
    <row r="8" spans="1:8">
      <c r="A8" s="15">
        <v>0</v>
      </c>
      <c r="B8" s="65">
        <v>0.16666666666666666</v>
      </c>
      <c r="C8" s="15">
        <v>2</v>
      </c>
      <c r="D8" s="40">
        <v>7.3999999999999996E-2</v>
      </c>
      <c r="E8" s="40">
        <v>0.1</v>
      </c>
      <c r="F8" s="40">
        <v>8.4000000000000005E-2</v>
      </c>
      <c r="G8" s="15">
        <f>(C8*1000*AVERAGE(D8:F8))/$B$2</f>
        <v>1.9521053228918397</v>
      </c>
      <c r="H8" s="18">
        <f t="shared" ref="H8:H17" si="0">(C8*1000*STDEV(D8:F8))/$B$2</f>
        <v>0.2976932708796734</v>
      </c>
    </row>
    <row r="9" spans="1:8">
      <c r="A9" s="15">
        <v>1</v>
      </c>
      <c r="B9" s="65">
        <v>2</v>
      </c>
      <c r="C9" s="15">
        <v>2</v>
      </c>
      <c r="D9" s="40">
        <v>9.6000000000000002E-2</v>
      </c>
      <c r="E9" s="40">
        <v>0.112</v>
      </c>
      <c r="F9" s="40">
        <v>0.105</v>
      </c>
      <c r="G9" s="15">
        <f t="shared" ref="G9:G17" si="1">(C9*1000*AVERAGE(D9:F9))/$B$2</f>
        <v>2.3682518064540536</v>
      </c>
      <c r="H9" s="18">
        <f t="shared" si="0"/>
        <v>0.18206347240972975</v>
      </c>
    </row>
    <row r="10" spans="1:8">
      <c r="A10" s="15">
        <v>2</v>
      </c>
      <c r="B10" s="65">
        <v>3.3333333333333335</v>
      </c>
      <c r="C10" s="15">
        <v>2</v>
      </c>
      <c r="D10" s="41">
        <v>0.129</v>
      </c>
      <c r="E10" s="41">
        <v>0.14199999999999999</v>
      </c>
      <c r="F10" s="41">
        <v>0.13300000000000001</v>
      </c>
      <c r="G10" s="15">
        <f t="shared" si="1"/>
        <v>3.0567850792569899</v>
      </c>
      <c r="H10" s="18">
        <f t="shared" si="0"/>
        <v>0.15113671815865132</v>
      </c>
    </row>
    <row r="11" spans="1:8">
      <c r="A11" s="15">
        <v>3</v>
      </c>
      <c r="B11" s="65">
        <v>4.666666666666667</v>
      </c>
      <c r="C11" s="15">
        <v>2</v>
      </c>
      <c r="D11" s="41">
        <v>0.17299999999999999</v>
      </c>
      <c r="E11" s="41">
        <v>0.156</v>
      </c>
      <c r="F11" s="41">
        <v>0.16900000000000001</v>
      </c>
      <c r="G11" s="15">
        <f t="shared" si="1"/>
        <v>3.7680172511633185</v>
      </c>
      <c r="H11" s="18">
        <f t="shared" si="0"/>
        <v>0.20175222828999173</v>
      </c>
    </row>
    <row r="12" spans="1:8">
      <c r="A12" s="15">
        <v>4</v>
      </c>
      <c r="B12" s="65">
        <v>6</v>
      </c>
      <c r="C12" s="15">
        <v>2</v>
      </c>
      <c r="D12" s="41">
        <v>0.22800000000000001</v>
      </c>
      <c r="E12" s="41">
        <v>0.23200000000000001</v>
      </c>
      <c r="F12" s="41">
        <v>0.22700000000000001</v>
      </c>
      <c r="G12" s="15">
        <f t="shared" si="1"/>
        <v>5.1980478946771083</v>
      </c>
      <c r="H12" s="18">
        <f t="shared" si="0"/>
        <v>6.0055642062526227E-2</v>
      </c>
    </row>
    <row r="13" spans="1:8">
      <c r="A13" s="15">
        <v>5</v>
      </c>
      <c r="B13" s="65">
        <v>7.333333333333333</v>
      </c>
      <c r="C13" s="15">
        <v>2</v>
      </c>
      <c r="D13" s="41">
        <v>0.32100000000000001</v>
      </c>
      <c r="E13" s="41">
        <v>0.29699999999999999</v>
      </c>
      <c r="F13" s="41">
        <v>0.29099999999999998</v>
      </c>
      <c r="G13" s="15">
        <f t="shared" si="1"/>
        <v>6.8777664283282265</v>
      </c>
      <c r="H13" s="18">
        <f t="shared" si="0"/>
        <v>0.36033385237515736</v>
      </c>
    </row>
    <row r="14" spans="1:8">
      <c r="A14" s="15">
        <v>6</v>
      </c>
      <c r="B14" s="65">
        <v>10.333333333333334</v>
      </c>
      <c r="C14" s="15">
        <v>2</v>
      </c>
      <c r="D14" s="80">
        <v>0.82799999999999996</v>
      </c>
      <c r="E14" s="80">
        <v>0.82099999999999995</v>
      </c>
      <c r="F14" s="80">
        <v>0.78600000000000003</v>
      </c>
      <c r="G14" s="15">
        <f t="shared" si="1"/>
        <v>18.423939772254379</v>
      </c>
      <c r="H14" s="18">
        <f t="shared" si="0"/>
        <v>0.5107672630949992</v>
      </c>
    </row>
    <row r="15" spans="1:8">
      <c r="A15" s="15">
        <v>7</v>
      </c>
      <c r="B15" s="65">
        <v>11.666666666666666</v>
      </c>
      <c r="C15" s="15">
        <v>2</v>
      </c>
      <c r="D15" s="80">
        <v>1.1419999999999999</v>
      </c>
      <c r="E15" s="80">
        <v>1.1319999999999999</v>
      </c>
      <c r="F15" s="80">
        <v>1.131</v>
      </c>
      <c r="G15" s="15">
        <f t="shared" si="1"/>
        <v>25.763250482351605</v>
      </c>
      <c r="H15" s="18">
        <f t="shared" si="0"/>
        <v>0.13807201294514104</v>
      </c>
    </row>
    <row r="16" spans="1:8">
      <c r="A16" s="15">
        <v>8</v>
      </c>
      <c r="B16" s="65">
        <v>13</v>
      </c>
      <c r="C16" s="15">
        <v>2</v>
      </c>
      <c r="D16" s="80">
        <v>1.474</v>
      </c>
      <c r="E16" s="80">
        <v>1.48</v>
      </c>
      <c r="F16" s="80">
        <v>1.496</v>
      </c>
      <c r="G16" s="15">
        <f t="shared" si="1"/>
        <v>33.670033670033668</v>
      </c>
      <c r="H16" s="18">
        <f t="shared" si="0"/>
        <v>0.25814280799352318</v>
      </c>
    </row>
    <row r="17" spans="1:8">
      <c r="A17" s="15">
        <v>9</v>
      </c>
      <c r="B17" s="65">
        <v>14.333333333333334</v>
      </c>
      <c r="C17" s="15">
        <v>2</v>
      </c>
      <c r="D17" s="80">
        <v>1.7609999999999999</v>
      </c>
      <c r="E17" s="80">
        <v>1.79</v>
      </c>
      <c r="F17" s="80">
        <v>1.78</v>
      </c>
      <c r="G17" s="15">
        <f t="shared" si="1"/>
        <v>40.335943706730227</v>
      </c>
      <c r="H17" s="18">
        <f t="shared" si="0"/>
        <v>0.33437566366261057</v>
      </c>
    </row>
    <row r="18" spans="1:8">
      <c r="A18" s="15">
        <v>10</v>
      </c>
      <c r="B18" s="65">
        <v>15.666666666666666</v>
      </c>
      <c r="C18" s="15">
        <v>2</v>
      </c>
      <c r="D18" s="80">
        <v>2.1240000000000001</v>
      </c>
      <c r="E18" s="80">
        <v>2.1339999999999999</v>
      </c>
      <c r="F18" s="80">
        <v>2.121</v>
      </c>
      <c r="G18" s="15">
        <f t="shared" ref="G18:G23" si="2">(C18*1000*AVERAGE(D18:F18))/$B$2</f>
        <v>48.265425793515675</v>
      </c>
      <c r="H18" s="18">
        <f t="shared" ref="H18:H23" si="3">(C18*1000*STDEV(D18:F18))/$B$2</f>
        <v>0.15450821213378663</v>
      </c>
    </row>
    <row r="19" spans="1:8">
      <c r="A19" s="15">
        <v>11</v>
      </c>
      <c r="B19" s="65">
        <v>17</v>
      </c>
      <c r="C19" s="15">
        <v>2</v>
      </c>
      <c r="D19" s="80">
        <v>2.4239999999999999</v>
      </c>
      <c r="E19" s="80">
        <v>2.3260000000000001</v>
      </c>
      <c r="F19" s="80">
        <v>2.444</v>
      </c>
      <c r="G19" s="15">
        <f t="shared" si="2"/>
        <v>54.43196004993758</v>
      </c>
      <c r="H19" s="18">
        <f t="shared" si="3"/>
        <v>1.4334494067730725</v>
      </c>
    </row>
    <row r="20" spans="1:8">
      <c r="A20" s="15">
        <v>12</v>
      </c>
      <c r="B20" s="65">
        <v>18.333333333333332</v>
      </c>
      <c r="C20" s="15">
        <v>2</v>
      </c>
      <c r="D20" s="80">
        <v>2.677</v>
      </c>
      <c r="E20" s="80">
        <v>2.68</v>
      </c>
      <c r="F20" s="80">
        <v>2.681</v>
      </c>
      <c r="G20" s="15">
        <f t="shared" si="2"/>
        <v>60.817916997692279</v>
      </c>
      <c r="H20" s="18">
        <f t="shared" si="3"/>
        <v>4.7251526488846958E-2</v>
      </c>
    </row>
    <row r="21" spans="1:8">
      <c r="A21" s="15">
        <v>13</v>
      </c>
      <c r="B21" s="65">
        <v>24</v>
      </c>
      <c r="C21" s="15">
        <v>2</v>
      </c>
      <c r="D21" s="80">
        <v>3.0990000000000002</v>
      </c>
      <c r="E21" s="80">
        <v>3.1040000000000001</v>
      </c>
      <c r="F21" s="80">
        <v>3.0979999999999999</v>
      </c>
      <c r="G21" s="15">
        <f t="shared" si="2"/>
        <v>70.374153520220943</v>
      </c>
      <c r="H21" s="18">
        <f t="shared" si="3"/>
        <v>7.2966751870715663E-2</v>
      </c>
    </row>
    <row r="22" spans="1:8">
      <c r="A22" s="15">
        <v>14</v>
      </c>
      <c r="B22" s="65">
        <v>30</v>
      </c>
      <c r="C22" s="15">
        <v>2</v>
      </c>
      <c r="D22" s="80">
        <v>3.1429999999999998</v>
      </c>
      <c r="E22" s="80">
        <v>3.177</v>
      </c>
      <c r="F22" s="80">
        <v>3.1520000000000001</v>
      </c>
      <c r="G22" s="15">
        <f t="shared" si="2"/>
        <v>71.667990769114382</v>
      </c>
      <c r="H22" s="18">
        <f t="shared" si="3"/>
        <v>0.39987017021825383</v>
      </c>
    </row>
    <row r="23" spans="1:8">
      <c r="A23" s="15">
        <v>15</v>
      </c>
      <c r="B23" s="65">
        <v>48</v>
      </c>
      <c r="C23" s="15">
        <v>2</v>
      </c>
      <c r="D23" s="80">
        <v>3.214</v>
      </c>
      <c r="E23" s="80">
        <v>3.2330000000000001</v>
      </c>
      <c r="F23" s="80">
        <v>3.22</v>
      </c>
      <c r="G23" s="15">
        <f t="shared" si="2"/>
        <v>73.143419210834949</v>
      </c>
      <c r="H23" s="18">
        <f t="shared" si="3"/>
        <v>0.22046384873958355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7" sqref="G7:H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0" t="s">
        <v>35</v>
      </c>
      <c r="B1" s="20" t="s">
        <v>60</v>
      </c>
    </row>
    <row r="2" spans="1:8">
      <c r="A2" s="20" t="s">
        <v>41</v>
      </c>
      <c r="B2" s="16">
        <v>90.08</v>
      </c>
    </row>
    <row r="4" spans="1:8">
      <c r="A4" s="106" t="s">
        <v>41</v>
      </c>
      <c r="B4" s="107"/>
      <c r="C4" s="107"/>
      <c r="D4" s="107"/>
      <c r="E4" s="107"/>
      <c r="F4" s="107"/>
      <c r="G4" s="107"/>
      <c r="H4" s="108"/>
    </row>
    <row r="5" spans="1:8">
      <c r="A5" s="109" t="s">
        <v>61</v>
      </c>
      <c r="B5" s="107"/>
      <c r="C5" s="108"/>
      <c r="D5" s="110" t="s">
        <v>44</v>
      </c>
      <c r="E5" s="110" t="s">
        <v>45</v>
      </c>
      <c r="F5" s="110" t="s">
        <v>46</v>
      </c>
      <c r="G5" s="112" t="s">
        <v>62</v>
      </c>
      <c r="H5" s="112" t="s">
        <v>63</v>
      </c>
    </row>
    <row r="6" spans="1:8">
      <c r="A6" s="21" t="s">
        <v>4</v>
      </c>
      <c r="B6" s="21" t="s">
        <v>59</v>
      </c>
      <c r="C6" s="21" t="s">
        <v>19</v>
      </c>
      <c r="D6" s="111"/>
      <c r="E6" s="111"/>
      <c r="F6" s="111"/>
      <c r="G6" s="113"/>
      <c r="H6" s="113"/>
    </row>
    <row r="7" spans="1:8">
      <c r="A7" s="15">
        <v>0</v>
      </c>
      <c r="B7" s="65">
        <v>-0.16666666666666666</v>
      </c>
      <c r="C7" s="15">
        <v>2</v>
      </c>
      <c r="D7" s="40">
        <v>2.5000000000000001E-2</v>
      </c>
      <c r="E7" s="40">
        <v>2.8000000000000001E-2</v>
      </c>
      <c r="F7" s="40">
        <v>2.5000000000000001E-2</v>
      </c>
      <c r="G7" s="15">
        <f>(C7*1000*AVERAGE(D7:F7))/$B$2</f>
        <v>0.57726465364120794</v>
      </c>
      <c r="H7" s="18">
        <f>(C7*1000*STDEV(D7:F7))/$B$2</f>
        <v>3.8455834981546998E-2</v>
      </c>
    </row>
    <row r="8" spans="1:8">
      <c r="A8" s="15">
        <v>0</v>
      </c>
      <c r="B8" s="65">
        <v>0.16666666666666666</v>
      </c>
      <c r="C8" s="15">
        <v>2</v>
      </c>
      <c r="D8" s="40">
        <v>3.9E-2</v>
      </c>
      <c r="E8" s="40">
        <v>3.5999999999999997E-2</v>
      </c>
      <c r="F8" s="40">
        <v>3.3000000000000002E-2</v>
      </c>
      <c r="G8" s="15">
        <f t="shared" ref="G8:G17" si="0">(C8*1000*AVERAGE(D8:F8))/$B$2</f>
        <v>0.79928952042628776</v>
      </c>
      <c r="H8" s="18">
        <f t="shared" ref="H8:H17" si="1">(C8*1000*STDEV(D8:F8))/$B$2</f>
        <v>6.6607460035523966E-2</v>
      </c>
    </row>
    <row r="9" spans="1:8">
      <c r="A9" s="15">
        <v>1</v>
      </c>
      <c r="B9" s="65">
        <v>2</v>
      </c>
      <c r="C9" s="15">
        <v>2</v>
      </c>
      <c r="D9" s="40">
        <v>3.9E-2</v>
      </c>
      <c r="E9" s="40">
        <v>3.9E-2</v>
      </c>
      <c r="F9" s="40">
        <v>3.6999999999999998E-2</v>
      </c>
      <c r="G9" s="15">
        <f t="shared" si="0"/>
        <v>0.85109532267613963</v>
      </c>
      <c r="H9" s="18">
        <f t="shared" si="1"/>
        <v>2.5637223321031362E-2</v>
      </c>
    </row>
    <row r="10" spans="1:8">
      <c r="A10" s="15">
        <v>2</v>
      </c>
      <c r="B10" s="65">
        <v>3.3333333333333335</v>
      </c>
      <c r="C10" s="15">
        <v>2</v>
      </c>
      <c r="D10" s="40">
        <v>0.04</v>
      </c>
      <c r="E10" s="40">
        <v>3.7999999999999999E-2</v>
      </c>
      <c r="F10" s="40">
        <v>4.1000000000000002E-2</v>
      </c>
      <c r="G10" s="15">
        <f t="shared" si="0"/>
        <v>0.88069863824748373</v>
      </c>
      <c r="H10" s="18">
        <f t="shared" si="1"/>
        <v>3.3914858606837212E-2</v>
      </c>
    </row>
    <row r="11" spans="1:8">
      <c r="A11" s="15">
        <v>3</v>
      </c>
      <c r="B11" s="65">
        <v>4.666666666666667</v>
      </c>
      <c r="C11" s="15">
        <v>2</v>
      </c>
      <c r="D11" s="40">
        <v>3.7999999999999999E-2</v>
      </c>
      <c r="E11" s="40">
        <v>3.5999999999999997E-2</v>
      </c>
      <c r="F11" s="40">
        <v>3.3000000000000002E-2</v>
      </c>
      <c r="G11" s="15">
        <f t="shared" si="0"/>
        <v>0.79188869153345176</v>
      </c>
      <c r="H11" s="18">
        <f t="shared" si="1"/>
        <v>5.5875032824679878E-2</v>
      </c>
    </row>
    <row r="12" spans="1:8">
      <c r="A12" s="15">
        <v>4</v>
      </c>
      <c r="B12" s="65">
        <v>6</v>
      </c>
      <c r="C12" s="15">
        <v>2</v>
      </c>
      <c r="D12" s="41">
        <v>3.9E-2</v>
      </c>
      <c r="E12" s="41">
        <v>3.6999999999999998E-2</v>
      </c>
      <c r="F12" s="41">
        <v>3.6999999999999998E-2</v>
      </c>
      <c r="G12" s="15">
        <f t="shared" si="0"/>
        <v>0.83629366489046775</v>
      </c>
      <c r="H12" s="18">
        <f t="shared" si="1"/>
        <v>2.5637223321031362E-2</v>
      </c>
    </row>
    <row r="13" spans="1:8">
      <c r="A13" s="15">
        <v>5</v>
      </c>
      <c r="B13" s="65">
        <v>7.333333333333333</v>
      </c>
      <c r="C13" s="15">
        <v>2</v>
      </c>
      <c r="D13" s="41">
        <v>3.6999999999999998E-2</v>
      </c>
      <c r="E13" s="41">
        <v>3.9E-2</v>
      </c>
      <c r="F13" s="41">
        <v>0.04</v>
      </c>
      <c r="G13" s="15">
        <f t="shared" si="0"/>
        <v>0.85849615156897574</v>
      </c>
      <c r="H13" s="18">
        <f t="shared" si="1"/>
        <v>3.3914858606837212E-2</v>
      </c>
    </row>
    <row r="14" spans="1:8">
      <c r="A14" s="15">
        <v>6</v>
      </c>
      <c r="B14" s="65">
        <v>10.333333333333334</v>
      </c>
      <c r="C14" s="15">
        <v>2</v>
      </c>
      <c r="D14" s="41">
        <v>3.9E-2</v>
      </c>
      <c r="E14" s="41">
        <v>3.9E-2</v>
      </c>
      <c r="F14" s="41">
        <v>3.6999999999999998E-2</v>
      </c>
      <c r="G14" s="15">
        <f t="shared" si="0"/>
        <v>0.85109532267613963</v>
      </c>
      <c r="H14" s="18">
        <f t="shared" si="1"/>
        <v>2.5637223321031362E-2</v>
      </c>
    </row>
    <row r="15" spans="1:8">
      <c r="A15" s="15">
        <v>7</v>
      </c>
      <c r="B15" s="65">
        <v>11.666666666666666</v>
      </c>
      <c r="C15" s="15">
        <v>2</v>
      </c>
      <c r="D15" s="60">
        <v>4.1000000000000002E-2</v>
      </c>
      <c r="E15" s="60">
        <v>4.1000000000000002E-2</v>
      </c>
      <c r="F15" s="60">
        <v>4.1000000000000002E-2</v>
      </c>
      <c r="G15" s="15">
        <f t="shared" si="0"/>
        <v>0.91030195381882772</v>
      </c>
      <c r="H15" s="18">
        <f t="shared" si="1"/>
        <v>0</v>
      </c>
    </row>
    <row r="16" spans="1:8">
      <c r="A16" s="15">
        <v>8</v>
      </c>
      <c r="B16" s="65">
        <v>13</v>
      </c>
      <c r="C16" s="15">
        <v>2</v>
      </c>
      <c r="D16" s="60">
        <v>5.2999999999999999E-2</v>
      </c>
      <c r="E16" s="60">
        <v>5.2999999999999999E-2</v>
      </c>
      <c r="F16" s="60">
        <v>5.2999999999999999E-2</v>
      </c>
      <c r="G16" s="15">
        <f t="shared" si="0"/>
        <v>1.1767317939609236</v>
      </c>
      <c r="H16" s="18">
        <f t="shared" si="1"/>
        <v>0</v>
      </c>
    </row>
    <row r="17" spans="1:8">
      <c r="A17" s="15">
        <v>9</v>
      </c>
      <c r="B17" s="65">
        <v>14.333333333333334</v>
      </c>
      <c r="C17" s="15">
        <v>2</v>
      </c>
      <c r="D17" s="60">
        <v>7.4999999999999997E-2</v>
      </c>
      <c r="E17" s="60">
        <v>7.4999999999999997E-2</v>
      </c>
      <c r="F17" s="60">
        <v>7.5999999999999998E-2</v>
      </c>
      <c r="G17" s="15">
        <f t="shared" si="0"/>
        <v>1.6725873297809355</v>
      </c>
      <c r="H17" s="18">
        <f t="shared" si="1"/>
        <v>1.2818611660515681E-2</v>
      </c>
    </row>
    <row r="18" spans="1:8">
      <c r="A18" s="15">
        <v>10</v>
      </c>
      <c r="B18" s="65">
        <v>15.666666666666666</v>
      </c>
      <c r="C18" s="15">
        <v>2</v>
      </c>
      <c r="D18" s="40">
        <v>0.153</v>
      </c>
      <c r="E18" s="40">
        <v>0.153</v>
      </c>
      <c r="F18" s="40">
        <v>0.153</v>
      </c>
      <c r="G18" s="15">
        <f t="shared" ref="G18:G23" si="2">(C18*1000*AVERAGE(D18:F18))/$B$2</f>
        <v>3.3969804618117232</v>
      </c>
      <c r="H18" s="18">
        <f t="shared" ref="H18:H23" si="3">(C18*1000*STDEV(D18:F18))/$B$2</f>
        <v>0</v>
      </c>
    </row>
    <row r="19" spans="1:8">
      <c r="A19" s="15">
        <v>11</v>
      </c>
      <c r="B19" s="65">
        <v>17</v>
      </c>
      <c r="C19" s="15">
        <v>2</v>
      </c>
      <c r="D19" s="60">
        <v>0.251</v>
      </c>
      <c r="E19" s="60">
        <v>0.253</v>
      </c>
      <c r="F19" s="60">
        <v>0.25600000000000001</v>
      </c>
      <c r="G19" s="15">
        <f t="shared" si="2"/>
        <v>5.6246299585553583</v>
      </c>
      <c r="H19" s="18">
        <f t="shared" si="3"/>
        <v>5.5875032824679961E-2</v>
      </c>
    </row>
    <row r="20" spans="1:8">
      <c r="A20" s="15">
        <v>12</v>
      </c>
      <c r="B20" s="65">
        <v>18.333333333333332</v>
      </c>
      <c r="C20" s="15">
        <v>2</v>
      </c>
      <c r="D20" s="60">
        <v>0.34100000000000003</v>
      </c>
      <c r="E20" s="60">
        <v>0.34300000000000003</v>
      </c>
      <c r="F20" s="60">
        <v>0.34100000000000003</v>
      </c>
      <c r="G20" s="15">
        <f t="shared" si="2"/>
        <v>7.5858496151568993</v>
      </c>
      <c r="H20" s="18">
        <f t="shared" si="3"/>
        <v>2.5637223321031362E-2</v>
      </c>
    </row>
    <row r="21" spans="1:8">
      <c r="A21" s="15">
        <v>13</v>
      </c>
      <c r="B21" s="65">
        <v>24</v>
      </c>
      <c r="C21" s="15">
        <v>2</v>
      </c>
      <c r="D21" s="79">
        <v>0.48499999999999999</v>
      </c>
      <c r="E21" s="79">
        <v>0.48599999999999999</v>
      </c>
      <c r="F21" s="79">
        <v>0.48499999999999999</v>
      </c>
      <c r="G21" s="15">
        <f t="shared" si="2"/>
        <v>10.775606867969213</v>
      </c>
      <c r="H21" s="18">
        <f t="shared" si="3"/>
        <v>1.2818611660515681E-2</v>
      </c>
    </row>
    <row r="22" spans="1:8">
      <c r="A22" s="15">
        <v>14</v>
      </c>
      <c r="B22" s="65">
        <v>30</v>
      </c>
      <c r="C22" s="15">
        <v>2</v>
      </c>
      <c r="D22" s="79">
        <v>0.502</v>
      </c>
      <c r="E22" s="79">
        <v>0.50600000000000001</v>
      </c>
      <c r="F22" s="79">
        <v>0.504</v>
      </c>
      <c r="G22" s="15">
        <f t="shared" si="2"/>
        <v>11.190053285968029</v>
      </c>
      <c r="H22" s="18">
        <f t="shared" si="3"/>
        <v>4.4404973357016028E-2</v>
      </c>
    </row>
    <row r="23" spans="1:8">
      <c r="A23" s="15">
        <v>15</v>
      </c>
      <c r="B23" s="65">
        <v>48</v>
      </c>
      <c r="C23" s="15">
        <v>2</v>
      </c>
      <c r="D23" s="79">
        <v>0.51300000000000001</v>
      </c>
      <c r="E23" s="79">
        <v>0.51600000000000001</v>
      </c>
      <c r="F23" s="79">
        <v>0.51600000000000001</v>
      </c>
      <c r="G23" s="15">
        <f t="shared" si="2"/>
        <v>11.434280639431616</v>
      </c>
      <c r="H23" s="18">
        <f t="shared" si="3"/>
        <v>3.8455834981547053E-2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7" sqref="G7:H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0" t="s">
        <v>35</v>
      </c>
      <c r="B1" s="20" t="s">
        <v>60</v>
      </c>
    </row>
    <row r="2" spans="1:8">
      <c r="A2" s="20" t="s">
        <v>43</v>
      </c>
      <c r="B2" s="16">
        <v>46.07</v>
      </c>
    </row>
    <row r="4" spans="1:8">
      <c r="A4" s="106" t="s">
        <v>43</v>
      </c>
      <c r="B4" s="107"/>
      <c r="C4" s="107"/>
      <c r="D4" s="107"/>
      <c r="E4" s="107"/>
      <c r="F4" s="107"/>
      <c r="G4" s="107"/>
      <c r="H4" s="108"/>
    </row>
    <row r="5" spans="1:8">
      <c r="A5" s="109" t="s">
        <v>61</v>
      </c>
      <c r="B5" s="107"/>
      <c r="C5" s="108"/>
      <c r="D5" s="110" t="s">
        <v>44</v>
      </c>
      <c r="E5" s="110" t="s">
        <v>45</v>
      </c>
      <c r="F5" s="110" t="s">
        <v>46</v>
      </c>
      <c r="G5" s="112" t="s">
        <v>62</v>
      </c>
      <c r="H5" s="112" t="s">
        <v>63</v>
      </c>
    </row>
    <row r="6" spans="1:8">
      <c r="A6" s="21" t="s">
        <v>4</v>
      </c>
      <c r="B6" s="21" t="s">
        <v>59</v>
      </c>
      <c r="C6" s="21" t="s">
        <v>19</v>
      </c>
      <c r="D6" s="111"/>
      <c r="E6" s="111"/>
      <c r="F6" s="111"/>
      <c r="G6" s="113"/>
      <c r="H6" s="113"/>
    </row>
    <row r="7" spans="1:8">
      <c r="A7" s="15">
        <v>0</v>
      </c>
      <c r="B7" s="65">
        <v>-0.16666666666666666</v>
      </c>
      <c r="C7" s="15">
        <v>2</v>
      </c>
      <c r="D7" s="17">
        <v>0</v>
      </c>
      <c r="E7" s="17">
        <v>0</v>
      </c>
      <c r="F7" s="17">
        <v>0</v>
      </c>
      <c r="G7" s="15">
        <f>(C7*1000*AVERAGE(D7:F7))/$B$2</f>
        <v>0</v>
      </c>
      <c r="H7" s="18">
        <f>(C7*1000*STDEV(D7:F7))/$B$2</f>
        <v>0</v>
      </c>
    </row>
    <row r="8" spans="1:8">
      <c r="A8" s="15">
        <v>0</v>
      </c>
      <c r="B8" s="65">
        <v>0.16666666666666666</v>
      </c>
      <c r="C8" s="15">
        <v>2</v>
      </c>
      <c r="D8" s="17">
        <v>0</v>
      </c>
      <c r="E8" s="17">
        <v>0</v>
      </c>
      <c r="F8" s="17">
        <v>0</v>
      </c>
      <c r="G8" s="15">
        <f t="shared" ref="G8:G17" si="0">(C8*1000*AVERAGE(D8:F8))/$B$2</f>
        <v>0</v>
      </c>
      <c r="H8" s="18">
        <f t="shared" ref="H8:H17" si="1">(C8*1000*STDEV(D8:F8))/$B$2</f>
        <v>0</v>
      </c>
    </row>
    <row r="9" spans="1:8">
      <c r="A9" s="15">
        <v>1</v>
      </c>
      <c r="B9" s="65">
        <v>2</v>
      </c>
      <c r="C9" s="15">
        <v>2</v>
      </c>
      <c r="D9" s="17">
        <v>0</v>
      </c>
      <c r="E9" s="17">
        <v>0</v>
      </c>
      <c r="F9" s="17">
        <v>0</v>
      </c>
      <c r="G9" s="15">
        <f t="shared" si="0"/>
        <v>0</v>
      </c>
      <c r="H9" s="18">
        <f t="shared" si="1"/>
        <v>0</v>
      </c>
    </row>
    <row r="10" spans="1:8">
      <c r="A10" s="15">
        <v>2</v>
      </c>
      <c r="B10" s="65">
        <v>3.3333333333333335</v>
      </c>
      <c r="C10" s="15">
        <v>2</v>
      </c>
      <c r="D10" s="17">
        <v>0</v>
      </c>
      <c r="E10" s="17">
        <v>0</v>
      </c>
      <c r="F10" s="17">
        <v>0</v>
      </c>
      <c r="G10" s="15">
        <f t="shared" si="0"/>
        <v>0</v>
      </c>
      <c r="H10" s="18">
        <f t="shared" si="1"/>
        <v>0</v>
      </c>
    </row>
    <row r="11" spans="1:8">
      <c r="A11" s="15">
        <v>3</v>
      </c>
      <c r="B11" s="65">
        <v>4.666666666666667</v>
      </c>
      <c r="C11" s="15">
        <v>2</v>
      </c>
      <c r="D11" s="17">
        <v>0</v>
      </c>
      <c r="E11" s="17">
        <v>0</v>
      </c>
      <c r="F11" s="17">
        <v>0</v>
      </c>
      <c r="G11" s="15">
        <f t="shared" si="0"/>
        <v>0</v>
      </c>
      <c r="H11" s="18">
        <f t="shared" si="1"/>
        <v>0</v>
      </c>
    </row>
    <row r="12" spans="1:8">
      <c r="A12" s="15">
        <v>4</v>
      </c>
      <c r="B12" s="65">
        <v>6</v>
      </c>
      <c r="C12" s="15">
        <v>2</v>
      </c>
      <c r="D12" s="17">
        <v>0</v>
      </c>
      <c r="E12" s="17">
        <v>0</v>
      </c>
      <c r="F12" s="17">
        <v>0</v>
      </c>
      <c r="G12" s="15">
        <f t="shared" si="0"/>
        <v>0</v>
      </c>
      <c r="H12" s="18">
        <f t="shared" si="1"/>
        <v>0</v>
      </c>
    </row>
    <row r="13" spans="1:8">
      <c r="A13" s="15">
        <v>5</v>
      </c>
      <c r="B13" s="65">
        <v>7.333333333333333</v>
      </c>
      <c r="C13" s="15">
        <v>2</v>
      </c>
      <c r="D13" s="17">
        <v>0</v>
      </c>
      <c r="E13" s="17">
        <v>0</v>
      </c>
      <c r="F13" s="17">
        <v>0</v>
      </c>
      <c r="G13" s="15">
        <f t="shared" si="0"/>
        <v>0</v>
      </c>
      <c r="H13" s="18">
        <f t="shared" si="1"/>
        <v>0</v>
      </c>
    </row>
    <row r="14" spans="1:8">
      <c r="A14" s="15">
        <v>6</v>
      </c>
      <c r="B14" s="65">
        <v>10.333333333333334</v>
      </c>
      <c r="C14" s="15">
        <v>2</v>
      </c>
      <c r="D14" s="17">
        <v>0</v>
      </c>
      <c r="E14" s="17">
        <v>0</v>
      </c>
      <c r="F14" s="17">
        <v>0</v>
      </c>
      <c r="G14" s="15">
        <f t="shared" si="0"/>
        <v>0</v>
      </c>
      <c r="H14" s="18">
        <f t="shared" si="1"/>
        <v>0</v>
      </c>
    </row>
    <row r="15" spans="1:8">
      <c r="A15" s="15">
        <v>7</v>
      </c>
      <c r="B15" s="65">
        <v>11.666666666666666</v>
      </c>
      <c r="C15" s="15">
        <v>2</v>
      </c>
      <c r="D15" s="17">
        <v>0</v>
      </c>
      <c r="E15" s="17">
        <v>0</v>
      </c>
      <c r="F15" s="17">
        <v>0</v>
      </c>
      <c r="G15" s="15">
        <f t="shared" si="0"/>
        <v>0</v>
      </c>
      <c r="H15" s="18">
        <f t="shared" si="1"/>
        <v>0</v>
      </c>
    </row>
    <row r="16" spans="1:8">
      <c r="A16" s="15">
        <v>8</v>
      </c>
      <c r="B16" s="65">
        <v>13</v>
      </c>
      <c r="C16" s="15">
        <v>2</v>
      </c>
      <c r="D16" s="17">
        <v>0</v>
      </c>
      <c r="E16" s="17">
        <v>0</v>
      </c>
      <c r="F16" s="17">
        <v>0</v>
      </c>
      <c r="G16" s="15">
        <f t="shared" si="0"/>
        <v>0</v>
      </c>
      <c r="H16" s="18">
        <f t="shared" si="1"/>
        <v>0</v>
      </c>
    </row>
    <row r="17" spans="1:8">
      <c r="A17" s="15">
        <v>9</v>
      </c>
      <c r="B17" s="65">
        <v>14.333333333333334</v>
      </c>
      <c r="C17" s="15">
        <v>2</v>
      </c>
      <c r="D17" s="17">
        <v>0</v>
      </c>
      <c r="E17" s="17">
        <v>0</v>
      </c>
      <c r="F17" s="17">
        <v>0</v>
      </c>
      <c r="G17" s="15">
        <f t="shared" si="0"/>
        <v>0</v>
      </c>
      <c r="H17" s="18">
        <f t="shared" si="1"/>
        <v>0</v>
      </c>
    </row>
    <row r="18" spans="1:8">
      <c r="A18" s="15">
        <v>10</v>
      </c>
      <c r="B18" s="65">
        <v>15.666666666666666</v>
      </c>
      <c r="C18" s="15">
        <v>2</v>
      </c>
      <c r="D18" s="17">
        <v>0</v>
      </c>
      <c r="E18" s="17">
        <v>0</v>
      </c>
      <c r="F18" s="17">
        <v>0</v>
      </c>
      <c r="G18" s="15">
        <f t="shared" ref="G18:G23" si="2">(C18*1000*AVERAGE(D18:F18))/$B$2</f>
        <v>0</v>
      </c>
      <c r="H18" s="18">
        <f t="shared" ref="H18:H23" si="3">(C18*1000*STDEV(D18:F18))/$B$2</f>
        <v>0</v>
      </c>
    </row>
    <row r="19" spans="1:8">
      <c r="A19" s="15">
        <v>11</v>
      </c>
      <c r="B19" s="65">
        <v>17</v>
      </c>
      <c r="C19" s="15">
        <v>2</v>
      </c>
      <c r="D19" s="17">
        <v>0</v>
      </c>
      <c r="E19" s="17">
        <v>0</v>
      </c>
      <c r="F19" s="17">
        <v>0</v>
      </c>
      <c r="G19" s="15">
        <f t="shared" si="2"/>
        <v>0</v>
      </c>
      <c r="H19" s="18">
        <f t="shared" si="3"/>
        <v>0</v>
      </c>
    </row>
    <row r="20" spans="1:8">
      <c r="A20" s="15">
        <v>12</v>
      </c>
      <c r="B20" s="65">
        <v>18.333333333333332</v>
      </c>
      <c r="C20" s="15">
        <v>2</v>
      </c>
      <c r="D20" s="17">
        <v>0</v>
      </c>
      <c r="E20" s="17">
        <v>0</v>
      </c>
      <c r="F20" s="17">
        <v>0</v>
      </c>
      <c r="G20" s="15">
        <f t="shared" si="2"/>
        <v>0</v>
      </c>
      <c r="H20" s="18">
        <f t="shared" si="3"/>
        <v>0</v>
      </c>
    </row>
    <row r="21" spans="1:8">
      <c r="A21" s="15">
        <v>13</v>
      </c>
      <c r="B21" s="65">
        <v>24</v>
      </c>
      <c r="C21" s="15">
        <v>2</v>
      </c>
      <c r="D21" s="17">
        <v>0</v>
      </c>
      <c r="E21" s="17">
        <v>0</v>
      </c>
      <c r="F21" s="17">
        <v>0</v>
      </c>
      <c r="G21" s="15">
        <f t="shared" si="2"/>
        <v>0</v>
      </c>
      <c r="H21" s="18">
        <f t="shared" si="3"/>
        <v>0</v>
      </c>
    </row>
    <row r="22" spans="1:8">
      <c r="A22" s="15">
        <v>14</v>
      </c>
      <c r="B22" s="65">
        <v>30</v>
      </c>
      <c r="C22" s="15">
        <v>2</v>
      </c>
      <c r="D22" s="17">
        <v>0</v>
      </c>
      <c r="E22" s="17">
        <v>0</v>
      </c>
      <c r="F22" s="17">
        <v>0</v>
      </c>
      <c r="G22" s="15">
        <f t="shared" si="2"/>
        <v>0</v>
      </c>
      <c r="H22" s="18">
        <f t="shared" si="3"/>
        <v>0</v>
      </c>
    </row>
    <row r="23" spans="1:8">
      <c r="A23" s="15">
        <v>15</v>
      </c>
      <c r="B23" s="65">
        <v>48</v>
      </c>
      <c r="C23" s="15">
        <v>2</v>
      </c>
      <c r="D23" s="17">
        <v>0</v>
      </c>
      <c r="E23" s="17">
        <v>0</v>
      </c>
      <c r="F23" s="17">
        <v>0</v>
      </c>
      <c r="G23" s="15">
        <f t="shared" si="2"/>
        <v>0</v>
      </c>
      <c r="H23" s="18">
        <f t="shared" si="3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29"/>
  <sheetViews>
    <sheetView workbookViewId="0">
      <selection activeCell="F15" sqref="F15"/>
    </sheetView>
  </sheetViews>
  <sheetFormatPr baseColWidth="10" defaultColWidth="8.83203125" defaultRowHeight="14" x14ac:dyDescent="0"/>
  <cols>
    <col min="1" max="1" width="23.6640625" bestFit="1" customWidth="1"/>
    <col min="3" max="3" width="9.1640625" bestFit="1" customWidth="1"/>
    <col min="4" max="4" width="10.1640625" bestFit="1" customWidth="1"/>
  </cols>
  <sheetData>
    <row r="1" spans="1:4">
      <c r="B1" s="29" t="s">
        <v>77</v>
      </c>
      <c r="C1" s="29" t="s">
        <v>78</v>
      </c>
    </row>
    <row r="2" spans="1:4">
      <c r="A2" s="29" t="s">
        <v>152</v>
      </c>
      <c r="B2" s="30">
        <f>Metabolites!H4-Metabolites!H19</f>
        <v>80.788445297371013</v>
      </c>
      <c r="C2" s="30">
        <f>Metabolites!I4+Metabolites!I19</f>
        <v>0.12185645551706649</v>
      </c>
    </row>
    <row r="3" spans="1:4">
      <c r="A3" s="29" t="s">
        <v>109</v>
      </c>
      <c r="B3" s="30">
        <f>Metabolites!P4-Metabolites!P19</f>
        <v>11.950806768096555</v>
      </c>
      <c r="C3" s="30">
        <f>Metabolites!Q4+Metabolites!Q19</f>
        <v>0.50316905902735054</v>
      </c>
    </row>
    <row r="4" spans="1:4">
      <c r="A4" s="29" t="s">
        <v>110</v>
      </c>
      <c r="B4" s="30">
        <f>Metabolites!T19-Metabolites!T4</f>
        <v>13.697803895092797</v>
      </c>
      <c r="C4" s="30">
        <f>Metabolites!U4+Metabolites!U19</f>
        <v>8.1530214083902472E-2</v>
      </c>
    </row>
    <row r="5" spans="1:4">
      <c r="A5" s="29" t="s">
        <v>111</v>
      </c>
      <c r="B5" s="30">
        <f>Metabolites!L19-Metabolites!L4</f>
        <v>11.587519847612471</v>
      </c>
      <c r="C5" s="30">
        <f>Metabolites!M19+Metabolites!M4</f>
        <v>0.10831216571605869</v>
      </c>
    </row>
    <row r="6" spans="1:4">
      <c r="A6" s="29" t="s">
        <v>112</v>
      </c>
      <c r="B6" s="30">
        <f>Metabolites!L39-Metabolites!L24</f>
        <v>77.286567964446832</v>
      </c>
      <c r="C6" s="30">
        <f>Metabolites!M39+Metabolites!M24</f>
        <v>0.53672756022609014</v>
      </c>
    </row>
    <row r="7" spans="1:4">
      <c r="A7" s="29" t="s">
        <v>79</v>
      </c>
      <c r="B7" s="30">
        <f>'H2'!G203</f>
        <v>166.31176690798117</v>
      </c>
    </row>
    <row r="8" spans="1:4">
      <c r="A8" s="29" t="s">
        <v>80</v>
      </c>
      <c r="B8" s="30">
        <f>'CO2'!G201</f>
        <v>98.860741966420392</v>
      </c>
    </row>
    <row r="9" spans="1:4">
      <c r="A9" s="29" t="s">
        <v>114</v>
      </c>
      <c r="B9">
        <f xml:space="preserve"> Calculation!G19*1.5/1000</f>
        <v>0.1245</v>
      </c>
    </row>
    <row r="10" spans="1:4" ht="16">
      <c r="A10" s="29" t="s">
        <v>115</v>
      </c>
      <c r="B10">
        <f>Calculation!H19*1.5/1000</f>
        <v>1.2E-2</v>
      </c>
    </row>
    <row r="12" spans="1:4">
      <c r="A12" s="29" t="s">
        <v>81</v>
      </c>
      <c r="B12">
        <f>((4*$B$6)+(3*$B$5)+($B$4)+(B8))/((6*$B$2)+(2*$B$3))</f>
        <v>0.89744082402197634</v>
      </c>
    </row>
    <row r="13" spans="1:4">
      <c r="A13" s="29" t="s">
        <v>113</v>
      </c>
      <c r="B13">
        <f>((8*$B$6)+(6*$B$5)+(2*$B$4)+(2*$B$7))/((12*$B$2)+(4*$B$3) +(1*B9)+(3*B10))</f>
        <v>1.0298908830184457</v>
      </c>
    </row>
    <row r="15" spans="1:4">
      <c r="C15" t="s">
        <v>130</v>
      </c>
      <c r="D15" t="s">
        <v>131</v>
      </c>
    </row>
    <row r="16" spans="1:4">
      <c r="A16" t="s">
        <v>153</v>
      </c>
      <c r="B16" t="s">
        <v>117</v>
      </c>
      <c r="C16" s="30">
        <f>B2</f>
        <v>80.788445297371013</v>
      </c>
      <c r="D16" s="30">
        <f>B2</f>
        <v>80.788445297371013</v>
      </c>
    </row>
    <row r="17" spans="1:4">
      <c r="A17" t="s">
        <v>118</v>
      </c>
      <c r="B17" t="s">
        <v>119</v>
      </c>
      <c r="C17" s="30">
        <f>2*C16</f>
        <v>161.57689059474203</v>
      </c>
      <c r="D17" s="30">
        <f>2*B2</f>
        <v>161.57689059474203</v>
      </c>
    </row>
    <row r="18" spans="1:4">
      <c r="A18" t="s">
        <v>120</v>
      </c>
      <c r="B18" t="s">
        <v>121</v>
      </c>
      <c r="C18" s="30">
        <f>B5</f>
        <v>11.587519847612471</v>
      </c>
      <c r="D18" s="30">
        <f>B5</f>
        <v>11.587519847612471</v>
      </c>
    </row>
    <row r="19" spans="1:4">
      <c r="A19" t="s">
        <v>134</v>
      </c>
      <c r="B19" t="s">
        <v>133</v>
      </c>
      <c r="C19" s="30">
        <f>B4</f>
        <v>13.697803895092797</v>
      </c>
      <c r="D19" s="30">
        <f>B4</f>
        <v>13.697803895092797</v>
      </c>
    </row>
    <row r="20" spans="1:4">
      <c r="A20" t="s">
        <v>122</v>
      </c>
      <c r="B20" t="s">
        <v>123</v>
      </c>
      <c r="C20" s="61">
        <f>C17-C18</f>
        <v>149.98937074712956</v>
      </c>
      <c r="D20" s="61">
        <f>B8</f>
        <v>98.860741966420392</v>
      </c>
    </row>
    <row r="21" spans="1:4">
      <c r="A21" t="s">
        <v>135</v>
      </c>
      <c r="B21" t="s">
        <v>136</v>
      </c>
      <c r="C21" s="116">
        <f>C20-C19</f>
        <v>136.29156685203677</v>
      </c>
      <c r="D21" s="116">
        <f>B8</f>
        <v>98.860741966420392</v>
      </c>
    </row>
    <row r="22" spans="1:4">
      <c r="A22" t="s">
        <v>124</v>
      </c>
      <c r="B22" t="s">
        <v>125</v>
      </c>
      <c r="C22" s="30">
        <f>B3</f>
        <v>11.950806768096555</v>
      </c>
      <c r="D22" s="30">
        <f>B3</f>
        <v>11.950806768096555</v>
      </c>
    </row>
    <row r="23" spans="1:4">
      <c r="A23" t="s">
        <v>157</v>
      </c>
      <c r="B23" t="s">
        <v>158</v>
      </c>
      <c r="C23" s="30">
        <f>C20+C22</f>
        <v>161.94017751522611</v>
      </c>
    </row>
    <row r="24" spans="1:4">
      <c r="A24" t="s">
        <v>159</v>
      </c>
      <c r="B24" t="s">
        <v>126</v>
      </c>
      <c r="C24" s="116">
        <f>C23/2</f>
        <v>80.970088757613055</v>
      </c>
      <c r="D24" s="116">
        <f>B6</f>
        <v>77.286567964446832</v>
      </c>
    </row>
    <row r="25" spans="1:4">
      <c r="A25" t="s">
        <v>127</v>
      </c>
      <c r="B25" t="s">
        <v>132</v>
      </c>
      <c r="C25" s="30">
        <f>C20-C22</f>
        <v>138.038563979033</v>
      </c>
      <c r="D25" s="30">
        <f>B7</f>
        <v>166.31176690798117</v>
      </c>
    </row>
    <row r="26" spans="1:4">
      <c r="A26" t="s">
        <v>155</v>
      </c>
      <c r="B26" t="s">
        <v>156</v>
      </c>
      <c r="C26" s="61">
        <f>C25-C19</f>
        <v>124.34076008394021</v>
      </c>
      <c r="D26" s="61">
        <f>D25+F25</f>
        <v>166.31176690798117</v>
      </c>
    </row>
    <row r="28" spans="1:4">
      <c r="A28" t="s">
        <v>128</v>
      </c>
    </row>
    <row r="29" spans="1:4">
      <c r="A29" t="s">
        <v>129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D3" sqref="D3:D19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15.83203125" style="2" customWidth="1"/>
    <col min="12" max="16384" width="8.83203125" style="2"/>
  </cols>
  <sheetData>
    <row r="1" spans="1:11">
      <c r="A1" s="92" t="s">
        <v>4</v>
      </c>
      <c r="B1" s="92" t="s">
        <v>103</v>
      </c>
      <c r="C1" s="92" t="s">
        <v>103</v>
      </c>
      <c r="D1" s="92" t="s">
        <v>5</v>
      </c>
      <c r="E1" s="4" t="s">
        <v>7</v>
      </c>
      <c r="F1" s="4" t="s">
        <v>9</v>
      </c>
      <c r="G1" s="94" t="s">
        <v>11</v>
      </c>
      <c r="H1" s="94" t="s">
        <v>12</v>
      </c>
      <c r="I1" s="4" t="s">
        <v>13</v>
      </c>
      <c r="J1" s="4" t="s">
        <v>16</v>
      </c>
      <c r="K1" s="4" t="s">
        <v>16</v>
      </c>
    </row>
    <row r="2" spans="1:11">
      <c r="A2" s="93"/>
      <c r="B2" s="93"/>
      <c r="C2" s="93"/>
      <c r="D2" s="93"/>
      <c r="E2" s="5" t="s">
        <v>8</v>
      </c>
      <c r="F2" s="5" t="s">
        <v>10</v>
      </c>
      <c r="G2" s="94"/>
      <c r="H2" s="94"/>
      <c r="I2" s="5" t="s">
        <v>14</v>
      </c>
      <c r="J2" s="5" t="s">
        <v>17</v>
      </c>
      <c r="K2" s="5" t="s">
        <v>160</v>
      </c>
    </row>
    <row r="3" spans="1:11">
      <c r="A3" s="32" t="s">
        <v>6</v>
      </c>
      <c r="B3" s="51">
        <v>-10</v>
      </c>
      <c r="C3" s="52">
        <v>-10</v>
      </c>
      <c r="D3" s="65">
        <f>C3/60</f>
        <v>-0.16666666666666666</v>
      </c>
      <c r="E3" s="3">
        <v>46</v>
      </c>
      <c r="F3" s="1">
        <f>E3</f>
        <v>46</v>
      </c>
      <c r="G3" s="1">
        <v>0</v>
      </c>
      <c r="H3" s="1">
        <v>0</v>
      </c>
      <c r="I3" s="1">
        <f>F21+G3+H3</f>
        <v>1500</v>
      </c>
      <c r="J3" s="12">
        <f>F3*1500/I3</f>
        <v>46</v>
      </c>
      <c r="K3" s="12">
        <f>F22-J3</f>
        <v>1529</v>
      </c>
    </row>
    <row r="4" spans="1:11">
      <c r="A4" s="1">
        <v>0</v>
      </c>
      <c r="B4" s="53">
        <v>10</v>
      </c>
      <c r="C4" s="54">
        <v>10</v>
      </c>
      <c r="D4" s="65">
        <f t="shared" ref="D4:D19" si="0">C4/60</f>
        <v>0.16666666666666666</v>
      </c>
      <c r="E4" s="1">
        <v>45</v>
      </c>
      <c r="F4" s="1">
        <f>E4+F3</f>
        <v>91</v>
      </c>
      <c r="G4" s="1">
        <v>1</v>
      </c>
      <c r="H4" s="1">
        <v>0</v>
      </c>
      <c r="I4" s="1">
        <f t="shared" ref="I4:I19" si="1">$F$22-F3+G4+H4</f>
        <v>1530</v>
      </c>
      <c r="J4" s="12">
        <f>E4*K3/I4</f>
        <v>44.970588235294116</v>
      </c>
      <c r="K4" s="12">
        <f>K3-J4</f>
        <v>1484.0294117647059</v>
      </c>
    </row>
    <row r="5" spans="1:11">
      <c r="A5" s="1">
        <v>1</v>
      </c>
      <c r="B5" s="53">
        <v>110</v>
      </c>
      <c r="C5" s="54">
        <f>C4+B5</f>
        <v>120</v>
      </c>
      <c r="D5" s="65">
        <f t="shared" si="0"/>
        <v>2</v>
      </c>
      <c r="E5" s="1">
        <v>44</v>
      </c>
      <c r="F5" s="38">
        <f t="shared" ref="F5:F18" si="2">E5+F4</f>
        <v>135</v>
      </c>
      <c r="G5" s="38">
        <v>1</v>
      </c>
      <c r="H5" s="1">
        <v>0</v>
      </c>
      <c r="I5" s="38">
        <f t="shared" si="1"/>
        <v>1485</v>
      </c>
      <c r="J5" s="12">
        <f>E5*K4/I5</f>
        <v>43.97124183006536</v>
      </c>
      <c r="K5" s="12">
        <f>K4-J5</f>
        <v>1440.0581699346405</v>
      </c>
    </row>
    <row r="6" spans="1:11">
      <c r="A6" s="1">
        <v>2</v>
      </c>
      <c r="B6" s="53">
        <v>80</v>
      </c>
      <c r="C6" s="54">
        <f t="shared" ref="C6:C18" si="3">C5+B6</f>
        <v>200</v>
      </c>
      <c r="D6" s="65">
        <f t="shared" si="0"/>
        <v>3.3333333333333335</v>
      </c>
      <c r="E6" s="1">
        <v>45</v>
      </c>
      <c r="F6" s="38">
        <f t="shared" si="2"/>
        <v>180</v>
      </c>
      <c r="G6" s="38">
        <v>2</v>
      </c>
      <c r="H6" s="22">
        <v>0</v>
      </c>
      <c r="I6" s="38">
        <f t="shared" si="1"/>
        <v>1442</v>
      </c>
      <c r="J6" s="12">
        <f t="shared" ref="J6:J19" si="4">E6*K5/I6</f>
        <v>44.939401974381987</v>
      </c>
      <c r="K6" s="12">
        <f>K5-J6</f>
        <v>1395.1187679602585</v>
      </c>
    </row>
    <row r="7" spans="1:11">
      <c r="A7" s="1">
        <v>3</v>
      </c>
      <c r="B7" s="53">
        <v>80</v>
      </c>
      <c r="C7" s="54">
        <f>C6+B7</f>
        <v>280</v>
      </c>
      <c r="D7" s="65">
        <f t="shared" si="0"/>
        <v>4.666666666666667</v>
      </c>
      <c r="E7" s="1">
        <v>50</v>
      </c>
      <c r="F7" s="38">
        <f t="shared" si="2"/>
        <v>230</v>
      </c>
      <c r="G7" s="38">
        <v>3</v>
      </c>
      <c r="H7" s="22">
        <v>0</v>
      </c>
      <c r="I7" s="38">
        <f t="shared" si="1"/>
        <v>1398</v>
      </c>
      <c r="J7" s="12">
        <f t="shared" si="4"/>
        <v>49.896951643786068</v>
      </c>
      <c r="K7" s="12">
        <f t="shared" ref="K7:K19" si="5">K6-J7</f>
        <v>1345.2218163164725</v>
      </c>
    </row>
    <row r="8" spans="1:11">
      <c r="A8" s="1">
        <v>4</v>
      </c>
      <c r="B8" s="53">
        <v>80</v>
      </c>
      <c r="C8" s="54">
        <f t="shared" si="3"/>
        <v>360</v>
      </c>
      <c r="D8" s="65">
        <f t="shared" si="0"/>
        <v>6</v>
      </c>
      <c r="E8" s="1">
        <v>46</v>
      </c>
      <c r="F8" s="38">
        <f t="shared" si="2"/>
        <v>276</v>
      </c>
      <c r="G8" s="38">
        <v>5</v>
      </c>
      <c r="H8" s="38">
        <v>0</v>
      </c>
      <c r="I8" s="38">
        <f t="shared" si="1"/>
        <v>1350</v>
      </c>
      <c r="J8" s="12">
        <f t="shared" si="4"/>
        <v>45.837187815227956</v>
      </c>
      <c r="K8" s="12">
        <f t="shared" si="5"/>
        <v>1299.3846285012446</v>
      </c>
    </row>
    <row r="9" spans="1:11">
      <c r="A9" s="1">
        <v>5</v>
      </c>
      <c r="B9" s="53">
        <v>80</v>
      </c>
      <c r="C9" s="54">
        <f t="shared" si="3"/>
        <v>440</v>
      </c>
      <c r="D9" s="65">
        <f t="shared" si="0"/>
        <v>7.333333333333333</v>
      </c>
      <c r="E9" s="1">
        <v>46</v>
      </c>
      <c r="F9" s="38">
        <f>E9+F8</f>
        <v>322</v>
      </c>
      <c r="G9" s="38">
        <v>8</v>
      </c>
      <c r="H9" s="38">
        <v>0</v>
      </c>
      <c r="I9" s="38">
        <f t="shared" si="1"/>
        <v>1307</v>
      </c>
      <c r="J9" s="12">
        <f t="shared" si="4"/>
        <v>45.73197621350976</v>
      </c>
      <c r="K9" s="12">
        <f>K8-J9</f>
        <v>1253.6526522877348</v>
      </c>
    </row>
    <row r="10" spans="1:11">
      <c r="A10" s="1">
        <v>6</v>
      </c>
      <c r="B10" s="53">
        <v>180</v>
      </c>
      <c r="C10" s="54">
        <f t="shared" si="3"/>
        <v>620</v>
      </c>
      <c r="D10" s="65">
        <f t="shared" si="0"/>
        <v>10.333333333333334</v>
      </c>
      <c r="E10" s="1">
        <v>46</v>
      </c>
      <c r="F10" s="38">
        <f t="shared" si="2"/>
        <v>368</v>
      </c>
      <c r="G10" s="38">
        <v>23</v>
      </c>
      <c r="H10" s="38">
        <v>0</v>
      </c>
      <c r="I10" s="38">
        <f t="shared" si="1"/>
        <v>1276</v>
      </c>
      <c r="J10" s="12">
        <f t="shared" si="4"/>
        <v>45.19437461225376</v>
      </c>
      <c r="K10" s="12">
        <f>K9-J10</f>
        <v>1208.458277675481</v>
      </c>
    </row>
    <row r="11" spans="1:11">
      <c r="A11" s="1">
        <v>7</v>
      </c>
      <c r="B11" s="53">
        <v>80</v>
      </c>
      <c r="C11" s="54">
        <f t="shared" si="3"/>
        <v>700</v>
      </c>
      <c r="D11" s="65">
        <f t="shared" si="0"/>
        <v>11.666666666666666</v>
      </c>
      <c r="E11" s="1">
        <v>44</v>
      </c>
      <c r="F11" s="38">
        <f t="shared" si="2"/>
        <v>412</v>
      </c>
      <c r="G11" s="38">
        <v>32</v>
      </c>
      <c r="H11" s="38">
        <v>0</v>
      </c>
      <c r="I11" s="38">
        <f t="shared" si="1"/>
        <v>1239</v>
      </c>
      <c r="J11" s="12">
        <f>E11*K10/I11</f>
        <v>42.915386777821759</v>
      </c>
      <c r="K11" s="12">
        <f t="shared" si="5"/>
        <v>1165.5428908976592</v>
      </c>
    </row>
    <row r="12" spans="1:11">
      <c r="A12" s="1">
        <v>8</v>
      </c>
      <c r="B12" s="53">
        <v>80</v>
      </c>
      <c r="C12" s="54">
        <f t="shared" si="3"/>
        <v>780</v>
      </c>
      <c r="D12" s="65">
        <f t="shared" si="0"/>
        <v>13</v>
      </c>
      <c r="E12" s="1">
        <v>47</v>
      </c>
      <c r="F12" s="38">
        <f t="shared" si="2"/>
        <v>459</v>
      </c>
      <c r="G12" s="38">
        <v>40</v>
      </c>
      <c r="H12" s="38">
        <v>0</v>
      </c>
      <c r="I12" s="38">
        <f t="shared" si="1"/>
        <v>1203</v>
      </c>
      <c r="J12" s="12">
        <f>E12*K11/I12</f>
        <v>45.536588422435557</v>
      </c>
      <c r="K12" s="12">
        <f t="shared" si="5"/>
        <v>1120.0063024752235</v>
      </c>
    </row>
    <row r="13" spans="1:11">
      <c r="A13" s="1">
        <v>9</v>
      </c>
      <c r="B13" s="53">
        <v>80</v>
      </c>
      <c r="C13" s="54">
        <f t="shared" si="3"/>
        <v>860</v>
      </c>
      <c r="D13" s="65">
        <f t="shared" si="0"/>
        <v>14.333333333333334</v>
      </c>
      <c r="E13" s="3">
        <v>54</v>
      </c>
      <c r="F13" s="38">
        <f t="shared" si="2"/>
        <v>513</v>
      </c>
      <c r="G13" s="38">
        <v>48</v>
      </c>
      <c r="H13" s="38">
        <v>0</v>
      </c>
      <c r="I13" s="38">
        <f t="shared" si="1"/>
        <v>1164</v>
      </c>
      <c r="J13" s="12">
        <f>E13*K12/I13</f>
        <v>51.959055269469133</v>
      </c>
      <c r="K13" s="12">
        <f t="shared" si="5"/>
        <v>1068.0472472057543</v>
      </c>
    </row>
    <row r="14" spans="1:11">
      <c r="A14" s="35">
        <v>10</v>
      </c>
      <c r="B14" s="53">
        <v>80</v>
      </c>
      <c r="C14" s="54">
        <f t="shared" si="3"/>
        <v>940</v>
      </c>
      <c r="D14" s="65">
        <f t="shared" si="0"/>
        <v>15.666666666666666</v>
      </c>
      <c r="E14" s="35">
        <v>48</v>
      </c>
      <c r="F14" s="38">
        <f t="shared" si="2"/>
        <v>561</v>
      </c>
      <c r="G14" s="38">
        <v>56</v>
      </c>
      <c r="H14" s="38">
        <v>0</v>
      </c>
      <c r="I14" s="38">
        <f t="shared" si="1"/>
        <v>1118</v>
      </c>
      <c r="J14" s="12">
        <f t="shared" si="4"/>
        <v>45.855337983789092</v>
      </c>
      <c r="K14" s="12">
        <f t="shared" si="5"/>
        <v>1022.1919092219651</v>
      </c>
    </row>
    <row r="15" spans="1:11">
      <c r="A15" s="35">
        <v>11</v>
      </c>
      <c r="B15" s="53">
        <v>80</v>
      </c>
      <c r="C15" s="54">
        <f t="shared" si="3"/>
        <v>1020</v>
      </c>
      <c r="D15" s="65">
        <f t="shared" si="0"/>
        <v>17</v>
      </c>
      <c r="E15" s="35">
        <v>42</v>
      </c>
      <c r="F15" s="38">
        <f t="shared" si="2"/>
        <v>603</v>
      </c>
      <c r="G15" s="38">
        <v>64</v>
      </c>
      <c r="H15" s="38">
        <v>0</v>
      </c>
      <c r="I15" s="38">
        <f t="shared" si="1"/>
        <v>1078</v>
      </c>
      <c r="J15" s="12">
        <f t="shared" si="4"/>
        <v>39.825658800855784</v>
      </c>
      <c r="K15" s="12">
        <f t="shared" si="5"/>
        <v>982.36625042110938</v>
      </c>
    </row>
    <row r="16" spans="1:11">
      <c r="A16" s="35">
        <v>12</v>
      </c>
      <c r="B16" s="53">
        <v>80</v>
      </c>
      <c r="C16" s="54">
        <f t="shared" si="3"/>
        <v>1100</v>
      </c>
      <c r="D16" s="65">
        <f t="shared" si="0"/>
        <v>18.333333333333332</v>
      </c>
      <c r="E16" s="35">
        <v>49</v>
      </c>
      <c r="F16" s="38">
        <f t="shared" si="2"/>
        <v>652</v>
      </c>
      <c r="G16" s="38">
        <v>71</v>
      </c>
      <c r="H16" s="38">
        <v>0</v>
      </c>
      <c r="I16" s="38">
        <f t="shared" si="1"/>
        <v>1043</v>
      </c>
      <c r="J16" s="12">
        <f t="shared" si="4"/>
        <v>46.151434583542056</v>
      </c>
      <c r="K16" s="12">
        <f t="shared" si="5"/>
        <v>936.21481583756736</v>
      </c>
    </row>
    <row r="17" spans="1:11">
      <c r="A17" s="35">
        <v>13</v>
      </c>
      <c r="B17" s="53">
        <v>340</v>
      </c>
      <c r="C17" s="54">
        <f t="shared" si="3"/>
        <v>1440</v>
      </c>
      <c r="D17" s="65">
        <f t="shared" si="0"/>
        <v>24</v>
      </c>
      <c r="E17" s="35">
        <v>58</v>
      </c>
      <c r="F17" s="38">
        <f t="shared" si="2"/>
        <v>710</v>
      </c>
      <c r="G17" s="38">
        <v>83</v>
      </c>
      <c r="H17" s="38">
        <v>5</v>
      </c>
      <c r="I17" s="38">
        <f t="shared" si="1"/>
        <v>1011</v>
      </c>
      <c r="J17" s="12">
        <f t="shared" si="4"/>
        <v>53.709653134103768</v>
      </c>
      <c r="K17" s="12">
        <f t="shared" si="5"/>
        <v>882.50516270346361</v>
      </c>
    </row>
    <row r="18" spans="1:11">
      <c r="A18" s="35">
        <v>14</v>
      </c>
      <c r="B18" s="53">
        <v>360</v>
      </c>
      <c r="C18" s="54">
        <f t="shared" si="3"/>
        <v>1800</v>
      </c>
      <c r="D18" s="65">
        <f t="shared" si="0"/>
        <v>30</v>
      </c>
      <c r="E18" s="2">
        <v>56</v>
      </c>
      <c r="F18" s="38">
        <f t="shared" si="2"/>
        <v>766</v>
      </c>
      <c r="G18" s="38">
        <v>83</v>
      </c>
      <c r="H18" s="38">
        <v>7</v>
      </c>
      <c r="I18" s="38">
        <f t="shared" si="1"/>
        <v>955</v>
      </c>
      <c r="J18" s="12">
        <f t="shared" si="4"/>
        <v>51.74899383392038</v>
      </c>
      <c r="K18" s="12">
        <f>K17-J18</f>
        <v>830.75616886954322</v>
      </c>
    </row>
    <row r="19" spans="1:11">
      <c r="A19" s="35">
        <v>15</v>
      </c>
      <c r="B19" s="53">
        <v>1080</v>
      </c>
      <c r="C19" s="54">
        <f>C18+B19</f>
        <v>2880</v>
      </c>
      <c r="D19" s="65">
        <f t="shared" si="0"/>
        <v>48</v>
      </c>
      <c r="E19" s="35">
        <v>56</v>
      </c>
      <c r="F19" s="38">
        <f>E19+F18</f>
        <v>822</v>
      </c>
      <c r="G19" s="38">
        <v>83</v>
      </c>
      <c r="H19" s="38">
        <v>8</v>
      </c>
      <c r="I19" s="38">
        <f t="shared" si="1"/>
        <v>900</v>
      </c>
      <c r="J19" s="12">
        <f t="shared" si="4"/>
        <v>51.691494951882689</v>
      </c>
      <c r="K19" s="12">
        <f t="shared" si="5"/>
        <v>779.06467391766057</v>
      </c>
    </row>
    <row r="21" spans="1:11">
      <c r="A21" s="95" t="s">
        <v>15</v>
      </c>
      <c r="B21" s="86"/>
      <c r="C21" s="86"/>
      <c r="D21" s="86"/>
      <c r="E21" s="96"/>
      <c r="F21" s="1">
        <v>1500</v>
      </c>
    </row>
    <row r="22" spans="1:11">
      <c r="A22" s="89" t="s">
        <v>161</v>
      </c>
      <c r="B22" s="90"/>
      <c r="C22" s="90"/>
      <c r="D22" s="90"/>
      <c r="E22" s="91"/>
      <c r="F22" s="52">
        <v>1575</v>
      </c>
    </row>
  </sheetData>
  <mergeCells count="8">
    <mergeCell ref="A22:E22"/>
    <mergeCell ref="A1:A2"/>
    <mergeCell ref="D1:D2"/>
    <mergeCell ref="G1:G2"/>
    <mergeCell ref="H1:H2"/>
    <mergeCell ref="A21:E21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D11" sqref="D11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92" t="s">
        <v>4</v>
      </c>
      <c r="B1" s="92" t="s">
        <v>103</v>
      </c>
      <c r="C1" s="92" t="s">
        <v>103</v>
      </c>
      <c r="D1" s="92" t="s">
        <v>5</v>
      </c>
      <c r="E1" s="88" t="s">
        <v>18</v>
      </c>
      <c r="F1" s="88"/>
      <c r="G1" s="88"/>
      <c r="H1" s="88"/>
      <c r="I1" s="88" t="s">
        <v>20</v>
      </c>
      <c r="J1" s="88"/>
      <c r="K1" s="88"/>
      <c r="L1" s="88"/>
      <c r="M1" s="88" t="s">
        <v>21</v>
      </c>
      <c r="N1" s="88"/>
      <c r="O1" s="88"/>
      <c r="P1" s="88"/>
      <c r="Q1" s="36" t="s">
        <v>22</v>
      </c>
      <c r="R1" s="36" t="s">
        <v>22</v>
      </c>
      <c r="S1" s="36" t="s">
        <v>22</v>
      </c>
    </row>
    <row r="2" spans="1:19">
      <c r="A2" s="93"/>
      <c r="B2" s="93"/>
      <c r="C2" s="93"/>
      <c r="D2" s="93"/>
      <c r="E2" s="39" t="s">
        <v>19</v>
      </c>
      <c r="F2" s="39" t="s">
        <v>67</v>
      </c>
      <c r="G2" s="39" t="s">
        <v>104</v>
      </c>
      <c r="H2" s="39" t="s">
        <v>69</v>
      </c>
      <c r="I2" s="39" t="s">
        <v>19</v>
      </c>
      <c r="J2" s="39" t="s">
        <v>67</v>
      </c>
      <c r="K2" s="39" t="s">
        <v>68</v>
      </c>
      <c r="L2" s="39" t="s">
        <v>69</v>
      </c>
      <c r="M2" s="39" t="s">
        <v>19</v>
      </c>
      <c r="N2" s="39" t="s">
        <v>67</v>
      </c>
      <c r="O2" s="39" t="s">
        <v>68</v>
      </c>
      <c r="P2" s="39" t="s">
        <v>70</v>
      </c>
      <c r="Q2" s="37" t="s">
        <v>69</v>
      </c>
      <c r="R2" s="37" t="s">
        <v>23</v>
      </c>
      <c r="S2" s="37" t="s">
        <v>71</v>
      </c>
    </row>
    <row r="3" spans="1:19" s="6" customFormat="1">
      <c r="A3" s="38" t="s">
        <v>6</v>
      </c>
      <c r="B3" s="51">
        <v>-10</v>
      </c>
      <c r="C3" s="52">
        <v>-10</v>
      </c>
      <c r="D3" s="65">
        <f>C3/60</f>
        <v>-0.16666666666666666</v>
      </c>
      <c r="Q3" s="97"/>
      <c r="R3" s="98"/>
      <c r="S3" s="99"/>
    </row>
    <row r="4" spans="1:19">
      <c r="A4" s="38">
        <v>0</v>
      </c>
      <c r="B4" s="53">
        <v>10</v>
      </c>
      <c r="C4" s="54">
        <v>10</v>
      </c>
      <c r="D4" s="65">
        <f t="shared" ref="D4:D19" si="0">C4/60</f>
        <v>0.16666666666666666</v>
      </c>
      <c r="Q4" s="44" t="e">
        <f>AVERAGE('Flow cytometer'!P4,'Flow cytometer'!L4,'Flow cytometer'!H4)*Calculation!K4/Calculation!M3</f>
        <v>#DIV/0!</v>
      </c>
      <c r="R4" s="44" t="e">
        <f>STDEV('Flow cytometer'!P4,'Flow cytometer'!L4,'Flow cytometer'!H4)*Calculation!K4/Calculation!M3</f>
        <v>#DIV/0!</v>
      </c>
      <c r="S4" s="45" t="e">
        <f t="shared" ref="S4:S19" si="1">LOG(Q4)</f>
        <v>#DIV/0!</v>
      </c>
    </row>
    <row r="5" spans="1:19">
      <c r="A5" s="38">
        <v>1</v>
      </c>
      <c r="B5" s="53">
        <v>110</v>
      </c>
      <c r="C5" s="54">
        <f>C4+B5</f>
        <v>120</v>
      </c>
      <c r="D5" s="65">
        <f t="shared" si="0"/>
        <v>2</v>
      </c>
      <c r="Q5" s="44" t="e">
        <f>AVERAGE('Flow cytometer'!P5,'Flow cytometer'!L5,'Flow cytometer'!H5)*Calculation!K5/Calculation!M4</f>
        <v>#DIV/0!</v>
      </c>
      <c r="R5" s="44" t="e">
        <f>STDEV('Flow cytometer'!P5,'Flow cytometer'!L5,'Flow cytometer'!H5)*Calculation!K5/Calculation!M4</f>
        <v>#DIV/0!</v>
      </c>
      <c r="S5" s="45" t="e">
        <f t="shared" si="1"/>
        <v>#DIV/0!</v>
      </c>
    </row>
    <row r="6" spans="1:19">
      <c r="A6" s="38">
        <v>2</v>
      </c>
      <c r="B6" s="53">
        <v>80</v>
      </c>
      <c r="C6" s="54">
        <f t="shared" ref="C6:C18" si="2">C5+B6</f>
        <v>200</v>
      </c>
      <c r="D6" s="65">
        <f t="shared" si="0"/>
        <v>3.3333333333333335</v>
      </c>
      <c r="Q6" s="44" t="e">
        <f>AVERAGE('Flow cytometer'!P6,'Flow cytometer'!L6,'Flow cytometer'!H6)*Calculation!K6/Calculation!M5</f>
        <v>#DIV/0!</v>
      </c>
      <c r="R6" s="44" t="e">
        <f>STDEV('Flow cytometer'!P6,'Flow cytometer'!L6,'Flow cytometer'!H6)*Calculation!K6/Calculation!M5</f>
        <v>#DIV/0!</v>
      </c>
      <c r="S6" s="45" t="e">
        <f t="shared" si="1"/>
        <v>#DIV/0!</v>
      </c>
    </row>
    <row r="7" spans="1:19">
      <c r="A7" s="38">
        <v>3</v>
      </c>
      <c r="B7" s="53">
        <v>80</v>
      </c>
      <c r="C7" s="54">
        <f>C6+B7</f>
        <v>280</v>
      </c>
      <c r="D7" s="65">
        <f t="shared" si="0"/>
        <v>4.666666666666667</v>
      </c>
      <c r="Q7" s="44" t="e">
        <f>AVERAGE('Flow cytometer'!P7,'Flow cytometer'!L7,'Flow cytometer'!H7)*Calculation!K7/Calculation!M6</f>
        <v>#DIV/0!</v>
      </c>
      <c r="R7" s="44" t="e">
        <f>STDEV('Flow cytometer'!P7,'Flow cytometer'!L7,'Flow cytometer'!H7)*Calculation!K7/Calculation!M6</f>
        <v>#DIV/0!</v>
      </c>
      <c r="S7" s="45" t="e">
        <f t="shared" si="1"/>
        <v>#DIV/0!</v>
      </c>
    </row>
    <row r="8" spans="1:19">
      <c r="A8" s="38">
        <v>4</v>
      </c>
      <c r="B8" s="53">
        <v>80</v>
      </c>
      <c r="C8" s="54">
        <f t="shared" si="2"/>
        <v>360</v>
      </c>
      <c r="D8" s="65">
        <f t="shared" si="0"/>
        <v>6</v>
      </c>
      <c r="Q8" s="44" t="e">
        <f>AVERAGE('Flow cytometer'!P8,'Flow cytometer'!L8,'Flow cytometer'!H8)*Calculation!K8/Calculation!M7</f>
        <v>#DIV/0!</v>
      </c>
      <c r="R8" s="44" t="e">
        <f>STDEV('Flow cytometer'!P8,'Flow cytometer'!L8,'Flow cytometer'!H8)*Calculation!K8/Calculation!M7</f>
        <v>#DIV/0!</v>
      </c>
      <c r="S8" s="45" t="e">
        <f t="shared" si="1"/>
        <v>#DIV/0!</v>
      </c>
    </row>
    <row r="9" spans="1:19">
      <c r="A9" s="38">
        <v>5</v>
      </c>
      <c r="B9" s="53">
        <v>80</v>
      </c>
      <c r="C9" s="54">
        <f t="shared" si="2"/>
        <v>440</v>
      </c>
      <c r="D9" s="65">
        <f t="shared" si="0"/>
        <v>7.333333333333333</v>
      </c>
      <c r="Q9" s="44" t="e">
        <f>AVERAGE('Flow cytometer'!P9,'Flow cytometer'!L9,'Flow cytometer'!H9)*Calculation!K9/Calculation!M8</f>
        <v>#DIV/0!</v>
      </c>
      <c r="R9" s="44" t="e">
        <f>STDEV('Flow cytometer'!P9,'Flow cytometer'!L9,'Flow cytometer'!H9)*Calculation!K9/Calculation!M8</f>
        <v>#DIV/0!</v>
      </c>
      <c r="S9" s="45" t="e">
        <f t="shared" si="1"/>
        <v>#DIV/0!</v>
      </c>
    </row>
    <row r="10" spans="1:19">
      <c r="A10" s="38">
        <v>6</v>
      </c>
      <c r="B10" s="53">
        <v>180</v>
      </c>
      <c r="C10" s="54">
        <f t="shared" si="2"/>
        <v>620</v>
      </c>
      <c r="D10" s="65">
        <f t="shared" si="0"/>
        <v>10.333333333333334</v>
      </c>
      <c r="Q10" s="44" t="e">
        <f>AVERAGE('Flow cytometer'!P10,'Flow cytometer'!L10,'Flow cytometer'!H10)*Calculation!K10/Calculation!M9</f>
        <v>#DIV/0!</v>
      </c>
      <c r="R10" s="44" t="e">
        <f>STDEV('Flow cytometer'!P10,'Flow cytometer'!L10,'Flow cytometer'!H10)*Calculation!K10/Calculation!M9</f>
        <v>#DIV/0!</v>
      </c>
      <c r="S10" s="45" t="e">
        <f t="shared" si="1"/>
        <v>#DIV/0!</v>
      </c>
    </row>
    <row r="11" spans="1:19">
      <c r="A11" s="38">
        <v>7</v>
      </c>
      <c r="B11" s="53">
        <v>80</v>
      </c>
      <c r="C11" s="54">
        <f t="shared" si="2"/>
        <v>700</v>
      </c>
      <c r="D11" s="65">
        <f t="shared" si="0"/>
        <v>11.666666666666666</v>
      </c>
      <c r="Q11" s="44" t="e">
        <f>AVERAGE('Flow cytometer'!P11,'Flow cytometer'!L11,'Flow cytometer'!H11)*Calculation!K11/Calculation!M10</f>
        <v>#DIV/0!</v>
      </c>
      <c r="R11" s="44" t="e">
        <f>STDEV('Flow cytometer'!P11,'Flow cytometer'!L11,'Flow cytometer'!H11)*Calculation!K11/Calculation!M10</f>
        <v>#DIV/0!</v>
      </c>
      <c r="S11" s="45" t="e">
        <f t="shared" si="1"/>
        <v>#DIV/0!</v>
      </c>
    </row>
    <row r="12" spans="1:19">
      <c r="A12" s="38">
        <v>8</v>
      </c>
      <c r="B12" s="53">
        <v>80</v>
      </c>
      <c r="C12" s="54">
        <f t="shared" si="2"/>
        <v>780</v>
      </c>
      <c r="D12" s="65">
        <f t="shared" si="0"/>
        <v>13</v>
      </c>
      <c r="Q12" s="44" t="e">
        <f>AVERAGE('Flow cytometer'!P12,'Flow cytometer'!L12,'Flow cytometer'!H12)*Calculation!K12/Calculation!M11</f>
        <v>#DIV/0!</v>
      </c>
      <c r="R12" s="44" t="e">
        <f>STDEV('Flow cytometer'!P12,'Flow cytometer'!L12,'Flow cytometer'!H12)*Calculation!K12/Calculation!M11</f>
        <v>#DIV/0!</v>
      </c>
      <c r="S12" s="45" t="e">
        <f t="shared" si="1"/>
        <v>#DIV/0!</v>
      </c>
    </row>
    <row r="13" spans="1:19">
      <c r="A13" s="38">
        <v>9</v>
      </c>
      <c r="B13" s="53">
        <v>80</v>
      </c>
      <c r="C13" s="54">
        <f t="shared" si="2"/>
        <v>860</v>
      </c>
      <c r="D13" s="65">
        <f t="shared" si="0"/>
        <v>14.333333333333334</v>
      </c>
      <c r="Q13" s="44" t="e">
        <f>AVERAGE('Flow cytometer'!P13,'Flow cytometer'!L13,'Flow cytometer'!H13)*Calculation!K13/Calculation!M12</f>
        <v>#DIV/0!</v>
      </c>
      <c r="R13" s="44" t="e">
        <f>STDEV('Flow cytometer'!P13,'Flow cytometer'!L13,'Flow cytometer'!H13)*Calculation!K13/Calculation!M12</f>
        <v>#DIV/0!</v>
      </c>
      <c r="S13" s="45" t="e">
        <f t="shared" si="1"/>
        <v>#DIV/0!</v>
      </c>
    </row>
    <row r="14" spans="1:19">
      <c r="A14" s="38">
        <v>10</v>
      </c>
      <c r="B14" s="53">
        <v>80</v>
      </c>
      <c r="C14" s="54">
        <f t="shared" si="2"/>
        <v>940</v>
      </c>
      <c r="D14" s="65">
        <f t="shared" si="0"/>
        <v>15.666666666666666</v>
      </c>
      <c r="Q14" s="44" t="e">
        <f>AVERAGE('Flow cytometer'!P14,'Flow cytometer'!L14,'Flow cytometer'!H14)*Calculation!K14/Calculation!M13</f>
        <v>#DIV/0!</v>
      </c>
      <c r="R14" s="44" t="e">
        <f>STDEV('Flow cytometer'!P14,'Flow cytometer'!L14,'Flow cytometer'!H14)*Calculation!K14/Calculation!M13</f>
        <v>#DIV/0!</v>
      </c>
      <c r="S14" s="45" t="e">
        <f t="shared" si="1"/>
        <v>#DIV/0!</v>
      </c>
    </row>
    <row r="15" spans="1:19">
      <c r="A15" s="38">
        <v>11</v>
      </c>
      <c r="B15" s="53">
        <v>80</v>
      </c>
      <c r="C15" s="54">
        <f t="shared" si="2"/>
        <v>1020</v>
      </c>
      <c r="D15" s="65">
        <f t="shared" si="0"/>
        <v>17</v>
      </c>
      <c r="Q15" s="44" t="e">
        <f>AVERAGE('Flow cytometer'!P15,'Flow cytometer'!L15,'Flow cytometer'!H15)*Calculation!K15/Calculation!M14</f>
        <v>#DIV/0!</v>
      </c>
      <c r="R15" s="44" t="e">
        <f>STDEV('Flow cytometer'!P15,'Flow cytometer'!L15,'Flow cytometer'!H15)*Calculation!K15/Calculation!M14</f>
        <v>#DIV/0!</v>
      </c>
      <c r="S15" s="45" t="e">
        <f t="shared" si="1"/>
        <v>#DIV/0!</v>
      </c>
    </row>
    <row r="16" spans="1:19">
      <c r="A16" s="38">
        <v>12</v>
      </c>
      <c r="B16" s="53">
        <v>80</v>
      </c>
      <c r="C16" s="54">
        <f t="shared" si="2"/>
        <v>1100</v>
      </c>
      <c r="D16" s="65">
        <f t="shared" si="0"/>
        <v>18.333333333333332</v>
      </c>
      <c r="Q16" s="44" t="e">
        <f>AVERAGE('Flow cytometer'!P16,'Flow cytometer'!L16,'Flow cytometer'!H16)*Calculation!K16/Calculation!M15</f>
        <v>#DIV/0!</v>
      </c>
      <c r="R16" s="44" t="e">
        <f>STDEV('Flow cytometer'!P16,'Flow cytometer'!L16,'Flow cytometer'!H16)*Calculation!K16/Calculation!M15</f>
        <v>#DIV/0!</v>
      </c>
      <c r="S16" s="45" t="e">
        <f t="shared" si="1"/>
        <v>#DIV/0!</v>
      </c>
    </row>
    <row r="17" spans="1:19">
      <c r="A17" s="38">
        <v>13</v>
      </c>
      <c r="B17" s="53">
        <v>340</v>
      </c>
      <c r="C17" s="54">
        <f t="shared" si="2"/>
        <v>1440</v>
      </c>
      <c r="D17" s="65">
        <f t="shared" si="0"/>
        <v>24</v>
      </c>
      <c r="Q17" s="44" t="e">
        <f>AVERAGE('Flow cytometer'!P17,'Flow cytometer'!L17,'Flow cytometer'!H17)*Calculation!K17/Calculation!M16</f>
        <v>#DIV/0!</v>
      </c>
      <c r="R17" s="44" t="e">
        <f>STDEV('Flow cytometer'!P17,'Flow cytometer'!L17,'Flow cytometer'!H17)*Calculation!K17/Calculation!M16</f>
        <v>#DIV/0!</v>
      </c>
      <c r="S17" s="45" t="e">
        <f t="shared" si="1"/>
        <v>#DIV/0!</v>
      </c>
    </row>
    <row r="18" spans="1:19">
      <c r="A18" s="38">
        <v>14</v>
      </c>
      <c r="B18" s="53">
        <v>360</v>
      </c>
      <c r="C18" s="54">
        <f t="shared" si="2"/>
        <v>1800</v>
      </c>
      <c r="D18" s="65">
        <f t="shared" si="0"/>
        <v>30</v>
      </c>
      <c r="Q18" s="44" t="e">
        <f>AVERAGE('Flow cytometer'!P18,'Flow cytometer'!L18,'Flow cytometer'!H18)*Calculation!K18/Calculation!M17</f>
        <v>#DIV/0!</v>
      </c>
      <c r="R18" s="44" t="e">
        <f>STDEV('Flow cytometer'!P18,'Flow cytometer'!L18,'Flow cytometer'!H18)*Calculation!K18/Calculation!M17</f>
        <v>#DIV/0!</v>
      </c>
      <c r="S18" s="45" t="e">
        <f t="shared" si="1"/>
        <v>#DIV/0!</v>
      </c>
    </row>
    <row r="19" spans="1:19">
      <c r="A19" s="38">
        <v>15</v>
      </c>
      <c r="B19" s="53">
        <v>1080</v>
      </c>
      <c r="C19" s="54">
        <f>C18+B19</f>
        <v>2880</v>
      </c>
      <c r="D19" s="65">
        <f t="shared" si="0"/>
        <v>48</v>
      </c>
      <c r="Q19" s="44" t="e">
        <f>AVERAGE('Flow cytometer'!P19,'Flow cytometer'!L19,'Flow cytometer'!H19)*Calculation!K19/Calculation!M18</f>
        <v>#DIV/0!</v>
      </c>
      <c r="R19" s="44" t="e">
        <f>STDEV('Flow cytometer'!P19,'Flow cytometer'!L19,'Flow cytometer'!H19)*Calculation!K19/Calculation!M18</f>
        <v>#DIV/0!</v>
      </c>
      <c r="S19" s="45" t="e">
        <f t="shared" si="1"/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78"/>
  <sheetViews>
    <sheetView topLeftCell="H1" workbookViewId="0">
      <selection activeCell="X20" sqref="X20"/>
    </sheetView>
  </sheetViews>
  <sheetFormatPr baseColWidth="10" defaultColWidth="8.83203125" defaultRowHeight="14" x14ac:dyDescent="0"/>
  <cols>
    <col min="19" max="20" width="14.83203125" bestFit="1" customWidth="1"/>
  </cols>
  <sheetData>
    <row r="1" spans="1:24">
      <c r="A1" s="92" t="s">
        <v>4</v>
      </c>
      <c r="B1" s="92" t="s">
        <v>103</v>
      </c>
      <c r="C1" s="92" t="s">
        <v>103</v>
      </c>
      <c r="D1" s="92" t="s">
        <v>5</v>
      </c>
      <c r="E1" s="94" t="s">
        <v>105</v>
      </c>
      <c r="F1" s="94"/>
      <c r="G1" s="94"/>
      <c r="H1" s="94"/>
      <c r="I1" s="94" t="s">
        <v>106</v>
      </c>
      <c r="J1" s="94"/>
      <c r="K1" s="94"/>
      <c r="L1" s="94"/>
      <c r="M1" s="94" t="s">
        <v>107</v>
      </c>
      <c r="N1" s="94"/>
      <c r="O1" s="94"/>
      <c r="P1" s="94"/>
      <c r="Q1" s="24" t="s">
        <v>108</v>
      </c>
      <c r="R1" s="24" t="s">
        <v>108</v>
      </c>
      <c r="S1" s="24" t="s">
        <v>108</v>
      </c>
      <c r="T1" s="58" t="s">
        <v>108</v>
      </c>
      <c r="U1" s="83" t="s">
        <v>105</v>
      </c>
      <c r="V1" s="83" t="s">
        <v>106</v>
      </c>
      <c r="W1" s="83" t="s">
        <v>107</v>
      </c>
      <c r="X1" s="83" t="s">
        <v>108</v>
      </c>
    </row>
    <row r="2" spans="1:24">
      <c r="A2" s="93"/>
      <c r="B2" s="93"/>
      <c r="C2" s="93"/>
      <c r="D2" s="93"/>
      <c r="E2" s="23" t="s">
        <v>19</v>
      </c>
      <c r="F2" s="23" t="s">
        <v>67</v>
      </c>
      <c r="G2" s="23" t="s">
        <v>68</v>
      </c>
      <c r="H2" s="23" t="s">
        <v>69</v>
      </c>
      <c r="I2" s="23" t="s">
        <v>19</v>
      </c>
      <c r="J2" s="23" t="s">
        <v>67</v>
      </c>
      <c r="K2" s="23" t="s">
        <v>68</v>
      </c>
      <c r="L2" s="23" t="s">
        <v>69</v>
      </c>
      <c r="M2" s="23" t="s">
        <v>19</v>
      </c>
      <c r="N2" s="23" t="s">
        <v>67</v>
      </c>
      <c r="O2" s="23" t="s">
        <v>68</v>
      </c>
      <c r="P2" s="23" t="s">
        <v>70</v>
      </c>
      <c r="Q2" s="25" t="s">
        <v>69</v>
      </c>
      <c r="R2" s="25" t="s">
        <v>23</v>
      </c>
      <c r="S2" s="25" t="s">
        <v>71</v>
      </c>
      <c r="T2" s="59" t="s">
        <v>137</v>
      </c>
      <c r="U2" s="84" t="s">
        <v>167</v>
      </c>
      <c r="V2" s="84" t="s">
        <v>167</v>
      </c>
      <c r="W2" s="84" t="s">
        <v>167</v>
      </c>
      <c r="X2" s="84" t="s">
        <v>168</v>
      </c>
    </row>
    <row r="3" spans="1:24">
      <c r="A3" s="38" t="s">
        <v>6</v>
      </c>
      <c r="B3" s="51">
        <v>-10</v>
      </c>
      <c r="C3" s="52">
        <v>-10</v>
      </c>
      <c r="D3" s="65">
        <f>C3/60</f>
        <v>-0.16666666666666666</v>
      </c>
      <c r="E3" s="42" t="s">
        <v>90</v>
      </c>
      <c r="F3" s="42" t="s">
        <v>90</v>
      </c>
      <c r="G3" s="42" t="s">
        <v>90</v>
      </c>
      <c r="H3" s="43" t="s">
        <v>90</v>
      </c>
      <c r="I3" s="42" t="s">
        <v>90</v>
      </c>
      <c r="J3" s="42" t="s">
        <v>90</v>
      </c>
      <c r="K3" s="42" t="s">
        <v>90</v>
      </c>
      <c r="L3" s="43" t="s">
        <v>90</v>
      </c>
      <c r="M3" s="42" t="s">
        <v>90</v>
      </c>
      <c r="N3" s="42" t="s">
        <v>90</v>
      </c>
      <c r="O3" s="42" t="s">
        <v>90</v>
      </c>
      <c r="P3" s="43" t="s">
        <v>90</v>
      </c>
      <c r="Q3" s="100" t="s">
        <v>90</v>
      </c>
      <c r="R3" s="101"/>
      <c r="S3" s="102"/>
      <c r="T3" s="43" t="s">
        <v>90</v>
      </c>
      <c r="U3" s="43" t="s">
        <v>90</v>
      </c>
      <c r="V3" s="43" t="s">
        <v>90</v>
      </c>
      <c r="W3" s="43" t="s">
        <v>90</v>
      </c>
      <c r="X3" s="43" t="s">
        <v>90</v>
      </c>
    </row>
    <row r="4" spans="1:24">
      <c r="A4" s="38">
        <v>0</v>
      </c>
      <c r="B4" s="53">
        <v>10</v>
      </c>
      <c r="C4" s="54">
        <v>10</v>
      </c>
      <c r="D4" s="65">
        <f t="shared" ref="D4:D19" si="0">C4/60</f>
        <v>0.16666666666666666</v>
      </c>
      <c r="E4" s="31">
        <v>2</v>
      </c>
      <c r="F4" s="31">
        <v>9119</v>
      </c>
      <c r="G4" s="31">
        <v>7</v>
      </c>
      <c r="H4" s="43">
        <f>('Flow cytometer'!F4/'Flow cytometer'!G4)*POWER(10,'Flow cytometer'!E4+2)*10.2</f>
        <v>132876857.14285715</v>
      </c>
      <c r="I4" s="31">
        <v>2</v>
      </c>
      <c r="J4" s="31">
        <v>9123</v>
      </c>
      <c r="K4" s="31">
        <v>7</v>
      </c>
      <c r="L4" s="43">
        <f>('Flow cytometer'!J4/'Flow cytometer'!K4)*POWER(10,'Flow cytometer'!I4+2)*10.2</f>
        <v>132935142.85714284</v>
      </c>
      <c r="M4" s="31">
        <v>2</v>
      </c>
      <c r="N4" s="31">
        <v>9676</v>
      </c>
      <c r="O4" s="31">
        <v>7</v>
      </c>
      <c r="P4" s="43">
        <f>('Flow cytometer'!N4/'Flow cytometer'!O4)*POWER(10,'Flow cytometer'!M4+2)*10.2</f>
        <v>140993142.85714284</v>
      </c>
      <c r="Q4" s="46">
        <f>AVERAGE(H4,L4,P4)*Calculation!I4/Calculation!K3</f>
        <v>135690400.82219937</v>
      </c>
      <c r="R4" s="47">
        <f>STDEV(H4,L4,P4)*Calculation!I4/Calculation!K3</f>
        <v>4672258.8179799533</v>
      </c>
      <c r="S4" s="48">
        <f>LOG(Q4)</f>
        <v>8.132549125350188</v>
      </c>
      <c r="T4" s="48">
        <f>LN(Q4)</f>
        <v>18.725886384073107</v>
      </c>
      <c r="U4" s="48">
        <f>LOG(H4)</f>
        <v>8.1234493474561589</v>
      </c>
      <c r="V4" s="48">
        <f>LOG(L4)</f>
        <v>8.1236398066114557</v>
      </c>
      <c r="W4" s="48">
        <f>LOG(P4)</f>
        <v>8.1491979914375019</v>
      </c>
      <c r="X4" s="48">
        <f xml:space="preserve"> STDEV(U4:W4)*Calculation!I4/Calculation!K3</f>
        <v>1.482099878216089E-2</v>
      </c>
    </row>
    <row r="5" spans="1:24">
      <c r="A5" s="38">
        <v>1</v>
      </c>
      <c r="B5" s="53">
        <v>110</v>
      </c>
      <c r="C5" s="54">
        <f>C4+B5</f>
        <v>120</v>
      </c>
      <c r="D5" s="65">
        <f t="shared" si="0"/>
        <v>2</v>
      </c>
      <c r="E5" s="31">
        <v>2</v>
      </c>
      <c r="F5" s="31">
        <v>10488</v>
      </c>
      <c r="G5" s="31">
        <v>7</v>
      </c>
      <c r="H5" s="43">
        <f>('Flow cytometer'!F5/'Flow cytometer'!G5)*POWER(10,'Flow cytometer'!E5+2)*10.2</f>
        <v>152825142.85714284</v>
      </c>
      <c r="I5" s="31">
        <v>2</v>
      </c>
      <c r="J5" s="31">
        <v>10869</v>
      </c>
      <c r="K5" s="31">
        <v>7</v>
      </c>
      <c r="L5" s="43">
        <f>('Flow cytometer'!J5/'Flow cytometer'!K5)*POWER(10,'Flow cytometer'!I5+2)*10.2</f>
        <v>158376857.14285713</v>
      </c>
      <c r="M5" s="31">
        <v>2</v>
      </c>
      <c r="N5" s="31">
        <v>11327</v>
      </c>
      <c r="O5" s="31">
        <v>7</v>
      </c>
      <c r="P5" s="43">
        <f>('Flow cytometer'!N5/'Flow cytometer'!O5)*POWER(10,'Flow cytometer'!M5+2)*10.2</f>
        <v>165050571.4285714</v>
      </c>
      <c r="Q5" s="46">
        <f>AVERAGE(H5,L5,P5)*Calculation!I5/Calculation!K4</f>
        <v>158854683.73353267</v>
      </c>
      <c r="R5" s="47">
        <f>STDEV(H5,L5,P5)*Calculation!I5/Calculation!K4</f>
        <v>6125292.7793026073</v>
      </c>
      <c r="S5" s="48">
        <f t="shared" ref="S5:S19" si="1">LOG(Q5)</f>
        <v>8.2010000242600523</v>
      </c>
      <c r="T5" s="48">
        <f t="shared" ref="T5:T19" si="2">LN(Q5)</f>
        <v>18.883500403505003</v>
      </c>
      <c r="U5" s="48">
        <f t="shared" ref="U5:U19" si="3">LOG(H5)</f>
        <v>8.1841948104296893</v>
      </c>
      <c r="V5" s="48">
        <f t="shared" ref="V5:V19" si="4">LOG(L5)</f>
        <v>8.1996917205018605</v>
      </c>
      <c r="W5" s="48">
        <f t="shared" ref="W5:W19" si="5">LOG(P5)</f>
        <v>8.2176170322582465</v>
      </c>
      <c r="X5" s="48">
        <f xml:space="preserve"> STDEV(U5:W5)*Calculation!I5/Calculation!K4</f>
        <v>1.6736747129075458E-2</v>
      </c>
    </row>
    <row r="6" spans="1:24">
      <c r="A6" s="38">
        <v>2</v>
      </c>
      <c r="B6" s="53">
        <v>80</v>
      </c>
      <c r="C6" s="54">
        <f t="shared" ref="C6:C18" si="6">C5+B6</f>
        <v>200</v>
      </c>
      <c r="D6" s="65">
        <f t="shared" si="0"/>
        <v>3.3333333333333335</v>
      </c>
      <c r="E6" s="31">
        <v>2</v>
      </c>
      <c r="F6" s="31">
        <v>8707</v>
      </c>
      <c r="G6" s="31">
        <v>7</v>
      </c>
      <c r="H6" s="43">
        <f>('Flow cytometer'!F6/'Flow cytometer'!G6)*POWER(10,'Flow cytometer'!E6+2)*10.2</f>
        <v>126873428.57142857</v>
      </c>
      <c r="I6" s="31">
        <v>2</v>
      </c>
      <c r="J6" s="31">
        <v>9846</v>
      </c>
      <c r="K6" s="31">
        <v>7</v>
      </c>
      <c r="L6" s="43">
        <f>('Flow cytometer'!J6/'Flow cytometer'!K6)*POWER(10,'Flow cytometer'!I6+2)*10.2</f>
        <v>143470285.71428573</v>
      </c>
      <c r="M6" s="31">
        <v>2</v>
      </c>
      <c r="N6" s="31">
        <v>9505</v>
      </c>
      <c r="O6" s="31">
        <v>7</v>
      </c>
      <c r="P6" s="43">
        <f>('Flow cytometer'!N6/'Flow cytometer'!O6)*POWER(10,'Flow cytometer'!M6+2)*10.2</f>
        <v>138501428.57142857</v>
      </c>
      <c r="Q6" s="46">
        <f>AVERAGE(H6,L6,P6)*Calculation!I6/Calculation!K5</f>
        <v>136465481.81377929</v>
      </c>
      <c r="R6" s="47">
        <f>STDEV(H6,L6,P6)*Calculation!I6/Calculation!K5</f>
        <v>8529658.8884954061</v>
      </c>
      <c r="S6" s="48">
        <f t="shared" si="1"/>
        <v>8.1350228128889093</v>
      </c>
      <c r="T6" s="48">
        <f t="shared" si="2"/>
        <v>18.731582260124494</v>
      </c>
      <c r="U6" s="48">
        <f t="shared" si="3"/>
        <v>8.1033706762071702</v>
      </c>
      <c r="V6" s="48">
        <f t="shared" si="4"/>
        <v>8.1567619631843975</v>
      </c>
      <c r="W6" s="48">
        <f t="shared" si="5"/>
        <v>8.1414542529491225</v>
      </c>
      <c r="X6" s="48">
        <f xml:space="preserve"> STDEV(U6:W6)*Calculation!I6/Calculation!K5</f>
        <v>2.7530449105758935E-2</v>
      </c>
    </row>
    <row r="7" spans="1:24">
      <c r="A7" s="38">
        <v>3</v>
      </c>
      <c r="B7" s="53">
        <v>80</v>
      </c>
      <c r="C7" s="54">
        <f>C6+B7</f>
        <v>280</v>
      </c>
      <c r="D7" s="65">
        <f t="shared" si="0"/>
        <v>4.666666666666667</v>
      </c>
      <c r="E7" s="31">
        <v>2</v>
      </c>
      <c r="F7" s="31">
        <v>10670</v>
      </c>
      <c r="G7" s="31">
        <v>7</v>
      </c>
      <c r="H7" s="43">
        <f>('Flow cytometer'!F7/'Flow cytometer'!G7)*POWER(10,'Flow cytometer'!E7+2)*10.2</f>
        <v>155477142.85714284</v>
      </c>
      <c r="I7" s="31">
        <v>2</v>
      </c>
      <c r="J7" s="31">
        <v>10914</v>
      </c>
      <c r="K7" s="31">
        <v>7</v>
      </c>
      <c r="L7" s="43">
        <f>('Flow cytometer'!J7/'Flow cytometer'!K7)*POWER(10,'Flow cytometer'!I7+2)*10.2</f>
        <v>159032571.4285714</v>
      </c>
      <c r="M7" s="31">
        <v>2</v>
      </c>
      <c r="N7" s="31">
        <v>11612</v>
      </c>
      <c r="O7" s="31">
        <v>7</v>
      </c>
      <c r="P7" s="43">
        <f>('Flow cytometer'!N7/'Flow cytometer'!O7)*POWER(10,'Flow cytometer'!M7+2)*10.2</f>
        <v>169203428.57142857</v>
      </c>
      <c r="Q7" s="46">
        <f>AVERAGE(H7,L7,P7)*Calculation!I7/Calculation!K6</f>
        <v>161570706.1994378</v>
      </c>
      <c r="R7" s="47">
        <f>STDEV(H7,L7,P7)*Calculation!I7/Calculation!K6</f>
        <v>7138596.2646410195</v>
      </c>
      <c r="S7" s="48">
        <f t="shared" si="1"/>
        <v>8.2083626232135014</v>
      </c>
      <c r="T7" s="48">
        <f t="shared" si="2"/>
        <v>18.900453414100909</v>
      </c>
      <c r="U7" s="48">
        <f t="shared" si="3"/>
        <v>8.1916665511721298</v>
      </c>
      <c r="V7" s="48">
        <f t="shared" si="4"/>
        <v>8.2014860811947887</v>
      </c>
      <c r="W7" s="48">
        <f t="shared" si="5"/>
        <v>8.2284091589072972</v>
      </c>
      <c r="X7" s="48">
        <f xml:space="preserve"> STDEV(U7:W7)*Calculation!I7/Calculation!K6</f>
        <v>1.9062494521332622E-2</v>
      </c>
    </row>
    <row r="8" spans="1:24">
      <c r="A8" s="38">
        <v>4</v>
      </c>
      <c r="B8" s="53">
        <v>80</v>
      </c>
      <c r="C8" s="54">
        <f t="shared" si="6"/>
        <v>360</v>
      </c>
      <c r="D8" s="65">
        <f t="shared" si="0"/>
        <v>6</v>
      </c>
      <c r="E8" s="31">
        <v>2</v>
      </c>
      <c r="F8" s="31">
        <v>16178</v>
      </c>
      <c r="G8" s="31">
        <v>7</v>
      </c>
      <c r="H8" s="43">
        <f>('Flow cytometer'!F8/'Flow cytometer'!G8)*POWER(10,'Flow cytometer'!E8+2)*10.2</f>
        <v>235736571.42857143</v>
      </c>
      <c r="I8" s="31">
        <v>2</v>
      </c>
      <c r="J8" s="31">
        <v>17876</v>
      </c>
      <c r="K8" s="31">
        <v>7</v>
      </c>
      <c r="L8" s="43">
        <f>('Flow cytometer'!J8/'Flow cytometer'!K8)*POWER(10,'Flow cytometer'!I8+2)*10.2</f>
        <v>260478857.14285713</v>
      </c>
      <c r="M8" s="31">
        <v>2</v>
      </c>
      <c r="N8" s="31">
        <v>15776</v>
      </c>
      <c r="O8" s="31">
        <v>7</v>
      </c>
      <c r="P8" s="43">
        <f>('Flow cytometer'!N8/'Flow cytometer'!O8)*POWER(10,'Flow cytometer'!M8+2)*10.2</f>
        <v>229878857.14285713</v>
      </c>
      <c r="Q8" s="46">
        <f>AVERAGE(H8,L8,P8)*Calculation!I8/Calculation!K7</f>
        <v>242891116.25183469</v>
      </c>
      <c r="R8" s="47">
        <f>STDEV(H8,L8,P8)*Calculation!I8/Calculation!K7</f>
        <v>16299887.404568598</v>
      </c>
      <c r="S8" s="48">
        <f t="shared" si="1"/>
        <v>8.3854116307649402</v>
      </c>
      <c r="T8" s="48">
        <f t="shared" si="2"/>
        <v>19.308123819618242</v>
      </c>
      <c r="U8" s="48">
        <f t="shared" si="3"/>
        <v>8.3724269628279249</v>
      </c>
      <c r="V8" s="48">
        <f t="shared" si="4"/>
        <v>8.4157724777359828</v>
      </c>
      <c r="W8" s="48">
        <f t="shared" si="5"/>
        <v>8.3614990293447971</v>
      </c>
      <c r="X8" s="48">
        <f xml:space="preserve"> STDEV(U8:W8)*Calculation!I8/Calculation!K7</f>
        <v>2.8806954680863507E-2</v>
      </c>
    </row>
    <row r="9" spans="1:24">
      <c r="A9" s="38">
        <v>5</v>
      </c>
      <c r="B9" s="53">
        <v>80</v>
      </c>
      <c r="C9" s="54">
        <f t="shared" si="6"/>
        <v>440</v>
      </c>
      <c r="D9" s="65">
        <f t="shared" si="0"/>
        <v>7.333333333333333</v>
      </c>
      <c r="E9" s="31">
        <v>2</v>
      </c>
      <c r="F9" s="31">
        <v>40823</v>
      </c>
      <c r="G9" s="31">
        <v>7</v>
      </c>
      <c r="H9" s="43">
        <f>('Flow cytometer'!F9/'Flow cytometer'!G9)*POWER(10,'Flow cytometer'!E9+2)*10.2</f>
        <v>594849428.57142854</v>
      </c>
      <c r="I9" s="31">
        <v>2</v>
      </c>
      <c r="J9" s="31">
        <v>42543</v>
      </c>
      <c r="K9" s="31">
        <v>7</v>
      </c>
      <c r="L9" s="43">
        <f>('Flow cytometer'!J9/'Flow cytometer'!K9)*POWER(10,'Flow cytometer'!I9+2)*10.2</f>
        <v>619912285.71428561</v>
      </c>
      <c r="M9" s="31">
        <v>2</v>
      </c>
      <c r="N9" s="31">
        <v>40047</v>
      </c>
      <c r="O9" s="31">
        <v>7</v>
      </c>
      <c r="P9" s="43">
        <f>('Flow cytometer'!N9/'Flow cytometer'!O9)*POWER(10,'Flow cytometer'!M9+2)*10.2</f>
        <v>583542000</v>
      </c>
      <c r="Q9" s="46">
        <f>AVERAGE(H9,L9,P9)*Calculation!I9/Calculation!K8</f>
        <v>602947708.99422896</v>
      </c>
      <c r="R9" s="47">
        <f>STDEV(H9,L9,P9)*Calculation!I9/Calculation!K8</f>
        <v>18722715.828638602</v>
      </c>
      <c r="S9" s="48">
        <f t="shared" si="1"/>
        <v>8.780279649320935</v>
      </c>
      <c r="T9" s="48">
        <f t="shared" si="2"/>
        <v>20.217341032845372</v>
      </c>
      <c r="U9" s="48">
        <f t="shared" si="3"/>
        <v>8.774407048726717</v>
      </c>
      <c r="V9" s="48">
        <f t="shared" si="4"/>
        <v>8.7923302434899</v>
      </c>
      <c r="W9" s="48">
        <f t="shared" si="5"/>
        <v>8.7660721195275855</v>
      </c>
      <c r="X9" s="48">
        <f xml:space="preserve"> STDEV(U9:W9)*Calculation!I9/Calculation!K8</f>
        <v>1.3496294021600718E-2</v>
      </c>
    </row>
    <row r="10" spans="1:24">
      <c r="A10" s="38">
        <v>6</v>
      </c>
      <c r="B10" s="53">
        <v>180</v>
      </c>
      <c r="C10" s="54">
        <f t="shared" si="6"/>
        <v>620</v>
      </c>
      <c r="D10" s="65">
        <f t="shared" si="0"/>
        <v>10.333333333333334</v>
      </c>
      <c r="E10" s="31">
        <v>3</v>
      </c>
      <c r="F10" s="31">
        <v>16265</v>
      </c>
      <c r="G10" s="31">
        <v>7</v>
      </c>
      <c r="H10" s="43">
        <f>('Flow cytometer'!F10/'Flow cytometer'!G10)*POWER(10,'Flow cytometer'!E10+2)*10.2</f>
        <v>2370042857.1428566</v>
      </c>
      <c r="I10" s="31">
        <v>3</v>
      </c>
      <c r="J10" s="31">
        <v>17148</v>
      </c>
      <c r="K10" s="31">
        <v>7</v>
      </c>
      <c r="L10" s="43">
        <f>('Flow cytometer'!J10/'Flow cytometer'!K10)*POWER(10,'Flow cytometer'!I10+2)*10.2</f>
        <v>2498708571.4285712</v>
      </c>
      <c r="M10" s="31">
        <v>3</v>
      </c>
      <c r="N10" s="31">
        <v>17341</v>
      </c>
      <c r="O10" s="31">
        <v>7</v>
      </c>
      <c r="P10" s="43">
        <f>('Flow cytometer'!N10/'Flow cytometer'!O10)*POWER(10,'Flow cytometer'!M10+2)*10.2</f>
        <v>2526831428.5714283</v>
      </c>
      <c r="Q10" s="46">
        <f>AVERAGE(H10,L10,P10)*Calculation!I10/Calculation!K9</f>
        <v>2509138319.0002313</v>
      </c>
      <c r="R10" s="47">
        <f>STDEV(H10,L10,P10)*Calculation!I10/Calculation!K9</f>
        <v>85084815.155852646</v>
      </c>
      <c r="S10" s="48">
        <f t="shared" si="1"/>
        <v>9.399524602933889</v>
      </c>
      <c r="T10" s="48">
        <f t="shared" si="2"/>
        <v>21.643205231946347</v>
      </c>
      <c r="U10" s="48">
        <f t="shared" si="3"/>
        <v>9.3747561993655335</v>
      </c>
      <c r="V10" s="48">
        <f t="shared" si="4"/>
        <v>9.3977156065862566</v>
      </c>
      <c r="W10" s="48">
        <f t="shared" si="5"/>
        <v>9.4025762699835536</v>
      </c>
      <c r="X10" s="48">
        <f xml:space="preserve"> STDEV(U10:W10)*Calculation!I10/Calculation!K9</f>
        <v>1.5123744802234263E-2</v>
      </c>
    </row>
    <row r="11" spans="1:24">
      <c r="A11" s="38">
        <v>7</v>
      </c>
      <c r="B11" s="53">
        <v>80</v>
      </c>
      <c r="C11" s="54">
        <f t="shared" si="6"/>
        <v>700</v>
      </c>
      <c r="D11" s="65">
        <f t="shared" si="0"/>
        <v>11.666666666666666</v>
      </c>
      <c r="E11" s="31">
        <v>3</v>
      </c>
      <c r="F11" s="31">
        <v>17782</v>
      </c>
      <c r="G11" s="31">
        <v>7</v>
      </c>
      <c r="H11" s="43">
        <f>('Flow cytometer'!F11/'Flow cytometer'!G11)*POWER(10,'Flow cytometer'!E11+2)*10.2</f>
        <v>2591091428.5714283</v>
      </c>
      <c r="I11" s="31">
        <v>3</v>
      </c>
      <c r="J11" s="31">
        <v>20505</v>
      </c>
      <c r="K11" s="31">
        <v>7</v>
      </c>
      <c r="L11" s="43">
        <f>('Flow cytometer'!J11/'Flow cytometer'!K11)*POWER(10,'Flow cytometer'!I11+2)*10.2</f>
        <v>2987871428.5714283</v>
      </c>
      <c r="M11" s="31">
        <v>3</v>
      </c>
      <c r="N11" s="31">
        <v>22264</v>
      </c>
      <c r="O11" s="31">
        <v>7</v>
      </c>
      <c r="P11" s="43">
        <f>('Flow cytometer'!N11/'Flow cytometer'!O11)*POWER(10,'Flow cytometer'!M11+2)*10.2</f>
        <v>3244182857.1428571</v>
      </c>
      <c r="Q11" s="46">
        <f>AVERAGE(H11,L11,P11)*Calculation!I11/Calculation!K10</f>
        <v>3015378559.042439</v>
      </c>
      <c r="R11" s="47">
        <f>STDEV(H11,L11,P11)*Calculation!I11/Calculation!K10</f>
        <v>337370050.62068141</v>
      </c>
      <c r="S11" s="48">
        <f t="shared" si="1"/>
        <v>9.479341842440606</v>
      </c>
      <c r="T11" s="48">
        <f t="shared" si="2"/>
        <v>21.826991217798451</v>
      </c>
      <c r="U11" s="48">
        <f t="shared" si="3"/>
        <v>9.4134827376571906</v>
      </c>
      <c r="V11" s="48">
        <f t="shared" si="4"/>
        <v>9.4753619053711642</v>
      </c>
      <c r="W11" s="48">
        <f t="shared" si="5"/>
        <v>9.5111053250736468</v>
      </c>
      <c r="X11" s="48">
        <f xml:space="preserve"> STDEV(U11:W11)*Calculation!I11/Calculation!K10</f>
        <v>5.063921749360311E-2</v>
      </c>
    </row>
    <row r="12" spans="1:24">
      <c r="A12" s="38">
        <v>8</v>
      </c>
      <c r="B12" s="53">
        <v>80</v>
      </c>
      <c r="C12" s="54">
        <f t="shared" si="6"/>
        <v>780</v>
      </c>
      <c r="D12" s="65">
        <f t="shared" si="0"/>
        <v>13</v>
      </c>
      <c r="E12" s="31">
        <v>3</v>
      </c>
      <c r="F12" s="31">
        <v>27165</v>
      </c>
      <c r="G12" s="31">
        <v>7</v>
      </c>
      <c r="H12" s="43">
        <f>('Flow cytometer'!F12/'Flow cytometer'!G12)*POWER(10,'Flow cytometer'!E12+2)*10.2</f>
        <v>3958328571.4285712</v>
      </c>
      <c r="I12" s="31">
        <v>3</v>
      </c>
      <c r="J12" s="31">
        <v>27429</v>
      </c>
      <c r="K12" s="31">
        <v>7</v>
      </c>
      <c r="L12" s="43">
        <f>('Flow cytometer'!J12/'Flow cytometer'!K12)*POWER(10,'Flow cytometer'!I12+2)*10.2</f>
        <v>3996797142.8571424</v>
      </c>
      <c r="M12" s="31">
        <v>3</v>
      </c>
      <c r="N12" s="31">
        <v>26750</v>
      </c>
      <c r="O12" s="31">
        <v>7</v>
      </c>
      <c r="P12" s="43">
        <f>('Flow cytometer'!N12/'Flow cytometer'!O12)*POWER(10,'Flow cytometer'!M12+2)*10.2</f>
        <v>3897857142.8571424</v>
      </c>
      <c r="Q12" s="46">
        <f>AVERAGE(H12,L12,P12)*Calculation!I12/Calculation!K11</f>
        <v>4077967583.0321956</v>
      </c>
      <c r="R12" s="47">
        <f>STDEV(H12,L12,P12)*Calculation!I12/Calculation!K11</f>
        <v>51478964.041667901</v>
      </c>
      <c r="S12" s="48">
        <f t="shared" si="1"/>
        <v>9.6104437691208382</v>
      </c>
      <c r="T12" s="48">
        <f t="shared" si="2"/>
        <v>22.128864559835151</v>
      </c>
      <c r="U12" s="48">
        <f t="shared" si="3"/>
        <v>9.5975118411174005</v>
      </c>
      <c r="V12" s="48">
        <f t="shared" si="4"/>
        <v>9.6017121062352189</v>
      </c>
      <c r="W12" s="48">
        <f t="shared" si="5"/>
        <v>9.5908259181049083</v>
      </c>
      <c r="X12" s="48">
        <f xml:space="preserve"> STDEV(U12:W12)*Calculation!I12/Calculation!K11</f>
        <v>5.6666248737796288E-3</v>
      </c>
    </row>
    <row r="13" spans="1:24">
      <c r="A13" s="38">
        <v>9</v>
      </c>
      <c r="B13" s="53">
        <v>80</v>
      </c>
      <c r="C13" s="54">
        <f t="shared" si="6"/>
        <v>860</v>
      </c>
      <c r="D13" s="65">
        <f t="shared" si="0"/>
        <v>14.333333333333334</v>
      </c>
      <c r="E13" s="31">
        <v>3</v>
      </c>
      <c r="F13" s="31">
        <v>28318</v>
      </c>
      <c r="G13" s="31">
        <v>7</v>
      </c>
      <c r="H13" s="43">
        <f>('Flow cytometer'!F13/'Flow cytometer'!G13)*POWER(10,'Flow cytometer'!E13+2)*10.2</f>
        <v>4126337142.8571424</v>
      </c>
      <c r="I13" s="31">
        <v>3</v>
      </c>
      <c r="J13" s="31">
        <v>29655</v>
      </c>
      <c r="K13" s="31">
        <v>7</v>
      </c>
      <c r="L13" s="43">
        <f>('Flow cytometer'!J13/'Flow cytometer'!K13)*POWER(10,'Flow cytometer'!I13+2)*10.2</f>
        <v>4321157142.8571424</v>
      </c>
      <c r="M13" s="31">
        <v>3</v>
      </c>
      <c r="N13" s="31">
        <v>29365</v>
      </c>
      <c r="O13" s="31">
        <v>7</v>
      </c>
      <c r="P13" s="43">
        <f>('Flow cytometer'!N13/'Flow cytometer'!O13)*POWER(10,'Flow cytometer'!M13+2)*10.2</f>
        <v>4278899999.9999995</v>
      </c>
      <c r="Q13" s="46">
        <f>AVERAGE(H13,L13,P13)*Calculation!I13/Calculation!K12</f>
        <v>4408761782.8082504</v>
      </c>
      <c r="R13" s="47">
        <f>STDEV(H13,L13,P13)*Calculation!I13/Calculation!K12</f>
        <v>106507954.13631539</v>
      </c>
      <c r="S13" s="48">
        <f t="shared" si="1"/>
        <v>9.6443166333677528</v>
      </c>
      <c r="T13" s="48">
        <f t="shared" si="2"/>
        <v>22.206859712107107</v>
      </c>
      <c r="U13" s="48">
        <f t="shared" si="3"/>
        <v>9.6155647091680834</v>
      </c>
      <c r="V13" s="48">
        <f t="shared" si="4"/>
        <v>9.6356000601170138</v>
      </c>
      <c r="W13" s="48">
        <f t="shared" si="5"/>
        <v>9.6313321369266358</v>
      </c>
      <c r="X13" s="48">
        <f xml:space="preserve"> STDEV(U13:W13)*Calculation!I13/Calculation!K12</f>
        <v>1.0967909259974314E-2</v>
      </c>
    </row>
    <row r="14" spans="1:24">
      <c r="A14" s="38">
        <v>10</v>
      </c>
      <c r="B14" s="53">
        <v>80</v>
      </c>
      <c r="C14" s="54">
        <f t="shared" si="6"/>
        <v>940</v>
      </c>
      <c r="D14" s="65">
        <f t="shared" si="0"/>
        <v>15.666666666666666</v>
      </c>
      <c r="E14" s="31">
        <v>3</v>
      </c>
      <c r="F14" s="31">
        <v>31063</v>
      </c>
      <c r="G14" s="31">
        <v>7</v>
      </c>
      <c r="H14" s="43">
        <f>('Flow cytometer'!F14/'Flow cytometer'!G14)*POWER(10,'Flow cytometer'!E14+2)*10.2</f>
        <v>4526322857.1428566</v>
      </c>
      <c r="I14" s="31">
        <v>3</v>
      </c>
      <c r="J14" s="31">
        <v>32613</v>
      </c>
      <c r="K14" s="31">
        <v>7</v>
      </c>
      <c r="L14" s="43">
        <f>('Flow cytometer'!J14/'Flow cytometer'!K14)*POWER(10,'Flow cytometer'!I14+2)*10.2</f>
        <v>4752180000</v>
      </c>
      <c r="M14" s="31">
        <v>3</v>
      </c>
      <c r="N14" s="31">
        <v>28976</v>
      </c>
      <c r="O14" s="31">
        <v>7</v>
      </c>
      <c r="P14" s="43">
        <f>('Flow cytometer'!N14/'Flow cytometer'!O14)*POWER(10,'Flow cytometer'!M14+2)*10.2</f>
        <v>4222217142.8571424</v>
      </c>
      <c r="Q14" s="46">
        <f>AVERAGE(H14,L14,P14)*Calculation!I14/Calculation!K13</f>
        <v>4710716996.0532188</v>
      </c>
      <c r="R14" s="47">
        <f>STDEV(H14,L14,P14)*Calculation!I14/Calculation!K13</f>
        <v>278380638.43542778</v>
      </c>
      <c r="S14" s="48">
        <f t="shared" si="1"/>
        <v>9.6730870140781207</v>
      </c>
      <c r="T14" s="48">
        <f t="shared" si="2"/>
        <v>22.273105961850565</v>
      </c>
      <c r="U14" s="48">
        <f t="shared" si="3"/>
        <v>9.6557455284244504</v>
      </c>
      <c r="V14" s="48">
        <f t="shared" si="4"/>
        <v>9.6768928822101383</v>
      </c>
      <c r="W14" s="48">
        <f t="shared" si="5"/>
        <v>9.6255405647176442</v>
      </c>
      <c r="X14" s="48">
        <f xml:space="preserve"> STDEV(U14:W14)*Calculation!I14/Calculation!K13</f>
        <v>2.7016037378460509E-2</v>
      </c>
    </row>
    <row r="15" spans="1:24">
      <c r="A15" s="38">
        <v>11</v>
      </c>
      <c r="B15" s="53">
        <v>80</v>
      </c>
      <c r="C15" s="54">
        <f t="shared" si="6"/>
        <v>1020</v>
      </c>
      <c r="D15" s="65">
        <f t="shared" si="0"/>
        <v>17</v>
      </c>
      <c r="E15" s="31">
        <v>3</v>
      </c>
      <c r="F15" s="31">
        <v>26441</v>
      </c>
      <c r="G15" s="31">
        <v>7</v>
      </c>
      <c r="H15" s="43">
        <f>('Flow cytometer'!F15/'Flow cytometer'!G15)*POWER(10,'Flow cytometer'!E15+2)*10.2</f>
        <v>3852831428.5714278</v>
      </c>
      <c r="I15" s="31">
        <v>3</v>
      </c>
      <c r="J15" s="31">
        <v>25298</v>
      </c>
      <c r="K15" s="31">
        <v>7</v>
      </c>
      <c r="L15" s="43">
        <f>('Flow cytometer'!J15/'Flow cytometer'!K15)*POWER(10,'Flow cytometer'!I15+2)*10.2</f>
        <v>3686279999.9999995</v>
      </c>
      <c r="M15" s="31">
        <v>3</v>
      </c>
      <c r="N15" s="31">
        <v>27322</v>
      </c>
      <c r="O15" s="31">
        <v>7</v>
      </c>
      <c r="P15" s="43">
        <f>('Flow cytometer'!N15/'Flow cytometer'!O15)*POWER(10,'Flow cytometer'!M15+2)*10.2</f>
        <v>3981205714.2857141</v>
      </c>
      <c r="Q15" s="46">
        <f>AVERAGE(H15,L15,P15)*Calculation!I15/Calculation!K14</f>
        <v>4049762009.1229792</v>
      </c>
      <c r="R15" s="47">
        <f>STDEV(H15,L15,P15)*Calculation!I15/Calculation!K14</f>
        <v>155947516.29409453</v>
      </c>
      <c r="S15" s="48">
        <f t="shared" si="1"/>
        <v>9.6074295019402047</v>
      </c>
      <c r="T15" s="48">
        <f t="shared" si="2"/>
        <v>22.121923953158724</v>
      </c>
      <c r="U15" s="48">
        <f t="shared" si="3"/>
        <v>9.5857800079118416</v>
      </c>
      <c r="V15" s="48">
        <f t="shared" si="4"/>
        <v>9.5665883199868311</v>
      </c>
      <c r="W15" s="48">
        <f t="shared" si="5"/>
        <v>9.6000146187473536</v>
      </c>
      <c r="X15" s="48">
        <f xml:space="preserve"> STDEV(U15:W15)*Calculation!I15/Calculation!K14</f>
        <v>1.7690116007092475E-2</v>
      </c>
    </row>
    <row r="16" spans="1:24">
      <c r="A16" s="38">
        <v>12</v>
      </c>
      <c r="B16" s="53">
        <v>80</v>
      </c>
      <c r="C16" s="54">
        <f t="shared" si="6"/>
        <v>1100</v>
      </c>
      <c r="D16" s="65">
        <f t="shared" si="0"/>
        <v>18.333333333333332</v>
      </c>
      <c r="E16" s="31">
        <v>3</v>
      </c>
      <c r="F16" s="31">
        <v>29332</v>
      </c>
      <c r="G16" s="31">
        <v>7</v>
      </c>
      <c r="H16" s="43">
        <f>('Flow cytometer'!F16/'Flow cytometer'!G16)*POWER(10,'Flow cytometer'!E16+2)*10.2</f>
        <v>4274091428.5714288</v>
      </c>
      <c r="I16" s="31">
        <v>3</v>
      </c>
      <c r="J16" s="31">
        <v>29434</v>
      </c>
      <c r="K16" s="31">
        <v>7</v>
      </c>
      <c r="L16" s="43">
        <f>('Flow cytometer'!J16/'Flow cytometer'!K16)*POWER(10,'Flow cytometer'!I16+2)*10.2</f>
        <v>4288954285.7142859</v>
      </c>
      <c r="M16" s="31">
        <v>3</v>
      </c>
      <c r="N16" s="31">
        <v>30050</v>
      </c>
      <c r="O16" s="31">
        <v>7</v>
      </c>
      <c r="P16" s="43">
        <f>('Flow cytometer'!N16/'Flow cytometer'!O16)*POWER(10,'Flow cytometer'!M16+2)*10.2</f>
        <v>4378714285.7142859</v>
      </c>
      <c r="Q16" s="46">
        <f>AVERAGE(H16,L16,P16)*Calculation!I16/Calculation!K15</f>
        <v>4580184384.4607258</v>
      </c>
      <c r="R16" s="47">
        <f>STDEV(H16,L16,P16)*Calculation!I16/Calculation!K15</f>
        <v>60097137.837929167</v>
      </c>
      <c r="S16" s="48">
        <f t="shared" si="1"/>
        <v>9.6608829617466618</v>
      </c>
      <c r="T16" s="48">
        <f t="shared" si="2"/>
        <v>22.245005092878028</v>
      </c>
      <c r="U16" s="48">
        <f t="shared" si="3"/>
        <v>9.6308438080712335</v>
      </c>
      <c r="V16" s="48">
        <f t="shared" si="4"/>
        <v>9.6323514172887741</v>
      </c>
      <c r="W16" s="48">
        <f t="shared" si="5"/>
        <v>9.641346608086419</v>
      </c>
      <c r="X16" s="48">
        <f xml:space="preserve"> STDEV(U16:W16)*Calculation!I16/Calculation!K15</f>
        <v>6.0293471909448372E-3</v>
      </c>
    </row>
    <row r="17" spans="1:24">
      <c r="A17" s="38">
        <v>13</v>
      </c>
      <c r="B17" s="53">
        <v>340</v>
      </c>
      <c r="C17" s="54">
        <f t="shared" si="6"/>
        <v>1440</v>
      </c>
      <c r="D17" s="65">
        <f t="shared" si="0"/>
        <v>24</v>
      </c>
      <c r="E17" s="31">
        <v>3</v>
      </c>
      <c r="F17" s="31">
        <v>27924</v>
      </c>
      <c r="G17" s="31">
        <v>7</v>
      </c>
      <c r="H17" s="43">
        <f>('Flow cytometer'!F17/'Flow cytometer'!G17)*POWER(10,'Flow cytometer'!E17+2)*10.2</f>
        <v>4068925714.2857141</v>
      </c>
      <c r="I17" s="31">
        <v>3</v>
      </c>
      <c r="J17" s="31">
        <v>26261</v>
      </c>
      <c r="K17" s="31">
        <v>7</v>
      </c>
      <c r="L17" s="43">
        <f>('Flow cytometer'!J17/'Flow cytometer'!K17)*POWER(10,'Flow cytometer'!I17+2)*10.2</f>
        <v>3826602857.1428571</v>
      </c>
      <c r="M17" s="31">
        <v>3</v>
      </c>
      <c r="N17" s="31">
        <v>26191</v>
      </c>
      <c r="O17" s="31">
        <v>7</v>
      </c>
      <c r="P17" s="43">
        <f>('Flow cytometer'!N17/'Flow cytometer'!O17)*POWER(10,'Flow cytometer'!M17+2)*10.2</f>
        <v>3816402857.1428571</v>
      </c>
      <c r="Q17" s="46">
        <f>AVERAGE(H17,L17,P17)*Calculation!I17/Calculation!K16</f>
        <v>4215828274.3021226</v>
      </c>
      <c r="R17" s="47">
        <f>STDEV(H17,L17,P17)*Calculation!I17/Calculation!K16</f>
        <v>154358816.81753996</v>
      </c>
      <c r="S17" s="48">
        <f t="shared" si="1"/>
        <v>9.6248829122040362</v>
      </c>
      <c r="T17" s="48">
        <f t="shared" si="2"/>
        <v>22.162111915454133</v>
      </c>
      <c r="U17" s="48">
        <f t="shared" si="3"/>
        <v>9.6094797610820155</v>
      </c>
      <c r="V17" s="48">
        <f t="shared" si="4"/>
        <v>9.5828133914376394</v>
      </c>
      <c r="W17" s="48">
        <f t="shared" si="5"/>
        <v>9.5816542123107649</v>
      </c>
      <c r="X17" s="48">
        <f xml:space="preserve"> STDEV(U17:W17)*Calculation!I17/Calculation!K16</f>
        <v>1.6998543483087294E-2</v>
      </c>
    </row>
    <row r="18" spans="1:24">
      <c r="A18" s="38">
        <v>14</v>
      </c>
      <c r="B18" s="53">
        <v>360</v>
      </c>
      <c r="C18" s="54">
        <f t="shared" si="6"/>
        <v>1800</v>
      </c>
      <c r="D18" s="65">
        <f t="shared" si="0"/>
        <v>30</v>
      </c>
      <c r="E18" s="31">
        <v>3</v>
      </c>
      <c r="F18" s="31">
        <v>26567</v>
      </c>
      <c r="G18" s="31">
        <v>7</v>
      </c>
      <c r="H18" s="43">
        <f>('Flow cytometer'!F18/'Flow cytometer'!G18)*POWER(10,'Flow cytometer'!E18+2)*10.2</f>
        <v>3871191428.5714278</v>
      </c>
      <c r="I18" s="31">
        <v>3</v>
      </c>
      <c r="J18" s="31">
        <v>24919</v>
      </c>
      <c r="K18" s="31">
        <v>7</v>
      </c>
      <c r="L18" s="43">
        <f>('Flow cytometer'!J18/'Flow cytometer'!K18)*POWER(10,'Flow cytometer'!I18+2)*10.2</f>
        <v>3631054285.7142854</v>
      </c>
      <c r="M18" s="31">
        <v>3</v>
      </c>
      <c r="N18" s="31">
        <v>25180</v>
      </c>
      <c r="O18" s="31">
        <v>7</v>
      </c>
      <c r="P18" s="43">
        <f>('Flow cytometer'!N18/'Flow cytometer'!O18)*POWER(10,'Flow cytometer'!M18+2)*10.2</f>
        <v>3669085714.2857141</v>
      </c>
      <c r="Q18" s="46">
        <f>AVERAGE(H18,L18,P18)*Calculation!I18/Calculation!K17</f>
        <v>4029672937.5888257</v>
      </c>
      <c r="R18" s="47">
        <f>STDEV(H18,L18,P18)*Calculation!I18/Calculation!K17</f>
        <v>139675858.36565027</v>
      </c>
      <c r="S18" s="48">
        <f t="shared" si="1"/>
        <v>9.6052697987057378</v>
      </c>
      <c r="T18" s="48">
        <f t="shared" si="2"/>
        <v>22.116951052685753</v>
      </c>
      <c r="U18" s="48">
        <f t="shared" si="3"/>
        <v>9.5878446475051309</v>
      </c>
      <c r="V18" s="48">
        <f t="shared" si="4"/>
        <v>9.560032741837686</v>
      </c>
      <c r="W18" s="48">
        <f t="shared" si="5"/>
        <v>9.5645578575195049</v>
      </c>
      <c r="X18" s="48">
        <f xml:space="preserve"> STDEV(U18:W18)*Calculation!I18/Calculation!K17</f>
        <v>1.6149344395548285E-2</v>
      </c>
    </row>
    <row r="19" spans="1:24">
      <c r="A19" s="38">
        <v>15</v>
      </c>
      <c r="B19" s="53">
        <v>1080</v>
      </c>
      <c r="C19" s="54">
        <f>C18+B19</f>
        <v>2880</v>
      </c>
      <c r="D19" s="65">
        <f t="shared" si="0"/>
        <v>48</v>
      </c>
      <c r="E19" s="31">
        <v>3</v>
      </c>
      <c r="F19" s="31">
        <v>9693</v>
      </c>
      <c r="G19" s="31">
        <v>7</v>
      </c>
      <c r="H19" s="43">
        <f>('Flow cytometer'!F19/'Flow cytometer'!G19)*POWER(10,'Flow cytometer'!E19+2)*10.2</f>
        <v>1412408571.4285712</v>
      </c>
      <c r="I19" s="31">
        <v>3</v>
      </c>
      <c r="J19" s="31">
        <v>9705</v>
      </c>
      <c r="K19" s="31">
        <v>7</v>
      </c>
      <c r="L19" s="43">
        <f>('Flow cytometer'!J19/'Flow cytometer'!K19)*POWER(10,'Flow cytometer'!I19+2)*10.2</f>
        <v>1414157142.8571427</v>
      </c>
      <c r="M19" s="31">
        <v>3</v>
      </c>
      <c r="N19" s="31">
        <v>9884</v>
      </c>
      <c r="O19" s="31">
        <v>7</v>
      </c>
      <c r="P19" s="43">
        <f>('Flow cytometer'!N19/'Flow cytometer'!O19)*POWER(10,'Flow cytometer'!M19+2)*10.2</f>
        <v>1440240000</v>
      </c>
      <c r="Q19" s="46">
        <f>AVERAGE(H19,L19,P19)*Calculation!I19/Calculation!K18</f>
        <v>1540815178.0895462</v>
      </c>
      <c r="R19" s="47">
        <f>STDEV(H19,L19,P19)*Calculation!I19/Calculation!K18</f>
        <v>16887537.084213991</v>
      </c>
      <c r="S19" s="48">
        <f t="shared" si="1"/>
        <v>9.1877505479009614</v>
      </c>
      <c r="T19" s="48">
        <f t="shared" si="2"/>
        <v>21.15557744974463</v>
      </c>
      <c r="U19" s="48">
        <f t="shared" si="3"/>
        <v>9.1499603444849669</v>
      </c>
      <c r="V19" s="48">
        <f t="shared" si="4"/>
        <v>9.1504976714720421</v>
      </c>
      <c r="W19" s="48">
        <f t="shared" si="5"/>
        <v>9.1584348684777019</v>
      </c>
      <c r="X19" s="48">
        <f xml:space="preserve"> STDEV(U19:W19)*Calculation!I19/Calculation!K18</f>
        <v>5.1407871257725824E-3</v>
      </c>
    </row>
    <row r="60" spans="17:19">
      <c r="Q60" t="s">
        <v>138</v>
      </c>
    </row>
    <row r="61" spans="17:19" ht="16">
      <c r="Q61" t="s">
        <v>139</v>
      </c>
      <c r="R61">
        <v>0.53339999999999999</v>
      </c>
      <c r="S61" t="s">
        <v>140</v>
      </c>
    </row>
    <row r="62" spans="17:19">
      <c r="Q62" t="s">
        <v>141</v>
      </c>
    </row>
    <row r="63" spans="17:19" ht="16">
      <c r="Q63" t="s">
        <v>142</v>
      </c>
      <c r="R63">
        <v>14.782999999999999</v>
      </c>
    </row>
    <row r="65" spans="17:21" ht="16">
      <c r="Q65" t="s">
        <v>143</v>
      </c>
      <c r="R65">
        <v>0.99528000000000005</v>
      </c>
    </row>
    <row r="68" spans="17:21">
      <c r="Q68" t="s">
        <v>144</v>
      </c>
      <c r="R68">
        <f>LN(2)/R61</f>
        <v>1.299488527483962</v>
      </c>
      <c r="S68" t="s">
        <v>145</v>
      </c>
    </row>
    <row r="71" spans="17:21">
      <c r="Q71" s="62"/>
      <c r="R71" s="62" t="s">
        <v>146</v>
      </c>
      <c r="S71" s="62"/>
      <c r="T71" s="62" t="s">
        <v>147</v>
      </c>
      <c r="U71" s="62"/>
    </row>
    <row r="72" spans="17:21">
      <c r="Q72" s="62"/>
      <c r="R72" s="62"/>
      <c r="S72" s="62"/>
      <c r="T72" s="62"/>
      <c r="U72" s="62"/>
    </row>
    <row r="73" spans="17:21" ht="16">
      <c r="Q73">
        <v>0.53339999999999999</v>
      </c>
      <c r="R73" s="63">
        <f>AVERAGE(Q73:Q74)</f>
        <v>0.53339999999999999</v>
      </c>
      <c r="S73" s="62" t="s">
        <v>148</v>
      </c>
      <c r="T73" s="63" t="e">
        <f>STDEV(Q73:Q74)</f>
        <v>#DIV/0!</v>
      </c>
      <c r="U73" s="62" t="s">
        <v>148</v>
      </c>
    </row>
    <row r="74" spans="17:21">
      <c r="Q74" s="62"/>
      <c r="R74" s="62"/>
      <c r="S74" s="62"/>
      <c r="T74" s="62"/>
      <c r="U74" s="62"/>
    </row>
    <row r="75" spans="17:21">
      <c r="Q75" s="62"/>
      <c r="R75" s="62"/>
      <c r="S75" s="62"/>
      <c r="T75" s="62"/>
      <c r="U75" s="62"/>
    </row>
    <row r="76" spans="17:21">
      <c r="R76" t="s">
        <v>149</v>
      </c>
    </row>
    <row r="78" spans="17:21">
      <c r="R78">
        <f>LN(2)/R73</f>
        <v>1.299488527483962</v>
      </c>
      <c r="S78" t="s">
        <v>145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5" sqref="I15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92" t="s">
        <v>4</v>
      </c>
      <c r="B1" s="92" t="s">
        <v>103</v>
      </c>
      <c r="C1" s="92" t="s">
        <v>103</v>
      </c>
      <c r="D1" s="92" t="s">
        <v>5</v>
      </c>
      <c r="E1" s="92" t="s">
        <v>19</v>
      </c>
      <c r="F1" s="92" t="s">
        <v>24</v>
      </c>
      <c r="G1" s="94" t="s">
        <v>25</v>
      </c>
      <c r="H1" s="95" t="s">
        <v>26</v>
      </c>
      <c r="I1" s="4" t="s">
        <v>27</v>
      </c>
      <c r="J1" s="55" t="s">
        <v>27</v>
      </c>
    </row>
    <row r="2" spans="1:10">
      <c r="A2" s="93"/>
      <c r="B2" s="93"/>
      <c r="C2" s="93"/>
      <c r="D2" s="93"/>
      <c r="E2" s="93"/>
      <c r="F2" s="93"/>
      <c r="G2" s="94"/>
      <c r="H2" s="95"/>
      <c r="I2" s="5" t="s">
        <v>28</v>
      </c>
      <c r="J2" s="56" t="s">
        <v>23</v>
      </c>
    </row>
    <row r="3" spans="1:10">
      <c r="A3" s="51" t="s">
        <v>6</v>
      </c>
      <c r="B3" s="52">
        <v>-10</v>
      </c>
      <c r="C3" s="52">
        <v>-10</v>
      </c>
      <c r="D3" s="65">
        <v>-0.16666666666666666</v>
      </c>
      <c r="E3" s="38">
        <v>1</v>
      </c>
      <c r="F3" s="49">
        <v>9.4E-2</v>
      </c>
      <c r="G3" s="49">
        <v>9.4E-2</v>
      </c>
      <c r="H3" s="49">
        <v>9.4E-2</v>
      </c>
      <c r="I3" s="50">
        <f>E3*(AVERAGE(F3:H3)*1.6007-0.0118)</f>
        <v>0.13866580000000001</v>
      </c>
      <c r="J3" s="57">
        <f>E3*(STDEV(F3:H3)*1.6007)</f>
        <v>2.7206696834821082E-17</v>
      </c>
    </row>
    <row r="4" spans="1:10">
      <c r="A4" s="53">
        <v>0</v>
      </c>
      <c r="B4" s="54">
        <v>10</v>
      </c>
      <c r="C4" s="54">
        <v>10</v>
      </c>
      <c r="D4" s="65">
        <v>0.16666666666666666</v>
      </c>
      <c r="E4" s="38">
        <v>1</v>
      </c>
      <c r="F4" s="49">
        <v>0.182</v>
      </c>
      <c r="G4" s="49">
        <v>0.182</v>
      </c>
      <c r="H4" s="49">
        <v>0.182</v>
      </c>
      <c r="I4" s="50">
        <f>E4*(AVERAGE(F4:H4)*1.6007-0.0118)</f>
        <v>0.27952740000000004</v>
      </c>
      <c r="J4" s="57">
        <f t="shared" ref="J4:J19" si="0">E4*(STDEV(F4:H4)*1.6007)</f>
        <v>5.4413393669642165E-17</v>
      </c>
    </row>
    <row r="5" spans="1:10">
      <c r="A5" s="53">
        <v>1</v>
      </c>
      <c r="B5" s="54">
        <v>110</v>
      </c>
      <c r="C5" s="54">
        <v>120</v>
      </c>
      <c r="D5" s="65">
        <v>2</v>
      </c>
      <c r="E5" s="38">
        <v>1</v>
      </c>
      <c r="F5" s="49">
        <v>0.26100000000000001</v>
      </c>
      <c r="G5" s="49">
        <v>0.26100000000000001</v>
      </c>
      <c r="H5" s="49">
        <v>0.26100000000000001</v>
      </c>
      <c r="I5" s="50">
        <f t="shared" ref="I5:I19" si="1">E5*(AVERAGE(F5:H5)*1.6007-0.0118)</f>
        <v>0.40598270000000003</v>
      </c>
      <c r="J5" s="57">
        <f t="shared" si="0"/>
        <v>0</v>
      </c>
    </row>
    <row r="6" spans="1:10">
      <c r="A6" s="53">
        <v>2</v>
      </c>
      <c r="B6" s="54">
        <v>80</v>
      </c>
      <c r="C6" s="54">
        <v>200</v>
      </c>
      <c r="D6" s="65">
        <v>3.3333333333333335</v>
      </c>
      <c r="E6" s="38">
        <v>10</v>
      </c>
      <c r="F6" s="49">
        <v>3.6999999999999998E-2</v>
      </c>
      <c r="G6" s="49">
        <v>3.4000000000000002E-2</v>
      </c>
      <c r="H6" s="49">
        <v>3.5000000000000003E-2</v>
      </c>
      <c r="I6" s="50">
        <f t="shared" si="1"/>
        <v>0.44758066666666674</v>
      </c>
      <c r="J6" s="57">
        <f t="shared" si="0"/>
        <v>2.4451096383052671E-2</v>
      </c>
    </row>
    <row r="7" spans="1:10">
      <c r="A7" s="53">
        <v>3</v>
      </c>
      <c r="B7" s="54">
        <v>80</v>
      </c>
      <c r="C7" s="54">
        <v>280</v>
      </c>
      <c r="D7" s="65">
        <v>4.666666666666667</v>
      </c>
      <c r="E7" s="38">
        <v>10</v>
      </c>
      <c r="F7" s="49">
        <v>3.9E-2</v>
      </c>
      <c r="G7" s="49">
        <v>3.9E-2</v>
      </c>
      <c r="H7" s="49">
        <v>3.5999999999999997E-2</v>
      </c>
      <c r="I7" s="50">
        <f t="shared" si="1"/>
        <v>0.49026600000000004</v>
      </c>
      <c r="J7" s="57">
        <f t="shared" si="0"/>
        <v>2.7724937276755044E-2</v>
      </c>
    </row>
    <row r="8" spans="1:10">
      <c r="A8" s="53">
        <v>4</v>
      </c>
      <c r="B8" s="54">
        <v>80</v>
      </c>
      <c r="C8" s="54">
        <v>360</v>
      </c>
      <c r="D8" s="65">
        <v>6</v>
      </c>
      <c r="E8" s="38">
        <v>10</v>
      </c>
      <c r="F8" s="49">
        <v>5.3999999999999999E-2</v>
      </c>
      <c r="G8" s="49">
        <v>4.9000000000000002E-2</v>
      </c>
      <c r="H8" s="49">
        <v>4.9000000000000002E-2</v>
      </c>
      <c r="I8" s="50">
        <f t="shared" si="1"/>
        <v>0.69302133333333338</v>
      </c>
      <c r="J8" s="57">
        <f t="shared" si="0"/>
        <v>4.6208228794591674E-2</v>
      </c>
    </row>
    <row r="9" spans="1:10">
      <c r="A9" s="53">
        <v>5</v>
      </c>
      <c r="B9" s="54">
        <v>80</v>
      </c>
      <c r="C9" s="54">
        <v>440</v>
      </c>
      <c r="D9" s="65">
        <v>7.333333333333333</v>
      </c>
      <c r="E9" s="38">
        <v>10</v>
      </c>
      <c r="F9" s="49">
        <v>6.8000000000000005E-2</v>
      </c>
      <c r="G9" s="49">
        <v>6.7000000000000004E-2</v>
      </c>
      <c r="H9" s="49">
        <v>6.2E-2</v>
      </c>
      <c r="I9" s="50">
        <f t="shared" si="1"/>
        <v>0.93312633333333328</v>
      </c>
      <c r="J9" s="57">
        <f t="shared" si="0"/>
        <v>5.1455305910404793E-2</v>
      </c>
    </row>
    <row r="10" spans="1:10">
      <c r="A10" s="53">
        <v>6</v>
      </c>
      <c r="B10" s="54">
        <v>180</v>
      </c>
      <c r="C10" s="54">
        <v>620</v>
      </c>
      <c r="D10" s="65">
        <v>10.333333333333334</v>
      </c>
      <c r="E10" s="38">
        <v>20</v>
      </c>
      <c r="F10" s="49">
        <v>9.9000000000000005E-2</v>
      </c>
      <c r="G10" s="49">
        <v>0.107</v>
      </c>
      <c r="H10" s="49">
        <v>0.11</v>
      </c>
      <c r="I10" s="50">
        <f t="shared" si="1"/>
        <v>3.1361413333333332</v>
      </c>
      <c r="J10" s="57">
        <f t="shared" si="0"/>
        <v>0.18203930986831746</v>
      </c>
    </row>
    <row r="11" spans="1:10">
      <c r="A11" s="53">
        <v>7</v>
      </c>
      <c r="B11" s="54">
        <v>80</v>
      </c>
      <c r="C11" s="54">
        <v>700</v>
      </c>
      <c r="D11" s="65">
        <v>11.666666666666666</v>
      </c>
      <c r="E11" s="38">
        <v>20</v>
      </c>
      <c r="F11" s="49">
        <v>0.14799999999999999</v>
      </c>
      <c r="G11" s="49">
        <v>0.14000000000000001</v>
      </c>
      <c r="H11" s="49">
        <v>0.13100000000000001</v>
      </c>
      <c r="I11" s="50">
        <f t="shared" si="1"/>
        <v>4.2352886666666674</v>
      </c>
      <c r="J11" s="57">
        <f t="shared" si="0"/>
        <v>0.2722758861473657</v>
      </c>
    </row>
    <row r="12" spans="1:10">
      <c r="A12" s="53">
        <v>8</v>
      </c>
      <c r="B12" s="54">
        <v>80</v>
      </c>
      <c r="C12" s="54">
        <v>780</v>
      </c>
      <c r="D12" s="65">
        <v>13</v>
      </c>
      <c r="E12" s="38">
        <v>20</v>
      </c>
      <c r="F12" s="49">
        <v>0.184</v>
      </c>
      <c r="G12" s="49">
        <v>0.16400000000000001</v>
      </c>
      <c r="H12" s="49">
        <v>0.158</v>
      </c>
      <c r="I12" s="50">
        <f t="shared" si="1"/>
        <v>5.1636946666666672</v>
      </c>
      <c r="J12" s="57">
        <f t="shared" si="0"/>
        <v>0.43582958633545438</v>
      </c>
    </row>
    <row r="13" spans="1:10">
      <c r="A13" s="53">
        <v>9</v>
      </c>
      <c r="B13" s="54">
        <v>80</v>
      </c>
      <c r="C13" s="54">
        <v>860</v>
      </c>
      <c r="D13" s="65">
        <v>14.333333333333334</v>
      </c>
      <c r="E13" s="38">
        <v>20</v>
      </c>
      <c r="F13" s="49">
        <v>0.16600000000000001</v>
      </c>
      <c r="G13" s="49">
        <v>0.183</v>
      </c>
      <c r="H13" s="49">
        <v>0.17899999999999999</v>
      </c>
      <c r="I13" s="50">
        <f t="shared" si="1"/>
        <v>5.3984640000000006</v>
      </c>
      <c r="J13" s="57">
        <f t="shared" si="0"/>
        <v>0.28454665607594104</v>
      </c>
    </row>
    <row r="14" spans="1:10">
      <c r="A14" s="53">
        <v>10</v>
      </c>
      <c r="B14" s="54">
        <v>80</v>
      </c>
      <c r="C14" s="54">
        <v>940</v>
      </c>
      <c r="D14" s="65">
        <v>15.666666666666666</v>
      </c>
      <c r="E14" s="38">
        <v>20</v>
      </c>
      <c r="F14" s="49">
        <v>0.20399999999999999</v>
      </c>
      <c r="G14" s="49">
        <v>0.2</v>
      </c>
      <c r="H14" s="49">
        <v>0.19800000000000001</v>
      </c>
      <c r="I14" s="50">
        <f t="shared" si="1"/>
        <v>6.1881426666666686</v>
      </c>
      <c r="J14" s="57">
        <f t="shared" si="0"/>
        <v>9.7804385532210436E-2</v>
      </c>
    </row>
    <row r="15" spans="1:10">
      <c r="A15" s="53">
        <v>11</v>
      </c>
      <c r="B15" s="54">
        <v>80</v>
      </c>
      <c r="C15" s="54">
        <v>1020</v>
      </c>
      <c r="D15" s="65">
        <v>17</v>
      </c>
      <c r="E15" s="38">
        <v>20</v>
      </c>
      <c r="F15" s="49">
        <v>0.2</v>
      </c>
      <c r="G15" s="49">
        <v>0.19600000000000001</v>
      </c>
      <c r="H15" s="49">
        <v>0.19500000000000001</v>
      </c>
      <c r="I15" s="50">
        <f t="shared" si="1"/>
        <v>6.0707579999999997</v>
      </c>
      <c r="J15" s="57">
        <f t="shared" si="0"/>
        <v>8.4701082472421876E-2</v>
      </c>
    </row>
    <row r="16" spans="1:10">
      <c r="A16" s="53">
        <v>12</v>
      </c>
      <c r="B16" s="54">
        <v>80</v>
      </c>
      <c r="C16" s="54">
        <v>1100</v>
      </c>
      <c r="D16" s="65">
        <v>18.333333333333332</v>
      </c>
      <c r="E16" s="38">
        <v>20</v>
      </c>
      <c r="F16" s="49">
        <v>0.20599999999999999</v>
      </c>
      <c r="G16" s="49">
        <v>0.20699999999999999</v>
      </c>
      <c r="H16" s="49">
        <v>0.20599999999999999</v>
      </c>
      <c r="I16" s="50">
        <f t="shared" si="1"/>
        <v>6.3695553333333343</v>
      </c>
      <c r="J16" s="57">
        <f t="shared" si="0"/>
        <v>1.8483291517836696E-2</v>
      </c>
    </row>
    <row r="17" spans="1:10">
      <c r="A17" s="53">
        <v>13</v>
      </c>
      <c r="B17" s="54">
        <v>340</v>
      </c>
      <c r="C17" s="54">
        <v>1440</v>
      </c>
      <c r="D17" s="65">
        <v>24</v>
      </c>
      <c r="E17" s="38">
        <v>20</v>
      </c>
      <c r="F17" s="49">
        <v>0.115</v>
      </c>
      <c r="G17" s="49">
        <v>0.11799999999999999</v>
      </c>
      <c r="H17" s="49">
        <v>0.122</v>
      </c>
      <c r="I17" s="50">
        <f t="shared" si="1"/>
        <v>3.5523233333333333</v>
      </c>
      <c r="J17" s="57">
        <f t="shared" si="0"/>
        <v>0.11242947308127575</v>
      </c>
    </row>
    <row r="18" spans="1:10">
      <c r="A18" s="53">
        <v>14</v>
      </c>
      <c r="B18" s="54">
        <v>360</v>
      </c>
      <c r="C18" s="54">
        <v>1800</v>
      </c>
      <c r="D18" s="65">
        <v>30</v>
      </c>
      <c r="E18" s="38">
        <v>20</v>
      </c>
      <c r="F18" s="49">
        <v>8.5999999999999993E-2</v>
      </c>
      <c r="G18" s="49">
        <v>0.09</v>
      </c>
      <c r="H18" s="49">
        <v>9.4E-2</v>
      </c>
      <c r="I18" s="50">
        <f t="shared" si="1"/>
        <v>2.6452600000000004</v>
      </c>
      <c r="J18" s="57">
        <f t="shared" si="0"/>
        <v>0.12805600000000011</v>
      </c>
    </row>
    <row r="19" spans="1:10">
      <c r="A19" s="53">
        <v>15</v>
      </c>
      <c r="B19" s="54">
        <v>1080</v>
      </c>
      <c r="C19" s="54">
        <v>2880</v>
      </c>
      <c r="D19" s="65">
        <v>48</v>
      </c>
      <c r="E19" s="38">
        <v>10</v>
      </c>
      <c r="F19" s="49">
        <v>9.6000000000000002E-2</v>
      </c>
      <c r="G19" s="49">
        <v>9.8000000000000004E-2</v>
      </c>
      <c r="H19" s="49">
        <v>0.10100000000000001</v>
      </c>
      <c r="I19" s="50">
        <f t="shared" si="1"/>
        <v>1.4560216666666668</v>
      </c>
      <c r="J19" s="57">
        <f t="shared" si="0"/>
        <v>4.0283399935126328E-2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3" sqref="D3:D19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92" t="s">
        <v>4</v>
      </c>
      <c r="B1" s="92" t="s">
        <v>103</v>
      </c>
      <c r="C1" s="92" t="s">
        <v>103</v>
      </c>
      <c r="D1" s="92" t="s">
        <v>5</v>
      </c>
      <c r="E1" s="4" t="s">
        <v>29</v>
      </c>
      <c r="F1" s="4" t="s">
        <v>2</v>
      </c>
      <c r="G1" s="4" t="s">
        <v>32</v>
      </c>
    </row>
    <row r="2" spans="1:7">
      <c r="A2" s="93"/>
      <c r="B2" s="93"/>
      <c r="C2" s="93"/>
      <c r="D2" s="93"/>
      <c r="E2" s="5" t="s">
        <v>30</v>
      </c>
      <c r="F2" s="5" t="s">
        <v>31</v>
      </c>
      <c r="G2" s="5" t="s">
        <v>33</v>
      </c>
    </row>
    <row r="3" spans="1:7">
      <c r="A3" s="51" t="s">
        <v>6</v>
      </c>
      <c r="B3" s="52">
        <v>-10</v>
      </c>
      <c r="C3" s="52">
        <v>-10</v>
      </c>
      <c r="D3" s="65">
        <v>-0.16666666666666666</v>
      </c>
      <c r="E3" s="1"/>
      <c r="F3" s="1"/>
      <c r="G3" s="1" t="e">
        <f>(F3-$C$21)/E3*1000*Calculation!I4/Calculation!K3</f>
        <v>#DIV/0!</v>
      </c>
    </row>
    <row r="4" spans="1:7">
      <c r="A4" s="53">
        <v>0</v>
      </c>
      <c r="B4" s="54">
        <v>10</v>
      </c>
      <c r="C4" s="54">
        <v>10</v>
      </c>
      <c r="D4" s="65">
        <v>0.16666666666666666</v>
      </c>
      <c r="E4" s="1"/>
      <c r="F4" s="1"/>
      <c r="G4" s="1" t="e">
        <f>(F4-$C$21)/E4*1000*Calculation!I5/Calculation!K4</f>
        <v>#DIV/0!</v>
      </c>
    </row>
    <row r="5" spans="1:7">
      <c r="A5" s="53">
        <v>1</v>
      </c>
      <c r="B5" s="54">
        <v>110</v>
      </c>
      <c r="C5" s="54">
        <v>120</v>
      </c>
      <c r="D5" s="65">
        <v>2</v>
      </c>
      <c r="E5" s="1"/>
      <c r="F5" s="1"/>
      <c r="G5" s="1" t="e">
        <f>(F5-$C$21)/E5*1000*Calculation!I6/Calculation!K5</f>
        <v>#DIV/0!</v>
      </c>
    </row>
    <row r="6" spans="1:7">
      <c r="A6" s="53">
        <v>2</v>
      </c>
      <c r="B6" s="54">
        <v>80</v>
      </c>
      <c r="C6" s="54">
        <v>200</v>
      </c>
      <c r="D6" s="65">
        <v>3.3333333333333335</v>
      </c>
      <c r="E6" s="1"/>
      <c r="F6" s="1"/>
      <c r="G6" s="1" t="e">
        <f>(F6-$C$21)/E6*1000*Calculation!I7/Calculation!K6</f>
        <v>#DIV/0!</v>
      </c>
    </row>
    <row r="7" spans="1:7">
      <c r="A7" s="53">
        <v>3</v>
      </c>
      <c r="B7" s="54">
        <v>80</v>
      </c>
      <c r="C7" s="54">
        <v>280</v>
      </c>
      <c r="D7" s="65">
        <v>4.666666666666667</v>
      </c>
      <c r="E7" s="1"/>
      <c r="F7" s="1"/>
      <c r="G7" s="1" t="e">
        <f>(F7-$C$21)/E7*1000*Calculation!I8/Calculation!K7</f>
        <v>#DIV/0!</v>
      </c>
    </row>
    <row r="8" spans="1:7">
      <c r="A8" s="53">
        <v>4</v>
      </c>
      <c r="B8" s="54">
        <v>80</v>
      </c>
      <c r="C8" s="54">
        <v>360</v>
      </c>
      <c r="D8" s="65">
        <v>6</v>
      </c>
      <c r="E8" s="1"/>
      <c r="F8" s="1"/>
      <c r="G8" s="1" t="e">
        <f>(F8-$C$21)/E8*1000*Calculation!I9/Calculation!K8</f>
        <v>#DIV/0!</v>
      </c>
    </row>
    <row r="9" spans="1:7">
      <c r="A9" s="53">
        <v>5</v>
      </c>
      <c r="B9" s="54">
        <v>80</v>
      </c>
      <c r="C9" s="54">
        <v>440</v>
      </c>
      <c r="D9" s="65">
        <v>7.333333333333333</v>
      </c>
      <c r="E9" s="1"/>
      <c r="F9" s="1"/>
      <c r="G9" s="1" t="e">
        <f>(F9-$C$21)/E9*1000*Calculation!I10/Calculation!K9</f>
        <v>#DIV/0!</v>
      </c>
    </row>
    <row r="10" spans="1:7">
      <c r="A10" s="53">
        <v>6</v>
      </c>
      <c r="B10" s="54">
        <v>180</v>
      </c>
      <c r="C10" s="54">
        <v>620</v>
      </c>
      <c r="D10" s="65">
        <v>10.333333333333334</v>
      </c>
      <c r="E10" s="1"/>
      <c r="F10" s="1"/>
      <c r="G10" s="1" t="e">
        <f>(F10-$C$21)/E10*1000*Calculation!I11/Calculation!K10</f>
        <v>#DIV/0!</v>
      </c>
    </row>
    <row r="11" spans="1:7">
      <c r="A11" s="53">
        <v>7</v>
      </c>
      <c r="B11" s="54">
        <v>80</v>
      </c>
      <c r="C11" s="54">
        <v>700</v>
      </c>
      <c r="D11" s="65">
        <v>11.666666666666666</v>
      </c>
      <c r="E11" s="1"/>
      <c r="F11" s="1"/>
      <c r="G11" s="1" t="e">
        <f>(F11-$C$21)/E11*1000*Calculation!I12/Calculation!K11</f>
        <v>#DIV/0!</v>
      </c>
    </row>
    <row r="12" spans="1:7">
      <c r="A12" s="53">
        <v>8</v>
      </c>
      <c r="B12" s="54">
        <v>80</v>
      </c>
      <c r="C12" s="54">
        <v>780</v>
      </c>
      <c r="D12" s="65">
        <v>13</v>
      </c>
      <c r="E12" s="1"/>
      <c r="F12" s="1"/>
      <c r="G12" s="1" t="e">
        <f>(F12-$C$21)/E12*1000*Calculation!I13/Calculation!K12</f>
        <v>#DIV/0!</v>
      </c>
    </row>
    <row r="13" spans="1:7">
      <c r="A13" s="53">
        <v>9</v>
      </c>
      <c r="B13" s="54">
        <v>80</v>
      </c>
      <c r="C13" s="54">
        <v>860</v>
      </c>
      <c r="D13" s="65">
        <v>14.333333333333334</v>
      </c>
      <c r="E13" s="35"/>
      <c r="F13" s="35"/>
      <c r="G13" s="35" t="e">
        <f>(F13-$C$21)/E13*1000*Calculation!I14/Calculation!K13</f>
        <v>#DIV/0!</v>
      </c>
    </row>
    <row r="14" spans="1:7">
      <c r="A14" s="53">
        <v>10</v>
      </c>
      <c r="B14" s="54">
        <v>80</v>
      </c>
      <c r="C14" s="54">
        <v>940</v>
      </c>
      <c r="D14" s="65">
        <v>15.666666666666666</v>
      </c>
      <c r="E14" s="35"/>
      <c r="F14" s="35"/>
      <c r="G14" s="35" t="e">
        <f>(F14-$C$21)/E14*1000*Calculation!I15/Calculation!K14</f>
        <v>#DIV/0!</v>
      </c>
    </row>
    <row r="15" spans="1:7">
      <c r="A15" s="53">
        <v>11</v>
      </c>
      <c r="B15" s="54">
        <v>80</v>
      </c>
      <c r="C15" s="54">
        <v>1020</v>
      </c>
      <c r="D15" s="65">
        <v>17</v>
      </c>
      <c r="E15" s="35"/>
      <c r="F15" s="35"/>
      <c r="G15" s="35" t="e">
        <f>(F15-$C$21)/E15*1000*Calculation!I16/Calculation!K15</f>
        <v>#DIV/0!</v>
      </c>
    </row>
    <row r="16" spans="1:7">
      <c r="A16" s="53">
        <v>12</v>
      </c>
      <c r="B16" s="54">
        <v>80</v>
      </c>
      <c r="C16" s="54">
        <v>1100</v>
      </c>
      <c r="D16" s="65">
        <v>18.333333333333332</v>
      </c>
      <c r="E16" s="35"/>
      <c r="F16" s="35"/>
      <c r="G16" s="35" t="e">
        <f>(F16-$C$21)/E16*1000*Calculation!I17/Calculation!K16</f>
        <v>#DIV/0!</v>
      </c>
    </row>
    <row r="17" spans="1:7" ht="15" customHeight="1">
      <c r="A17" s="53">
        <v>13</v>
      </c>
      <c r="B17" s="54">
        <v>340</v>
      </c>
      <c r="C17" s="54">
        <v>1440</v>
      </c>
      <c r="D17" s="65">
        <v>24</v>
      </c>
      <c r="E17" s="35"/>
      <c r="F17" s="35"/>
      <c r="G17" s="35" t="e">
        <f>(F17-$C$21)/E17*1000*Calculation!I18/Calculation!K17</f>
        <v>#DIV/0!</v>
      </c>
    </row>
    <row r="18" spans="1:7">
      <c r="A18" s="53">
        <v>14</v>
      </c>
      <c r="B18" s="54">
        <v>360</v>
      </c>
      <c r="C18" s="54">
        <v>1800</v>
      </c>
      <c r="D18" s="65">
        <v>30</v>
      </c>
      <c r="E18" s="35"/>
      <c r="F18" s="35"/>
      <c r="G18" s="35" t="e">
        <f>(F18-$C$21)/E18*1000*Calculation!I19/Calculation!K18</f>
        <v>#DIV/0!</v>
      </c>
    </row>
    <row r="19" spans="1:7">
      <c r="A19" s="53">
        <v>15</v>
      </c>
      <c r="B19" s="54">
        <v>1080</v>
      </c>
      <c r="C19" s="54">
        <v>2880</v>
      </c>
      <c r="D19" s="65">
        <v>48</v>
      </c>
      <c r="E19" s="38"/>
      <c r="F19" s="38"/>
      <c r="G19" s="38" t="e">
        <f>(F19-$C$21)/E19*1000*Calculation!I20/Calculation!K19</f>
        <v>#DIV/0!</v>
      </c>
    </row>
    <row r="20" spans="1:7">
      <c r="A20" s="64"/>
      <c r="B20" s="54"/>
      <c r="C20" s="54"/>
      <c r="D20" s="66"/>
    </row>
    <row r="21" spans="1:7">
      <c r="A21" s="103" t="s">
        <v>3</v>
      </c>
      <c r="B21" s="104"/>
      <c r="C21" s="1"/>
    </row>
  </sheetData>
  <mergeCells count="5">
    <mergeCell ref="A21:B21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203"/>
  <sheetViews>
    <sheetView topLeftCell="A88" workbookViewId="0">
      <selection activeCell="F107" sqref="F107:F203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10" max="10" width="12" bestFit="1" customWidth="1"/>
    <col min="11" max="11" width="8.5" customWidth="1"/>
    <col min="17" max="17" width="10.1640625" bestFit="1" customWidth="1"/>
  </cols>
  <sheetData>
    <row r="1" spans="1:10">
      <c r="A1" s="23" t="s">
        <v>49</v>
      </c>
      <c r="B1" s="11">
        <v>70.5</v>
      </c>
      <c r="C1" s="26" t="s">
        <v>50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94" t="s">
        <v>5</v>
      </c>
      <c r="B3" s="94" t="s">
        <v>36</v>
      </c>
      <c r="C3" s="94"/>
      <c r="D3" s="94" t="s">
        <v>51</v>
      </c>
      <c r="E3" s="94"/>
      <c r="F3" s="94"/>
      <c r="G3" s="23" t="s">
        <v>52</v>
      </c>
    </row>
    <row r="4" spans="1:10">
      <c r="A4" s="94"/>
      <c r="B4" s="23" t="s">
        <v>53</v>
      </c>
      <c r="C4" s="23" t="s">
        <v>54</v>
      </c>
      <c r="D4" s="23" t="s">
        <v>55</v>
      </c>
      <c r="E4" s="23" t="s">
        <v>56</v>
      </c>
      <c r="F4" s="23" t="s">
        <v>57</v>
      </c>
      <c r="G4" s="23" t="s">
        <v>58</v>
      </c>
    </row>
    <row r="5" spans="1:10">
      <c r="A5" s="11">
        <v>0</v>
      </c>
      <c r="B5" s="11">
        <v>519.75</v>
      </c>
      <c r="C5" s="11">
        <f>B5/1000</f>
        <v>0.51975000000000005</v>
      </c>
      <c r="D5" s="11">
        <f>C5/1000*$B$1</f>
        <v>3.6642375000000005E-2</v>
      </c>
      <c r="E5" s="11">
        <f>D5/22.4</f>
        <v>1.6358203125000003E-3</v>
      </c>
      <c r="F5" s="11">
        <f>E5/Calculation!K$4*1000</f>
        <v>1.1022829463701769E-3</v>
      </c>
      <c r="G5" s="11">
        <f>(0+F5)/2*30</f>
        <v>1.6534244195552654E-2</v>
      </c>
      <c r="I5" s="115">
        <v>-0.16666666666666666</v>
      </c>
      <c r="J5" t="s">
        <v>169</v>
      </c>
    </row>
    <row r="6" spans="1:10">
      <c r="A6" s="11">
        <v>0.5</v>
      </c>
      <c r="B6" s="11">
        <v>2927.68</v>
      </c>
      <c r="C6" s="11">
        <f t="shared" ref="C6:C69" si="0">B6/1000</f>
        <v>2.9276799999999996</v>
      </c>
      <c r="D6" s="11">
        <f>C6/1000*$B$1</f>
        <v>0.20640143999999999</v>
      </c>
      <c r="E6" s="11">
        <f>D6/22.4</f>
        <v>9.2143499999999996E-3</v>
      </c>
      <c r="F6" s="11">
        <f>E6/Calculation!K$4*1000</f>
        <v>6.2090076698971403E-3</v>
      </c>
      <c r="G6" s="11">
        <f>G5+(F6+F5)/2*30</f>
        <v>0.12620360343956241</v>
      </c>
      <c r="I6" s="115">
        <v>0.16666666666666666</v>
      </c>
      <c r="J6" t="s">
        <v>170</v>
      </c>
    </row>
    <row r="7" spans="1:10">
      <c r="A7" s="11">
        <v>1</v>
      </c>
      <c r="B7" s="11">
        <v>8555.64</v>
      </c>
      <c r="C7" s="11">
        <f t="shared" si="0"/>
        <v>8.5556399999999986</v>
      </c>
      <c r="D7" s="11">
        <f t="shared" ref="D7:D69" si="1">C7/1000*$B$1</f>
        <v>0.60317261999999983</v>
      </c>
      <c r="E7" s="11">
        <f t="shared" ref="E7:E69" si="2">D7/22.4</f>
        <v>2.692734910714285E-2</v>
      </c>
      <c r="F7" s="11">
        <f>E7/Calculation!K$4*1000</f>
        <v>1.8144754338205935E-2</v>
      </c>
      <c r="G7" s="11">
        <f t="shared" ref="G7:G70" si="3">G6+(F7+F6)/2*30</f>
        <v>0.49151003356110856</v>
      </c>
      <c r="I7" s="115">
        <v>2</v>
      </c>
      <c r="J7" t="s">
        <v>171</v>
      </c>
    </row>
    <row r="8" spans="1:10">
      <c r="A8" s="11">
        <v>1.5</v>
      </c>
      <c r="B8" s="11">
        <v>9677.7099999999991</v>
      </c>
      <c r="C8" s="11">
        <f t="shared" si="0"/>
        <v>9.6777099999999994</v>
      </c>
      <c r="D8" s="11">
        <f t="shared" si="1"/>
        <v>0.6822785549999999</v>
      </c>
      <c r="E8" s="11">
        <f t="shared" si="2"/>
        <v>3.0458864062499997E-2</v>
      </c>
      <c r="F8" s="11">
        <f>E8/Calculation!K$4*1000</f>
        <v>2.0524434233604848E-2</v>
      </c>
      <c r="G8" s="11">
        <f t="shared" si="3"/>
        <v>1.0715478621382704</v>
      </c>
      <c r="I8" s="115">
        <v>3.3333333333333335</v>
      </c>
      <c r="J8" t="s">
        <v>172</v>
      </c>
    </row>
    <row r="9" spans="1:10">
      <c r="A9" s="11">
        <v>2</v>
      </c>
      <c r="B9" s="11">
        <v>10319.290000000001</v>
      </c>
      <c r="C9" s="11">
        <f t="shared" si="0"/>
        <v>10.319290000000001</v>
      </c>
      <c r="D9" s="11">
        <f t="shared" si="1"/>
        <v>0.72750994499999999</v>
      </c>
      <c r="E9" s="11">
        <f t="shared" si="2"/>
        <v>3.2478122544642857E-2</v>
      </c>
      <c r="F9" s="11">
        <f>E9/Calculation!K$5*1000</f>
        <v>2.2553340707144442E-2</v>
      </c>
      <c r="G9" s="11">
        <f t="shared" si="3"/>
        <v>1.7177144862495097</v>
      </c>
      <c r="I9" s="115">
        <v>4.666666666666667</v>
      </c>
      <c r="J9" t="s">
        <v>173</v>
      </c>
    </row>
    <row r="10" spans="1:10">
      <c r="A10" s="11">
        <v>2.5</v>
      </c>
      <c r="B10" s="11">
        <v>10904.01</v>
      </c>
      <c r="C10" s="11">
        <f t="shared" si="0"/>
        <v>10.90401</v>
      </c>
      <c r="D10" s="11">
        <f t="shared" si="1"/>
        <v>0.76873270499999991</v>
      </c>
      <c r="E10" s="11">
        <f t="shared" si="2"/>
        <v>3.4318424330357138E-2</v>
      </c>
      <c r="F10" s="11">
        <f>E10/Calculation!K$5*1000</f>
        <v>2.3831276435114238E-2</v>
      </c>
      <c r="G10" s="11">
        <f t="shared" si="3"/>
        <v>2.4134837433833898</v>
      </c>
      <c r="I10" s="115">
        <v>6</v>
      </c>
      <c r="J10" t="s">
        <v>174</v>
      </c>
    </row>
    <row r="11" spans="1:10">
      <c r="A11" s="11">
        <v>3</v>
      </c>
      <c r="B11" s="11">
        <v>9170.14</v>
      </c>
      <c r="C11" s="11">
        <f t="shared" si="0"/>
        <v>9.17014</v>
      </c>
      <c r="D11" s="11">
        <f t="shared" si="1"/>
        <v>0.64649487000000005</v>
      </c>
      <c r="E11" s="11">
        <f t="shared" si="2"/>
        <v>2.8861378125000003E-2</v>
      </c>
      <c r="F11" s="11">
        <f>E11/Calculation!K$5*1000</f>
        <v>2.0041814093044535E-2</v>
      </c>
      <c r="G11" s="11">
        <f t="shared" si="3"/>
        <v>3.0715801013057713</v>
      </c>
      <c r="I11" s="115">
        <v>7.333333333333333</v>
      </c>
      <c r="J11" t="s">
        <v>175</v>
      </c>
    </row>
    <row r="12" spans="1:10">
      <c r="A12" s="11">
        <v>3.5</v>
      </c>
      <c r="B12" s="11">
        <v>11449.48</v>
      </c>
      <c r="C12" s="11">
        <f t="shared" si="0"/>
        <v>11.449479999999999</v>
      </c>
      <c r="D12" s="11">
        <f t="shared" si="1"/>
        <v>0.80718833999999995</v>
      </c>
      <c r="E12" s="11">
        <f t="shared" si="2"/>
        <v>3.603519375E-2</v>
      </c>
      <c r="F12" s="11">
        <f>E12/Calculation!K$6*1000</f>
        <v>2.5829481028834173E-2</v>
      </c>
      <c r="G12" s="11">
        <f t="shared" si="3"/>
        <v>3.7596495281339521</v>
      </c>
      <c r="I12" s="115">
        <v>10.333333333333334</v>
      </c>
      <c r="J12" t="s">
        <v>176</v>
      </c>
    </row>
    <row r="13" spans="1:10">
      <c r="A13" s="11">
        <v>4</v>
      </c>
      <c r="B13" s="11">
        <v>13953.5</v>
      </c>
      <c r="C13" s="11">
        <f t="shared" si="0"/>
        <v>13.9535</v>
      </c>
      <c r="D13" s="11">
        <f t="shared" si="1"/>
        <v>0.98372175000000006</v>
      </c>
      <c r="E13" s="11">
        <f t="shared" si="2"/>
        <v>4.3916149553571433E-2</v>
      </c>
      <c r="F13" s="11">
        <f>E13/Calculation!K$6*1000</f>
        <v>3.1478430770291548E-2</v>
      </c>
      <c r="G13" s="11">
        <f t="shared" si="3"/>
        <v>4.6192682051208376</v>
      </c>
      <c r="I13" s="115">
        <v>11.666666666666666</v>
      </c>
      <c r="J13" t="s">
        <v>177</v>
      </c>
    </row>
    <row r="14" spans="1:10">
      <c r="A14" s="11">
        <v>4.5</v>
      </c>
      <c r="B14" s="11">
        <v>17943.7</v>
      </c>
      <c r="C14" s="11">
        <f t="shared" si="0"/>
        <v>17.9437</v>
      </c>
      <c r="D14" s="11">
        <f t="shared" si="1"/>
        <v>1.26503085</v>
      </c>
      <c r="E14" s="11">
        <f t="shared" si="2"/>
        <v>5.6474591517857151E-2</v>
      </c>
      <c r="F14" s="11">
        <f>E14/Calculation!K$6*1000</f>
        <v>4.0480131738479981E-2</v>
      </c>
      <c r="G14" s="11">
        <f t="shared" si="3"/>
        <v>5.6986466427524105</v>
      </c>
      <c r="I14" s="115">
        <v>13</v>
      </c>
      <c r="J14" t="s">
        <v>178</v>
      </c>
    </row>
    <row r="15" spans="1:10">
      <c r="A15" s="11">
        <v>5</v>
      </c>
      <c r="B15" s="11">
        <v>23088.46</v>
      </c>
      <c r="C15" s="11">
        <f t="shared" si="0"/>
        <v>23.088459999999998</v>
      </c>
      <c r="D15" s="11">
        <f t="shared" si="1"/>
        <v>1.6277364299999999</v>
      </c>
      <c r="E15" s="11">
        <f t="shared" si="2"/>
        <v>7.2666804910714283E-2</v>
      </c>
      <c r="F15" s="11">
        <f>E15/Calculation!K$7*1000</f>
        <v>5.4018455565709417E-2</v>
      </c>
      <c r="G15" s="11">
        <f t="shared" si="3"/>
        <v>7.1161254523152513</v>
      </c>
      <c r="I15" s="115">
        <v>14.333333333333334</v>
      </c>
      <c r="J15" t="s">
        <v>179</v>
      </c>
    </row>
    <row r="16" spans="1:10">
      <c r="A16" s="11">
        <v>5.5</v>
      </c>
      <c r="B16" s="11">
        <v>30189.06</v>
      </c>
      <c r="C16" s="11">
        <f t="shared" si="0"/>
        <v>30.189060000000001</v>
      </c>
      <c r="D16" s="11">
        <f t="shared" si="1"/>
        <v>2.1283287300000002</v>
      </c>
      <c r="E16" s="11">
        <f t="shared" si="2"/>
        <v>9.5014675446428581E-2</v>
      </c>
      <c r="F16" s="11">
        <f>E16/Calculation!K$7*1000</f>
        <v>7.0631232926775353E-2</v>
      </c>
      <c r="G16" s="11">
        <f t="shared" si="3"/>
        <v>8.9858707797025232</v>
      </c>
      <c r="I16" s="115">
        <v>15.666666666666666</v>
      </c>
      <c r="J16" t="s">
        <v>180</v>
      </c>
    </row>
    <row r="17" spans="1:10">
      <c r="A17" s="11">
        <v>6</v>
      </c>
      <c r="B17" s="11">
        <v>29896.69</v>
      </c>
      <c r="C17" s="11">
        <f t="shared" si="0"/>
        <v>29.89669</v>
      </c>
      <c r="D17" s="11">
        <f t="shared" si="1"/>
        <v>2.107716645</v>
      </c>
      <c r="E17" s="11">
        <f t="shared" si="2"/>
        <v>9.4094493080357153E-2</v>
      </c>
      <c r="F17" s="11">
        <f>E17/Calculation!K$8*1000</f>
        <v>7.2414657689839693E-2</v>
      </c>
      <c r="G17" s="11">
        <f t="shared" si="3"/>
        <v>11.131559138951749</v>
      </c>
      <c r="I17" s="115">
        <v>17</v>
      </c>
      <c r="J17" t="s">
        <v>181</v>
      </c>
    </row>
    <row r="18" spans="1:10">
      <c r="A18" s="11">
        <v>6.5</v>
      </c>
      <c r="B18" s="11">
        <v>29543.42</v>
      </c>
      <c r="C18" s="11">
        <f t="shared" si="0"/>
        <v>29.543419999999998</v>
      </c>
      <c r="D18" s="11">
        <f t="shared" si="1"/>
        <v>2.0828111099999997</v>
      </c>
      <c r="E18" s="11">
        <f t="shared" si="2"/>
        <v>9.2982638839285703E-2</v>
      </c>
      <c r="F18" s="11">
        <f>E18/Calculation!K$8*1000</f>
        <v>7.1558980150885049E-2</v>
      </c>
      <c r="G18" s="11">
        <f t="shared" si="3"/>
        <v>13.291163706562621</v>
      </c>
      <c r="I18" s="115">
        <v>18.333333333333332</v>
      </c>
      <c r="J18" t="s">
        <v>182</v>
      </c>
    </row>
    <row r="19" spans="1:10">
      <c r="A19" s="11">
        <v>7</v>
      </c>
      <c r="B19" s="11">
        <v>36703.58</v>
      </c>
      <c r="C19" s="11">
        <f t="shared" si="0"/>
        <v>36.703580000000002</v>
      </c>
      <c r="D19" s="11">
        <f t="shared" si="1"/>
        <v>2.5876023899999998</v>
      </c>
      <c r="E19" s="11">
        <f t="shared" si="2"/>
        <v>0.11551796383928571</v>
      </c>
      <c r="F19" s="11">
        <f>E19/Calculation!K$8*1000</f>
        <v>8.8902055100134714E-2</v>
      </c>
      <c r="G19" s="11">
        <f t="shared" si="3"/>
        <v>15.698079235327917</v>
      </c>
      <c r="I19" s="115">
        <v>24</v>
      </c>
      <c r="J19" t="s">
        <v>183</v>
      </c>
    </row>
    <row r="20" spans="1:10">
      <c r="A20" s="11">
        <v>7.5</v>
      </c>
      <c r="B20" s="11">
        <v>45800.63</v>
      </c>
      <c r="C20" s="11">
        <f t="shared" si="0"/>
        <v>45.800629999999998</v>
      </c>
      <c r="D20" s="11">
        <f t="shared" si="1"/>
        <v>3.2289444149999995</v>
      </c>
      <c r="E20" s="11">
        <f t="shared" si="2"/>
        <v>0.14414930424107142</v>
      </c>
      <c r="F20" s="11">
        <f>E20/Calculation!K$9*1000</f>
        <v>0.11498344775007638</v>
      </c>
      <c r="G20" s="11">
        <f t="shared" si="3"/>
        <v>18.756361778081082</v>
      </c>
      <c r="I20" s="115">
        <v>30</v>
      </c>
      <c r="J20" t="s">
        <v>184</v>
      </c>
    </row>
    <row r="21" spans="1:10">
      <c r="A21" s="11">
        <v>8</v>
      </c>
      <c r="B21" s="11">
        <v>55272.61</v>
      </c>
      <c r="C21" s="11">
        <f t="shared" si="0"/>
        <v>55.27261</v>
      </c>
      <c r="D21" s="11">
        <f t="shared" si="1"/>
        <v>3.896719005</v>
      </c>
      <c r="E21" s="11">
        <f t="shared" si="2"/>
        <v>0.17396066986607145</v>
      </c>
      <c r="F21" s="11">
        <f>E21/Calculation!K$9*1000</f>
        <v>0.13876305334545289</v>
      </c>
      <c r="G21" s="11">
        <f t="shared" si="3"/>
        <v>22.562559294514021</v>
      </c>
      <c r="I21" s="115">
        <v>48</v>
      </c>
      <c r="J21" t="s">
        <v>185</v>
      </c>
    </row>
    <row r="22" spans="1:10">
      <c r="A22" s="11">
        <v>8.5</v>
      </c>
      <c r="B22" s="11">
        <v>64953.03</v>
      </c>
      <c r="C22" s="11">
        <f t="shared" si="0"/>
        <v>64.953029999999998</v>
      </c>
      <c r="D22" s="11">
        <f t="shared" si="1"/>
        <v>4.5791886149999996</v>
      </c>
      <c r="E22" s="11">
        <f t="shared" si="2"/>
        <v>0.20442806316964285</v>
      </c>
      <c r="F22" s="11">
        <f>E22/Calculation!K$9*1000</f>
        <v>0.16306595195773821</v>
      </c>
      <c r="G22" s="11">
        <f t="shared" si="3"/>
        <v>27.089994374061888</v>
      </c>
    </row>
    <row r="23" spans="1:10">
      <c r="A23" s="11">
        <v>9</v>
      </c>
      <c r="B23" s="11">
        <v>73866</v>
      </c>
      <c r="C23" s="11">
        <f t="shared" si="0"/>
        <v>73.866</v>
      </c>
      <c r="D23" s="11">
        <f t="shared" si="1"/>
        <v>5.2075529999999999</v>
      </c>
      <c r="E23" s="11">
        <f t="shared" si="2"/>
        <v>0.23248004464285715</v>
      </c>
      <c r="F23" s="11">
        <f>E23/Calculation!K$9*1000</f>
        <v>0.18544215115615531</v>
      </c>
      <c r="G23" s="11">
        <f t="shared" si="3"/>
        <v>32.317615920770294</v>
      </c>
    </row>
    <row r="24" spans="1:10">
      <c r="A24" s="11">
        <v>9.5</v>
      </c>
      <c r="B24" s="11">
        <v>76057.36</v>
      </c>
      <c r="C24" s="11">
        <f t="shared" si="0"/>
        <v>76.057360000000003</v>
      </c>
      <c r="D24" s="11">
        <f t="shared" si="1"/>
        <v>5.3620438799999999</v>
      </c>
      <c r="E24" s="11">
        <f t="shared" si="2"/>
        <v>0.23937695892857144</v>
      </c>
      <c r="F24" s="11">
        <f>E24/Calculation!K$9*1000</f>
        <v>0.19094360666149679</v>
      </c>
      <c r="G24" s="11">
        <f t="shared" si="3"/>
        <v>37.963402288035077</v>
      </c>
    </row>
    <row r="25" spans="1:10">
      <c r="A25" s="11">
        <v>10</v>
      </c>
      <c r="B25" s="11">
        <v>77701.899999999994</v>
      </c>
      <c r="C25" s="11">
        <f t="shared" si="0"/>
        <v>77.701899999999995</v>
      </c>
      <c r="D25" s="11">
        <f t="shared" si="1"/>
        <v>5.4779839499999996</v>
      </c>
      <c r="E25" s="11">
        <f t="shared" si="2"/>
        <v>0.2445528549107143</v>
      </c>
      <c r="F25" s="11">
        <f>E25/Calculation!K$9*1000</f>
        <v>0.19507225902201913</v>
      </c>
      <c r="G25" s="11">
        <f t="shared" si="3"/>
        <v>43.753640273287814</v>
      </c>
    </row>
    <row r="26" spans="1:10">
      <c r="A26" s="11">
        <v>10.5</v>
      </c>
      <c r="B26" s="11">
        <v>79806.63</v>
      </c>
      <c r="C26" s="11">
        <f t="shared" si="0"/>
        <v>79.806629999999998</v>
      </c>
      <c r="D26" s="11">
        <f t="shared" si="1"/>
        <v>5.6263674149999998</v>
      </c>
      <c r="E26" s="11">
        <f t="shared" si="2"/>
        <v>0.25117711674107146</v>
      </c>
      <c r="F26" s="11">
        <f>E26/Calculation!K$10*1000</f>
        <v>0.20784922523284868</v>
      </c>
      <c r="G26" s="11">
        <f t="shared" si="3"/>
        <v>49.797462537110832</v>
      </c>
    </row>
    <row r="27" spans="1:10">
      <c r="A27" s="11">
        <v>11</v>
      </c>
      <c r="B27" s="11">
        <v>83107.88</v>
      </c>
      <c r="C27" s="11">
        <f t="shared" si="0"/>
        <v>83.107880000000009</v>
      </c>
      <c r="D27" s="11">
        <f t="shared" si="1"/>
        <v>5.8591055400000007</v>
      </c>
      <c r="E27" s="11">
        <f t="shared" si="2"/>
        <v>0.26156721160714291</v>
      </c>
      <c r="F27" s="11">
        <f>E27/Calculation!K$10*1000</f>
        <v>0.21644703539974766</v>
      </c>
      <c r="G27" s="11">
        <f t="shared" si="3"/>
        <v>56.161906446599779</v>
      </c>
    </row>
    <row r="28" spans="1:10">
      <c r="A28" s="11">
        <v>11.5</v>
      </c>
      <c r="B28" s="11">
        <v>87500.08</v>
      </c>
      <c r="C28" s="11">
        <f t="shared" si="0"/>
        <v>87.500079999999997</v>
      </c>
      <c r="D28" s="11">
        <f t="shared" si="1"/>
        <v>6.1687556399999997</v>
      </c>
      <c r="E28" s="11">
        <f t="shared" si="2"/>
        <v>0.27539087678571428</v>
      </c>
      <c r="F28" s="11">
        <f>E28/Calculation!K$10*1000</f>
        <v>0.22788612720286869</v>
      </c>
      <c r="G28" s="11">
        <f t="shared" si="3"/>
        <v>62.826903885639027</v>
      </c>
    </row>
    <row r="29" spans="1:10">
      <c r="A29" s="11">
        <v>12</v>
      </c>
      <c r="B29" s="11">
        <v>98257.9</v>
      </c>
      <c r="C29" s="11">
        <f t="shared" si="0"/>
        <v>98.257899999999992</v>
      </c>
      <c r="D29" s="11">
        <f t="shared" si="1"/>
        <v>6.9271819499999996</v>
      </c>
      <c r="E29" s="11">
        <f t="shared" si="2"/>
        <v>0.30924919419642855</v>
      </c>
      <c r="F29" s="11">
        <f>E29/Calculation!K$11*1000</f>
        <v>0.26532630983511551</v>
      </c>
      <c r="G29" s="11">
        <f t="shared" si="3"/>
        <v>70.225090441208792</v>
      </c>
    </row>
    <row r="30" spans="1:10">
      <c r="A30" s="11">
        <v>12.5</v>
      </c>
      <c r="B30" s="11">
        <v>93298.58</v>
      </c>
      <c r="C30" s="11">
        <f t="shared" si="0"/>
        <v>93.298580000000001</v>
      </c>
      <c r="D30" s="11">
        <f t="shared" si="1"/>
        <v>6.5775498900000002</v>
      </c>
      <c r="E30" s="11">
        <f t="shared" si="2"/>
        <v>0.29364062008928576</v>
      </c>
      <c r="F30" s="11">
        <f>E30/Calculation!K$11*1000</f>
        <v>0.25193463267845456</v>
      </c>
      <c r="G30" s="11">
        <f t="shared" si="3"/>
        <v>77.984004578912348</v>
      </c>
    </row>
    <row r="31" spans="1:10">
      <c r="A31" s="11">
        <v>13</v>
      </c>
      <c r="B31" s="11">
        <v>93731.71</v>
      </c>
      <c r="C31" s="11">
        <f t="shared" si="0"/>
        <v>93.731710000000007</v>
      </c>
      <c r="D31" s="11">
        <f t="shared" si="1"/>
        <v>6.6080855550000006</v>
      </c>
      <c r="E31" s="11">
        <f t="shared" si="2"/>
        <v>0.29500381941964288</v>
      </c>
      <c r="F31" s="11">
        <f>E31/Calculation!K$12*1000</f>
        <v>0.2633947851611923</v>
      </c>
      <c r="G31" s="11">
        <f t="shared" si="3"/>
        <v>85.713945846507045</v>
      </c>
    </row>
    <row r="32" spans="1:10">
      <c r="A32" s="11">
        <v>13.5</v>
      </c>
      <c r="B32" s="11">
        <v>112476.7</v>
      </c>
      <c r="C32" s="11">
        <f t="shared" si="0"/>
        <v>112.47669999999999</v>
      </c>
      <c r="D32" s="11">
        <f t="shared" si="1"/>
        <v>7.9296073499999995</v>
      </c>
      <c r="E32" s="11">
        <f t="shared" si="2"/>
        <v>0.35400032812499999</v>
      </c>
      <c r="F32" s="11">
        <f>E32/Calculation!K$12*1000</f>
        <v>0.31606994294822827</v>
      </c>
      <c r="G32" s="11">
        <f t="shared" si="3"/>
        <v>94.405916768148359</v>
      </c>
    </row>
    <row r="33" spans="1:7">
      <c r="A33" s="11">
        <v>14</v>
      </c>
      <c r="B33" s="11">
        <v>98332.35</v>
      </c>
      <c r="C33" s="11">
        <f t="shared" si="0"/>
        <v>98.332350000000005</v>
      </c>
      <c r="D33" s="11">
        <f t="shared" si="1"/>
        <v>6.932430675</v>
      </c>
      <c r="E33" s="11">
        <f t="shared" si="2"/>
        <v>0.30948351227678572</v>
      </c>
      <c r="F33" s="11">
        <f>E33/Calculation!K$13*1000</f>
        <v>0.28976575061305804</v>
      </c>
      <c r="G33" s="11">
        <f t="shared" si="3"/>
        <v>103.49345217156765</v>
      </c>
    </row>
    <row r="34" spans="1:7">
      <c r="A34" s="11">
        <v>14.5</v>
      </c>
      <c r="B34" s="11">
        <v>96744.66</v>
      </c>
      <c r="C34" s="11">
        <f t="shared" si="0"/>
        <v>96.74466000000001</v>
      </c>
      <c r="D34" s="11">
        <f t="shared" si="1"/>
        <v>6.8204985300000009</v>
      </c>
      <c r="E34" s="11">
        <f t="shared" si="2"/>
        <v>0.3044865415178572</v>
      </c>
      <c r="F34" s="11">
        <f>E34/Calculation!K$13*1000</f>
        <v>0.2850871460176137</v>
      </c>
      <c r="G34" s="11">
        <f t="shared" si="3"/>
        <v>112.11624562102773</v>
      </c>
    </row>
    <row r="35" spans="1:7">
      <c r="A35" s="11">
        <v>15</v>
      </c>
      <c r="B35" s="11">
        <v>98590.87</v>
      </c>
      <c r="C35" s="11">
        <f t="shared" si="0"/>
        <v>98.590869999999995</v>
      </c>
      <c r="D35" s="11">
        <f t="shared" si="1"/>
        <v>6.9506563349999997</v>
      </c>
      <c r="E35" s="11">
        <f t="shared" si="2"/>
        <v>0.3102971578125</v>
      </c>
      <c r="F35" s="11">
        <f>E35/Calculation!K$13*1000</f>
        <v>0.29052755730077051</v>
      </c>
      <c r="G35" s="11">
        <f t="shared" si="3"/>
        <v>120.75046617080349</v>
      </c>
    </row>
    <row r="36" spans="1:7">
      <c r="A36" s="11">
        <v>15.5</v>
      </c>
      <c r="B36" s="11">
        <v>99968.76</v>
      </c>
      <c r="C36" s="11">
        <f t="shared" si="0"/>
        <v>99.968759999999989</v>
      </c>
      <c r="D36" s="11">
        <f t="shared" si="1"/>
        <v>7.0477975799999992</v>
      </c>
      <c r="E36" s="11">
        <f t="shared" si="2"/>
        <v>0.31463382053571426</v>
      </c>
      <c r="F36" s="11">
        <f>E36/Calculation!K$13*1000</f>
        <v>0.29458792329540223</v>
      </c>
      <c r="G36" s="11">
        <f t="shared" si="3"/>
        <v>129.5271983797461</v>
      </c>
    </row>
    <row r="37" spans="1:7">
      <c r="A37" s="11">
        <v>16</v>
      </c>
      <c r="B37" s="11">
        <v>102027.48</v>
      </c>
      <c r="C37" s="11">
        <f t="shared" si="0"/>
        <v>102.02748</v>
      </c>
      <c r="D37" s="11">
        <f t="shared" si="1"/>
        <v>7.1929373400000003</v>
      </c>
      <c r="E37" s="11">
        <f t="shared" si="2"/>
        <v>0.32111327410714291</v>
      </c>
      <c r="F37" s="11">
        <f>E37/Calculation!K$14*1000</f>
        <v>0.31414186632679986</v>
      </c>
      <c r="G37" s="11">
        <f t="shared" si="3"/>
        <v>138.65814522407914</v>
      </c>
    </row>
    <row r="38" spans="1:7">
      <c r="A38" s="11">
        <v>16.5</v>
      </c>
      <c r="B38" s="11">
        <v>104607.3</v>
      </c>
      <c r="C38" s="11">
        <f t="shared" si="0"/>
        <v>104.60730000000001</v>
      </c>
      <c r="D38" s="11">
        <f t="shared" si="1"/>
        <v>7.3748146500000011</v>
      </c>
      <c r="E38" s="11">
        <f t="shared" si="2"/>
        <v>0.32923279687500007</v>
      </c>
      <c r="F38" s="11">
        <f>E38/Calculation!K$14*1000</f>
        <v>0.32208511327935818</v>
      </c>
      <c r="G38" s="11">
        <f t="shared" si="3"/>
        <v>148.20154991817151</v>
      </c>
    </row>
    <row r="39" spans="1:7">
      <c r="A39" s="11">
        <v>17</v>
      </c>
      <c r="B39" s="11">
        <v>106821.67</v>
      </c>
      <c r="C39" s="11">
        <f t="shared" si="0"/>
        <v>106.82167</v>
      </c>
      <c r="D39" s="11">
        <f t="shared" si="1"/>
        <v>7.5309277349999997</v>
      </c>
      <c r="E39" s="11">
        <f t="shared" si="2"/>
        <v>0.3362021310267857</v>
      </c>
      <c r="F39" s="11">
        <f>E39/Calculation!K$15*1000</f>
        <v>0.34223705352526768</v>
      </c>
      <c r="G39" s="11">
        <f t="shared" si="3"/>
        <v>158.16638242024089</v>
      </c>
    </row>
    <row r="40" spans="1:7">
      <c r="A40" s="11">
        <v>17.5</v>
      </c>
      <c r="B40" s="11">
        <v>108800.52</v>
      </c>
      <c r="C40" s="11">
        <f t="shared" si="0"/>
        <v>108.80052000000001</v>
      </c>
      <c r="D40" s="11">
        <f t="shared" si="1"/>
        <v>7.6704366600000009</v>
      </c>
      <c r="E40" s="11">
        <f t="shared" si="2"/>
        <v>0.34243020803571433</v>
      </c>
      <c r="F40" s="11">
        <f>E40/Calculation!K$15*1000</f>
        <v>0.348576926262405</v>
      </c>
      <c r="G40" s="11">
        <f t="shared" si="3"/>
        <v>168.52859211705598</v>
      </c>
    </row>
    <row r="41" spans="1:7">
      <c r="A41" s="11">
        <v>18</v>
      </c>
      <c r="B41" s="11">
        <v>113685.4</v>
      </c>
      <c r="C41" s="11">
        <f t="shared" si="0"/>
        <v>113.68539999999999</v>
      </c>
      <c r="D41" s="11">
        <f t="shared" si="1"/>
        <v>8.0148206999999996</v>
      </c>
      <c r="E41" s="11">
        <f t="shared" si="2"/>
        <v>0.35780449553571431</v>
      </c>
      <c r="F41" s="11">
        <f>E41/Calculation!K$15*1000</f>
        <v>0.36422718653285863</v>
      </c>
      <c r="G41" s="11">
        <f t="shared" si="3"/>
        <v>179.22065380898493</v>
      </c>
    </row>
    <row r="42" spans="1:7">
      <c r="A42" s="11">
        <v>18.5</v>
      </c>
      <c r="B42" s="11">
        <v>114733.03</v>
      </c>
      <c r="C42" s="11">
        <f t="shared" si="0"/>
        <v>114.73303</v>
      </c>
      <c r="D42" s="11">
        <f t="shared" si="1"/>
        <v>8.0886786149999992</v>
      </c>
      <c r="E42" s="11">
        <f t="shared" si="2"/>
        <v>0.36110172388392858</v>
      </c>
      <c r="F42" s="11">
        <f>E42/Calculation!K$16*1000</f>
        <v>0.38570391941605364</v>
      </c>
      <c r="G42" s="11">
        <f t="shared" si="3"/>
        <v>190.46962039821861</v>
      </c>
    </row>
    <row r="43" spans="1:7">
      <c r="A43" s="11">
        <v>19</v>
      </c>
      <c r="B43" s="11">
        <v>116346.43</v>
      </c>
      <c r="C43" s="11">
        <f t="shared" si="0"/>
        <v>116.34643</v>
      </c>
      <c r="D43" s="11">
        <f t="shared" si="1"/>
        <v>8.2024233150000008</v>
      </c>
      <c r="E43" s="11">
        <f t="shared" si="2"/>
        <v>0.36617961227678575</v>
      </c>
      <c r="F43" s="11">
        <f>E43/Calculation!K$16*1000</f>
        <v>0.39112776905713664</v>
      </c>
      <c r="G43" s="11">
        <f t="shared" si="3"/>
        <v>202.12209572531646</v>
      </c>
    </row>
    <row r="44" spans="1:7">
      <c r="A44" s="11">
        <v>19.5</v>
      </c>
      <c r="B44" s="11">
        <v>136371.85999999999</v>
      </c>
      <c r="C44" s="11">
        <f t="shared" si="0"/>
        <v>136.37186</v>
      </c>
      <c r="D44" s="11">
        <f t="shared" si="1"/>
        <v>9.6142161300000009</v>
      </c>
      <c r="E44" s="11">
        <f t="shared" si="2"/>
        <v>0.42920607723214294</v>
      </c>
      <c r="F44" s="11">
        <f>E44/Calculation!K$16*1000</f>
        <v>0.45844828555523515</v>
      </c>
      <c r="G44" s="11">
        <f t="shared" si="3"/>
        <v>214.86573654450203</v>
      </c>
    </row>
    <row r="45" spans="1:7">
      <c r="A45" s="11">
        <v>20</v>
      </c>
      <c r="B45" s="11">
        <v>113329.42</v>
      </c>
      <c r="C45" s="11">
        <f t="shared" si="0"/>
        <v>113.32942</v>
      </c>
      <c r="D45" s="11">
        <f t="shared" si="1"/>
        <v>7.98972411</v>
      </c>
      <c r="E45" s="11">
        <f t="shared" si="2"/>
        <v>0.35668411205357148</v>
      </c>
      <c r="F45" s="11">
        <f>E45/Calculation!K$16*1000</f>
        <v>0.38098533159237669</v>
      </c>
      <c r="G45" s="11">
        <f t="shared" si="3"/>
        <v>227.45724080171621</v>
      </c>
    </row>
    <row r="46" spans="1:7">
      <c r="A46" s="11">
        <v>20.5</v>
      </c>
      <c r="B46" s="11">
        <v>112334.58</v>
      </c>
      <c r="C46" s="11">
        <f t="shared" si="0"/>
        <v>112.33458</v>
      </c>
      <c r="D46" s="11">
        <f t="shared" si="1"/>
        <v>7.9195878899999999</v>
      </c>
      <c r="E46" s="11">
        <f t="shared" si="2"/>
        <v>0.35355303080357142</v>
      </c>
      <c r="F46" s="11">
        <f>E46/Calculation!K$16*1000</f>
        <v>0.37764092687133105</v>
      </c>
      <c r="G46" s="11">
        <f t="shared" si="3"/>
        <v>238.83663467867183</v>
      </c>
    </row>
    <row r="47" spans="1:7">
      <c r="A47" s="11">
        <v>21</v>
      </c>
      <c r="B47" s="11">
        <v>109531.43</v>
      </c>
      <c r="C47" s="11">
        <f t="shared" si="0"/>
        <v>109.53142999999999</v>
      </c>
      <c r="D47" s="11">
        <f t="shared" si="1"/>
        <v>7.721965814999999</v>
      </c>
      <c r="E47" s="11">
        <f t="shared" si="2"/>
        <v>0.34473061674107142</v>
      </c>
      <c r="F47" s="11">
        <f>E47/Calculation!K$16*1000</f>
        <v>0.36821743355200431</v>
      </c>
      <c r="G47" s="11">
        <f t="shared" si="3"/>
        <v>250.02451008502186</v>
      </c>
    </row>
    <row r="48" spans="1:7">
      <c r="A48" s="11">
        <v>21.5</v>
      </c>
      <c r="B48" s="11">
        <v>63240.82</v>
      </c>
      <c r="C48" s="11">
        <f t="shared" si="0"/>
        <v>63.240819999999999</v>
      </c>
      <c r="D48" s="11">
        <f t="shared" si="1"/>
        <v>4.4584778100000007</v>
      </c>
      <c r="E48" s="11">
        <f t="shared" si="2"/>
        <v>0.19903918794642861</v>
      </c>
      <c r="F48" s="11">
        <f>E48/Calculation!K$16*1000</f>
        <v>0.21259991251939531</v>
      </c>
      <c r="G48" s="11">
        <f t="shared" si="3"/>
        <v>258.73677027609284</v>
      </c>
    </row>
    <row r="49" spans="1:7">
      <c r="A49" s="11">
        <v>22</v>
      </c>
      <c r="B49" s="11">
        <v>25018.58</v>
      </c>
      <c r="C49" s="11">
        <f t="shared" si="0"/>
        <v>25.01858</v>
      </c>
      <c r="D49" s="11">
        <f t="shared" si="1"/>
        <v>1.7638098899999999</v>
      </c>
      <c r="E49" s="11">
        <f t="shared" si="2"/>
        <v>7.8741512946428574E-2</v>
      </c>
      <c r="F49" s="11">
        <f>E49/Calculation!K$16*1000</f>
        <v>8.4106245291561549E-2</v>
      </c>
      <c r="G49" s="11">
        <f t="shared" si="3"/>
        <v>263.18736264325719</v>
      </c>
    </row>
    <row r="50" spans="1:7">
      <c r="A50" s="11">
        <v>22.5</v>
      </c>
      <c r="B50" s="11">
        <v>8118.45</v>
      </c>
      <c r="C50" s="11">
        <f t="shared" si="0"/>
        <v>8.1184499999999993</v>
      </c>
      <c r="D50" s="11">
        <f t="shared" si="1"/>
        <v>0.57235072499999995</v>
      </c>
      <c r="E50" s="11">
        <f t="shared" si="2"/>
        <v>2.5551371651785712E-2</v>
      </c>
      <c r="F50" s="11">
        <f>E50/Calculation!K$16*1000</f>
        <v>2.7292210312786652E-2</v>
      </c>
      <c r="G50" s="11">
        <f t="shared" si="3"/>
        <v>264.85833947732243</v>
      </c>
    </row>
    <row r="51" spans="1:7">
      <c r="A51" s="11">
        <v>23</v>
      </c>
      <c r="B51" s="11">
        <v>2307.7600000000002</v>
      </c>
      <c r="C51" s="11">
        <f t="shared" si="0"/>
        <v>2.30776</v>
      </c>
      <c r="D51" s="11">
        <f t="shared" si="1"/>
        <v>0.16269707999999999</v>
      </c>
      <c r="E51" s="11">
        <f t="shared" si="2"/>
        <v>7.2632625000000001E-3</v>
      </c>
      <c r="F51" s="11">
        <f>E51/Calculation!K$16*1000</f>
        <v>7.7581153140607543E-3</v>
      </c>
      <c r="G51" s="11">
        <f t="shared" si="3"/>
        <v>265.38409436172515</v>
      </c>
    </row>
    <row r="52" spans="1:7">
      <c r="A52" s="11">
        <v>23.5</v>
      </c>
      <c r="B52" s="11">
        <v>1235.77</v>
      </c>
      <c r="C52" s="11">
        <f t="shared" si="0"/>
        <v>1.23577</v>
      </c>
      <c r="D52" s="11">
        <f t="shared" si="1"/>
        <v>8.7121784999999993E-2</v>
      </c>
      <c r="E52" s="11">
        <f t="shared" si="2"/>
        <v>3.8893654017857142E-3</v>
      </c>
      <c r="F52" s="11">
        <f>E52/Calculation!K$16*1000</f>
        <v>4.1543514757413505E-3</v>
      </c>
      <c r="G52" s="11">
        <f t="shared" si="3"/>
        <v>265.56278136357219</v>
      </c>
    </row>
    <row r="53" spans="1:7">
      <c r="A53" s="11">
        <v>24</v>
      </c>
      <c r="B53" s="11">
        <v>766.1</v>
      </c>
      <c r="C53" s="11">
        <f t="shared" si="0"/>
        <v>0.7661</v>
      </c>
      <c r="D53" s="11">
        <f t="shared" si="1"/>
        <v>5.4010050000000004E-2</v>
      </c>
      <c r="E53" s="11">
        <f t="shared" si="2"/>
        <v>2.4111629464285719E-3</v>
      </c>
      <c r="F53" s="11">
        <f>E53/Calculation!K$17*1000</f>
        <v>2.7321799897943064E-3</v>
      </c>
      <c r="G53" s="11">
        <f t="shared" si="3"/>
        <v>265.6660793355552</v>
      </c>
    </row>
    <row r="54" spans="1:7">
      <c r="A54" s="11">
        <v>24.5</v>
      </c>
      <c r="B54" s="11">
        <v>649.69000000000005</v>
      </c>
      <c r="C54" s="11">
        <f t="shared" si="0"/>
        <v>0.6496900000000001</v>
      </c>
      <c r="D54" s="11">
        <f t="shared" si="1"/>
        <v>4.5803145000000003E-2</v>
      </c>
      <c r="E54" s="11">
        <f t="shared" si="2"/>
        <v>2.0447832589285718E-3</v>
      </c>
      <c r="F54" s="11">
        <f>E54/Calculation!K$17*1000</f>
        <v>2.3170212995293864E-3</v>
      </c>
      <c r="G54" s="11">
        <f t="shared" si="3"/>
        <v>265.74181735489503</v>
      </c>
    </row>
    <row r="55" spans="1:7">
      <c r="A55" s="11">
        <v>25</v>
      </c>
      <c r="B55" s="11">
        <v>544.12</v>
      </c>
      <c r="C55" s="11">
        <f t="shared" si="0"/>
        <v>0.54412000000000005</v>
      </c>
      <c r="D55" s="11">
        <f t="shared" si="1"/>
        <v>3.8360460000000006E-2</v>
      </c>
      <c r="E55" s="11">
        <f t="shared" si="2"/>
        <v>1.712520535714286E-3</v>
      </c>
      <c r="F55" s="11">
        <f>E55/Calculation!K$17*1000</f>
        <v>1.9405218327201122E-3</v>
      </c>
      <c r="G55" s="11">
        <f t="shared" si="3"/>
        <v>265.80568050187878</v>
      </c>
    </row>
    <row r="56" spans="1:7">
      <c r="A56" s="11">
        <v>25.5</v>
      </c>
      <c r="B56" s="11">
        <v>236.87</v>
      </c>
      <c r="C56" s="11">
        <f t="shared" si="0"/>
        <v>0.23687</v>
      </c>
      <c r="D56" s="11">
        <f t="shared" si="1"/>
        <v>1.6699334999999999E-2</v>
      </c>
      <c r="E56" s="11">
        <f t="shared" si="2"/>
        <v>7.4550602678571433E-4</v>
      </c>
      <c r="F56" s="11">
        <f>E56/Calculation!K$17*1000</f>
        <v>8.4476109409029802E-4</v>
      </c>
      <c r="G56" s="11">
        <f t="shared" si="3"/>
        <v>265.84745974578095</v>
      </c>
    </row>
    <row r="57" spans="1:7">
      <c r="A57" s="11">
        <v>26</v>
      </c>
      <c r="B57" s="11">
        <v>633.45000000000005</v>
      </c>
      <c r="C57" s="11">
        <f t="shared" si="0"/>
        <v>0.63345000000000007</v>
      </c>
      <c r="D57" s="11">
        <f t="shared" si="1"/>
        <v>4.4658225000000003E-2</v>
      </c>
      <c r="E57" s="11">
        <f t="shared" si="2"/>
        <v>1.9936707589285718E-3</v>
      </c>
      <c r="F57" s="11">
        <f>E57/Calculation!K$17*1000</f>
        <v>2.2591037913264628E-3</v>
      </c>
      <c r="G57" s="11">
        <f t="shared" si="3"/>
        <v>265.89401771906222</v>
      </c>
    </row>
    <row r="58" spans="1:7">
      <c r="A58" s="11">
        <v>26.5</v>
      </c>
      <c r="B58" s="11">
        <v>560.36</v>
      </c>
      <c r="C58" s="11">
        <f t="shared" si="0"/>
        <v>0.56035999999999997</v>
      </c>
      <c r="D58" s="11">
        <f t="shared" si="1"/>
        <v>3.950538E-2</v>
      </c>
      <c r="E58" s="11">
        <f t="shared" si="2"/>
        <v>1.7636330357142858E-3</v>
      </c>
      <c r="F58" s="11">
        <f>E58/Calculation!K$17*1000</f>
        <v>1.9984393409230353E-3</v>
      </c>
      <c r="G58" s="11">
        <f t="shared" si="3"/>
        <v>265.95788086604597</v>
      </c>
    </row>
    <row r="59" spans="1:7">
      <c r="A59" s="11">
        <v>27</v>
      </c>
      <c r="B59" s="11">
        <v>515.69000000000005</v>
      </c>
      <c r="C59" s="11">
        <f t="shared" si="0"/>
        <v>0.51569000000000009</v>
      </c>
      <c r="D59" s="11">
        <f t="shared" si="1"/>
        <v>3.6356145000000006E-2</v>
      </c>
      <c r="E59" s="11">
        <f t="shared" si="2"/>
        <v>1.6230421875000004E-3</v>
      </c>
      <c r="F59" s="11">
        <f>E59/Calculation!K$17*1000</f>
        <v>1.839130529874724E-3</v>
      </c>
      <c r="G59" s="11">
        <f t="shared" si="3"/>
        <v>266.01544441410795</v>
      </c>
    </row>
    <row r="60" spans="1:7">
      <c r="A60" s="11">
        <v>27.5</v>
      </c>
      <c r="B60" s="11">
        <v>739.03</v>
      </c>
      <c r="C60" s="11">
        <f t="shared" si="0"/>
        <v>0.73902999999999996</v>
      </c>
      <c r="D60" s="11">
        <f t="shared" si="1"/>
        <v>5.2101614999999997E-2</v>
      </c>
      <c r="E60" s="11">
        <f t="shared" si="2"/>
        <v>2.325964955357143E-3</v>
      </c>
      <c r="F60" s="11">
        <f>E60/Calculation!K$17*1000</f>
        <v>2.6356389216260099E-3</v>
      </c>
      <c r="G60" s="11">
        <f t="shared" si="3"/>
        <v>266.08256595588045</v>
      </c>
    </row>
    <row r="61" spans="1:7">
      <c r="A61" s="11">
        <v>28</v>
      </c>
      <c r="B61" s="11">
        <v>487.27</v>
      </c>
      <c r="C61" s="11">
        <f t="shared" si="0"/>
        <v>0.48726999999999998</v>
      </c>
      <c r="D61" s="11">
        <f t="shared" si="1"/>
        <v>3.4352534999999997E-2</v>
      </c>
      <c r="E61" s="11">
        <f t="shared" si="2"/>
        <v>1.5335953124999998E-3</v>
      </c>
      <c r="F61" s="11">
        <f>E61/Calculation!K$17*1000</f>
        <v>1.7377748905196074E-3</v>
      </c>
      <c r="G61" s="11">
        <f t="shared" si="3"/>
        <v>266.14816716306262</v>
      </c>
    </row>
    <row r="62" spans="1:7">
      <c r="A62" s="11">
        <v>28.5</v>
      </c>
      <c r="B62" s="11">
        <v>517.04999999999995</v>
      </c>
      <c r="C62" s="11">
        <f t="shared" si="0"/>
        <v>0.51705000000000001</v>
      </c>
      <c r="D62" s="11">
        <f t="shared" si="1"/>
        <v>3.6452024999999999E-2</v>
      </c>
      <c r="E62" s="11">
        <f t="shared" si="2"/>
        <v>1.6273225446428571E-3</v>
      </c>
      <c r="F62" s="11">
        <f>E62/Calculation!K$17*1000</f>
        <v>1.8439807645518154E-3</v>
      </c>
      <c r="G62" s="11">
        <f t="shared" si="3"/>
        <v>266.2018934978887</v>
      </c>
    </row>
    <row r="63" spans="1:7">
      <c r="A63" s="11">
        <v>29</v>
      </c>
      <c r="B63" s="11">
        <v>668.64</v>
      </c>
      <c r="C63" s="11">
        <f t="shared" si="0"/>
        <v>0.66864000000000001</v>
      </c>
      <c r="D63" s="11">
        <f t="shared" si="1"/>
        <v>4.713912E-2</v>
      </c>
      <c r="E63" s="11">
        <f t="shared" si="2"/>
        <v>2.104425E-3</v>
      </c>
      <c r="F63" s="11">
        <f>E63/Calculation!K$17*1000</f>
        <v>2.384603613596221E-3</v>
      </c>
      <c r="G63" s="11">
        <f t="shared" si="3"/>
        <v>266.2653222635609</v>
      </c>
    </row>
    <row r="64" spans="1:7">
      <c r="A64" s="11">
        <v>29.5</v>
      </c>
      <c r="B64" s="11">
        <v>527.88</v>
      </c>
      <c r="C64" s="11">
        <f t="shared" si="0"/>
        <v>0.52788000000000002</v>
      </c>
      <c r="D64" s="11">
        <f t="shared" si="1"/>
        <v>3.7215539999999998E-2</v>
      </c>
      <c r="E64" s="11">
        <f t="shared" si="2"/>
        <v>1.6614080357142858E-3</v>
      </c>
      <c r="F64" s="11">
        <f>E64/Calculation!K$17*1000</f>
        <v>1.8826043245171885E-3</v>
      </c>
      <c r="G64" s="11">
        <f t="shared" si="3"/>
        <v>266.32933038263258</v>
      </c>
    </row>
    <row r="65" spans="1:7">
      <c r="A65" s="11">
        <v>30</v>
      </c>
      <c r="B65" s="11">
        <v>660.52</v>
      </c>
      <c r="C65" s="11">
        <f t="shared" si="0"/>
        <v>0.66052</v>
      </c>
      <c r="D65" s="11">
        <f t="shared" si="1"/>
        <v>4.6566659999999996E-2</v>
      </c>
      <c r="E65" s="11">
        <f t="shared" si="2"/>
        <v>2.0788687499999998E-3</v>
      </c>
      <c r="F65" s="11">
        <f>E65/Calculation!K$18*1000</f>
        <v>2.5023813579727414E-3</v>
      </c>
      <c r="G65" s="11">
        <f t="shared" si="3"/>
        <v>266.39510516786993</v>
      </c>
    </row>
    <row r="66" spans="1:7">
      <c r="A66" s="11">
        <v>30.5</v>
      </c>
      <c r="B66" s="11">
        <v>494.04</v>
      </c>
      <c r="C66" s="11">
        <f t="shared" si="0"/>
        <v>0.49404000000000003</v>
      </c>
      <c r="D66" s="11">
        <f t="shared" si="1"/>
        <v>3.4829820000000004E-2</v>
      </c>
      <c r="E66" s="11">
        <f t="shared" si="2"/>
        <v>1.5549026785714288E-3</v>
      </c>
      <c r="F66" s="11">
        <f>E66/Calculation!K$18*1000</f>
        <v>1.8716715407449489E-3</v>
      </c>
      <c r="G66" s="11">
        <f t="shared" si="3"/>
        <v>266.46071596135067</v>
      </c>
    </row>
    <row r="67" spans="1:7">
      <c r="A67" s="11">
        <v>31</v>
      </c>
      <c r="B67" s="11">
        <v>665.94</v>
      </c>
      <c r="C67" s="11">
        <f t="shared" si="0"/>
        <v>0.66594000000000009</v>
      </c>
      <c r="D67" s="11">
        <f t="shared" si="1"/>
        <v>4.6948770000000008E-2</v>
      </c>
      <c r="E67" s="11">
        <f t="shared" si="2"/>
        <v>2.0959272321428575E-3</v>
      </c>
      <c r="F67" s="11">
        <f>E67/Calculation!K$18*1000</f>
        <v>2.5229150389516866E-3</v>
      </c>
      <c r="G67" s="11">
        <f t="shared" si="3"/>
        <v>266.52663476004614</v>
      </c>
    </row>
    <row r="68" spans="1:7">
      <c r="A68" s="11">
        <v>31.5</v>
      </c>
      <c r="B68" s="11">
        <v>479.15</v>
      </c>
      <c r="C68" s="11">
        <f t="shared" si="0"/>
        <v>0.47914999999999996</v>
      </c>
      <c r="D68" s="11">
        <f t="shared" si="1"/>
        <v>3.3780075E-2</v>
      </c>
      <c r="E68" s="11">
        <f t="shared" si="2"/>
        <v>1.5080390625E-3</v>
      </c>
      <c r="F68" s="11">
        <f>E68/Calculation!K$18*1000</f>
        <v>1.8152607455832364E-3</v>
      </c>
      <c r="G68" s="11">
        <f t="shared" si="3"/>
        <v>266.59170739681417</v>
      </c>
    </row>
    <row r="69" spans="1:7">
      <c r="A69" s="11">
        <v>32</v>
      </c>
      <c r="B69" s="11">
        <v>448.02</v>
      </c>
      <c r="C69" s="11">
        <f t="shared" si="0"/>
        <v>0.44801999999999997</v>
      </c>
      <c r="D69" s="11">
        <f t="shared" si="1"/>
        <v>3.1585410000000001E-2</v>
      </c>
      <c r="E69" s="11">
        <f t="shared" si="2"/>
        <v>1.4100629464285715E-3</v>
      </c>
      <c r="F69" s="11">
        <f>E69/Calculation!K$18*1000</f>
        <v>1.6973246775252042E-3</v>
      </c>
      <c r="G69" s="11">
        <f t="shared" si="3"/>
        <v>266.64439617816078</v>
      </c>
    </row>
    <row r="70" spans="1:7">
      <c r="A70" s="11">
        <v>32.5</v>
      </c>
      <c r="B70" s="11">
        <v>399.29</v>
      </c>
      <c r="C70" s="11">
        <f t="shared" ref="C70:C101" si="4">B70/1000</f>
        <v>0.39929000000000003</v>
      </c>
      <c r="D70" s="11">
        <f t="shared" ref="D70:D101" si="5">C70/1000*$B$1</f>
        <v>2.8149944999999999E-2</v>
      </c>
      <c r="E70" s="11">
        <f t="shared" ref="E70:E101" si="6">D70/22.4</f>
        <v>1.2566939732142858E-3</v>
      </c>
      <c r="F70" s="11">
        <f>E70/Calculation!K$18*1000</f>
        <v>1.5127109738159875E-3</v>
      </c>
      <c r="G70" s="11">
        <f t="shared" si="3"/>
        <v>266.69254671293089</v>
      </c>
    </row>
    <row r="71" spans="1:7">
      <c r="A71" s="11">
        <v>33</v>
      </c>
      <c r="B71" s="11">
        <v>427.71</v>
      </c>
      <c r="C71" s="11">
        <f t="shared" si="4"/>
        <v>0.42770999999999998</v>
      </c>
      <c r="D71" s="11">
        <f t="shared" si="5"/>
        <v>3.0153554999999999E-2</v>
      </c>
      <c r="E71" s="11">
        <f t="shared" si="6"/>
        <v>1.3461408482142857E-3</v>
      </c>
      <c r="F71" s="11">
        <f>E71/Calculation!K$18*1000</f>
        <v>1.6203802013845478E-3</v>
      </c>
      <c r="G71" s="11">
        <f t="shared" ref="G71:G101" si="7">G70+(F71+F70)/2*30</f>
        <v>266.73954308055892</v>
      </c>
    </row>
    <row r="72" spans="1:7">
      <c r="A72" s="11">
        <v>33.5</v>
      </c>
      <c r="B72" s="11">
        <v>383.05</v>
      </c>
      <c r="C72" s="11">
        <f t="shared" si="4"/>
        <v>0.38305</v>
      </c>
      <c r="D72" s="11">
        <f t="shared" si="5"/>
        <v>2.7005025000000002E-2</v>
      </c>
      <c r="E72" s="11">
        <f t="shared" si="6"/>
        <v>1.205581473214286E-3</v>
      </c>
      <c r="F72" s="11">
        <f>E72/Calculation!K$18*1000</f>
        <v>1.4511857009196676E-3</v>
      </c>
      <c r="G72" s="11">
        <f t="shared" si="7"/>
        <v>266.78561656909346</v>
      </c>
    </row>
    <row r="73" spans="1:7">
      <c r="A73" s="11">
        <v>34</v>
      </c>
      <c r="B73" s="11">
        <v>370.87</v>
      </c>
      <c r="C73" s="11">
        <f t="shared" si="4"/>
        <v>0.37086999999999998</v>
      </c>
      <c r="D73" s="11">
        <f t="shared" si="5"/>
        <v>2.6146335E-2</v>
      </c>
      <c r="E73" s="11">
        <f t="shared" si="6"/>
        <v>1.1672470982142858E-3</v>
      </c>
      <c r="F73" s="11">
        <f>E73/Calculation!K$18*1000</f>
        <v>1.4050417462474275E-3</v>
      </c>
      <c r="G73" s="11">
        <f t="shared" si="7"/>
        <v>266.82845998080097</v>
      </c>
    </row>
    <row r="74" spans="1:7">
      <c r="A74" s="11">
        <v>34.5</v>
      </c>
      <c r="B74" s="11">
        <v>381.69</v>
      </c>
      <c r="C74" s="11">
        <f t="shared" si="4"/>
        <v>0.38168999999999997</v>
      </c>
      <c r="D74" s="11">
        <f t="shared" si="5"/>
        <v>2.6909144999999995E-2</v>
      </c>
      <c r="E74" s="11">
        <f t="shared" si="6"/>
        <v>1.2013011160714284E-3</v>
      </c>
      <c r="F74" s="11">
        <f>E74/Calculation!K$18*1000</f>
        <v>1.446033338164803E-3</v>
      </c>
      <c r="G74" s="11">
        <f t="shared" si="7"/>
        <v>266.87122610706717</v>
      </c>
    </row>
    <row r="75" spans="1:7">
      <c r="A75" s="11">
        <v>35</v>
      </c>
      <c r="B75" s="11">
        <v>346.5</v>
      </c>
      <c r="C75" s="11">
        <f t="shared" si="4"/>
        <v>0.34649999999999997</v>
      </c>
      <c r="D75" s="11">
        <f t="shared" si="5"/>
        <v>2.4428249999999999E-2</v>
      </c>
      <c r="E75" s="11">
        <f t="shared" si="6"/>
        <v>1.0905468749999999E-3</v>
      </c>
      <c r="F75" s="11">
        <f>E75/Calculation!K$18*1000</f>
        <v>1.3127159518826908E-3</v>
      </c>
      <c r="G75" s="11">
        <f t="shared" si="7"/>
        <v>266.91260734641787</v>
      </c>
    </row>
    <row r="76" spans="1:7">
      <c r="A76" s="11">
        <v>35.5</v>
      </c>
      <c r="B76" s="11">
        <v>276.12</v>
      </c>
      <c r="C76" s="11">
        <f t="shared" si="4"/>
        <v>0.27612000000000003</v>
      </c>
      <c r="D76" s="11">
        <f t="shared" si="5"/>
        <v>1.9466460000000001E-2</v>
      </c>
      <c r="E76" s="11">
        <f t="shared" si="6"/>
        <v>8.6903839285714301E-4</v>
      </c>
      <c r="F76" s="11">
        <f>E76/Calculation!K$18*1000</f>
        <v>1.0460811793184667E-3</v>
      </c>
      <c r="G76" s="11">
        <f t="shared" si="7"/>
        <v>266.9479893033859</v>
      </c>
    </row>
    <row r="77" spans="1:7">
      <c r="A77" s="11">
        <v>36</v>
      </c>
      <c r="B77" s="11">
        <v>355.98</v>
      </c>
      <c r="C77" s="11">
        <f t="shared" si="4"/>
        <v>0.35598000000000002</v>
      </c>
      <c r="D77" s="11">
        <f t="shared" si="5"/>
        <v>2.5096590000000002E-2</v>
      </c>
      <c r="E77" s="11">
        <f t="shared" si="6"/>
        <v>1.1203834821428573E-3</v>
      </c>
      <c r="F77" s="11">
        <f>E77/Calculation!K$18*1000</f>
        <v>1.3486309510857156E-3</v>
      </c>
      <c r="G77" s="11">
        <f t="shared" si="7"/>
        <v>266.98390998534194</v>
      </c>
    </row>
    <row r="78" spans="1:7">
      <c r="A78" s="11">
        <v>36.5</v>
      </c>
      <c r="B78" s="11">
        <v>364.1</v>
      </c>
      <c r="C78" s="11">
        <f t="shared" si="4"/>
        <v>0.36410000000000003</v>
      </c>
      <c r="D78" s="11">
        <f t="shared" si="5"/>
        <v>2.5669050000000002E-2</v>
      </c>
      <c r="E78" s="11">
        <f t="shared" si="6"/>
        <v>1.1459397321428573E-3</v>
      </c>
      <c r="F78" s="11">
        <f>E78/Calculation!K$18*1000</f>
        <v>1.3793935875338755E-3</v>
      </c>
      <c r="G78" s="11">
        <f t="shared" si="7"/>
        <v>267.02483035342124</v>
      </c>
    </row>
    <row r="79" spans="1:7">
      <c r="A79" s="11">
        <v>37</v>
      </c>
      <c r="B79" s="11">
        <v>668.64</v>
      </c>
      <c r="C79" s="11">
        <f t="shared" si="4"/>
        <v>0.66864000000000001</v>
      </c>
      <c r="D79" s="11">
        <f t="shared" si="5"/>
        <v>4.713912E-2</v>
      </c>
      <c r="E79" s="11">
        <f t="shared" si="6"/>
        <v>2.104425E-3</v>
      </c>
      <c r="F79" s="11">
        <f>E79/Calculation!K$18*1000</f>
        <v>2.5331439944209018E-3</v>
      </c>
      <c r="G79" s="11">
        <f t="shared" si="7"/>
        <v>267.08351841715057</v>
      </c>
    </row>
    <row r="80" spans="1:7">
      <c r="A80" s="11">
        <v>37.5</v>
      </c>
      <c r="B80" s="11">
        <v>418.24</v>
      </c>
      <c r="C80" s="11">
        <f t="shared" si="4"/>
        <v>0.41824</v>
      </c>
      <c r="D80" s="11">
        <f t="shared" si="5"/>
        <v>2.9485919999999999E-2</v>
      </c>
      <c r="E80" s="11">
        <f t="shared" si="6"/>
        <v>1.3163357142857144E-3</v>
      </c>
      <c r="F80" s="11">
        <f>E80/Calculation!K$18*1000</f>
        <v>1.5845030872017798E-3</v>
      </c>
      <c r="G80" s="11">
        <f t="shared" si="7"/>
        <v>267.1452831233749</v>
      </c>
    </row>
    <row r="81" spans="1:7">
      <c r="A81" s="11">
        <v>38</v>
      </c>
      <c r="B81" s="11">
        <v>328.91</v>
      </c>
      <c r="C81" s="11">
        <f t="shared" si="4"/>
        <v>0.32891000000000004</v>
      </c>
      <c r="D81" s="11">
        <f t="shared" si="5"/>
        <v>2.3188155000000002E-2</v>
      </c>
      <c r="E81" s="11">
        <f t="shared" si="6"/>
        <v>1.0351854910714286E-3</v>
      </c>
      <c r="F81" s="11">
        <f>E81/Calculation!K$18*1000</f>
        <v>1.2460762012517631E-3</v>
      </c>
      <c r="G81" s="11">
        <f t="shared" si="7"/>
        <v>267.18774181270169</v>
      </c>
    </row>
    <row r="82" spans="1:7">
      <c r="A82" s="11">
        <v>38.5</v>
      </c>
      <c r="B82" s="11">
        <v>255.82</v>
      </c>
      <c r="C82" s="11">
        <f t="shared" si="4"/>
        <v>0.25581999999999999</v>
      </c>
      <c r="D82" s="11">
        <f t="shared" si="5"/>
        <v>1.8035309999999999E-2</v>
      </c>
      <c r="E82" s="11">
        <f t="shared" si="6"/>
        <v>8.0514776785714287E-4</v>
      </c>
      <c r="F82" s="11">
        <f>E82/Calculation!K$18*1000</f>
        <v>9.6917458819806648E-4</v>
      </c>
      <c r="G82" s="11">
        <f t="shared" si="7"/>
        <v>267.22097057454346</v>
      </c>
    </row>
    <row r="83" spans="1:7">
      <c r="A83" s="11">
        <v>39</v>
      </c>
      <c r="B83" s="11">
        <v>235.51</v>
      </c>
      <c r="C83" s="11">
        <f t="shared" si="4"/>
        <v>0.23551</v>
      </c>
      <c r="D83" s="11">
        <f t="shared" si="5"/>
        <v>1.6603455E-2</v>
      </c>
      <c r="E83" s="11">
        <f t="shared" si="6"/>
        <v>7.412256696428572E-4</v>
      </c>
      <c r="F83" s="11">
        <f>E83/Calculation!K$18*1000</f>
        <v>8.9223011205741005E-4</v>
      </c>
      <c r="G83" s="11">
        <f t="shared" si="7"/>
        <v>267.24889164504731</v>
      </c>
    </row>
    <row r="84" spans="1:7">
      <c r="A84" s="11">
        <v>39.5</v>
      </c>
      <c r="B84" s="11">
        <v>227.39</v>
      </c>
      <c r="C84" s="11">
        <f t="shared" si="4"/>
        <v>0.22738999999999998</v>
      </c>
      <c r="D84" s="11">
        <f t="shared" si="5"/>
        <v>1.6030994999999999E-2</v>
      </c>
      <c r="E84" s="11">
        <f t="shared" si="6"/>
        <v>7.1566941964285719E-4</v>
      </c>
      <c r="F84" s="11">
        <f>E84/Calculation!K$18*1000</f>
        <v>8.6146747560924999E-4</v>
      </c>
      <c r="G84" s="11">
        <f t="shared" si="7"/>
        <v>267.2751971088623</v>
      </c>
    </row>
    <row r="85" spans="1:7">
      <c r="A85" s="11">
        <v>40</v>
      </c>
      <c r="B85" s="11">
        <v>240.93</v>
      </c>
      <c r="C85" s="11">
        <f t="shared" si="4"/>
        <v>0.24093000000000001</v>
      </c>
      <c r="D85" s="11">
        <f t="shared" si="5"/>
        <v>1.6985565000000001E-2</v>
      </c>
      <c r="E85" s="11">
        <f t="shared" si="6"/>
        <v>7.5828415178571433E-4</v>
      </c>
      <c r="F85" s="11">
        <f>E85/Calculation!K$18*1000</f>
        <v>9.1276379303635428E-4</v>
      </c>
      <c r="G85" s="11">
        <f t="shared" si="7"/>
        <v>267.30181057789201</v>
      </c>
    </row>
    <row r="86" spans="1:7">
      <c r="A86" s="11">
        <v>40.5</v>
      </c>
      <c r="B86" s="11">
        <v>200.32</v>
      </c>
      <c r="C86" s="11">
        <f t="shared" si="4"/>
        <v>0.20032</v>
      </c>
      <c r="D86" s="11">
        <f t="shared" si="5"/>
        <v>1.4122560000000001E-2</v>
      </c>
      <c r="E86" s="11">
        <f t="shared" si="6"/>
        <v>6.3047142857142863E-4</v>
      </c>
      <c r="F86" s="11">
        <f>E86/Calculation!K$18*1000</f>
        <v>7.5891272577529776E-4</v>
      </c>
      <c r="G86" s="11">
        <f t="shared" si="7"/>
        <v>267.32688572567417</v>
      </c>
    </row>
    <row r="87" spans="1:7">
      <c r="A87" s="11">
        <v>41</v>
      </c>
      <c r="B87" s="11">
        <v>262.58</v>
      </c>
      <c r="C87" s="11">
        <f t="shared" si="4"/>
        <v>0.26257999999999998</v>
      </c>
      <c r="D87" s="11">
        <f t="shared" si="5"/>
        <v>1.851189E-2</v>
      </c>
      <c r="E87" s="11">
        <f t="shared" si="6"/>
        <v>8.2642366071428576E-4</v>
      </c>
      <c r="F87" s="11">
        <f>E87/Calculation!K$18*1000</f>
        <v>9.9478486189136218E-4</v>
      </c>
      <c r="G87" s="11">
        <f t="shared" si="7"/>
        <v>267.35319118948917</v>
      </c>
    </row>
    <row r="88" spans="1:7">
      <c r="A88" s="11">
        <v>41.5</v>
      </c>
      <c r="B88" s="11">
        <v>170.54</v>
      </c>
      <c r="C88" s="11">
        <f t="shared" si="4"/>
        <v>0.17054</v>
      </c>
      <c r="D88" s="11">
        <f t="shared" si="5"/>
        <v>1.202307E-2</v>
      </c>
      <c r="E88" s="11">
        <f t="shared" si="6"/>
        <v>5.3674419642857146E-4</v>
      </c>
      <c r="F88" s="11">
        <f>E88/Calculation!K$18*1000</f>
        <v>6.4609113545187346E-4</v>
      </c>
      <c r="G88" s="11">
        <f t="shared" si="7"/>
        <v>267.3778043294493</v>
      </c>
    </row>
    <row r="89" spans="1:7">
      <c r="A89" s="11">
        <v>42</v>
      </c>
      <c r="B89" s="11">
        <v>253.11</v>
      </c>
      <c r="C89" s="11">
        <f t="shared" si="4"/>
        <v>0.25311</v>
      </c>
      <c r="D89" s="11">
        <f t="shared" si="5"/>
        <v>1.7844255E-2</v>
      </c>
      <c r="E89" s="11">
        <f t="shared" si="6"/>
        <v>7.9661852678571436E-4</v>
      </c>
      <c r="F89" s="11">
        <f>E89/Calculation!K$18*1000</f>
        <v>9.5890774770859442E-4</v>
      </c>
      <c r="G89" s="11">
        <f t="shared" si="7"/>
        <v>267.40187931269674</v>
      </c>
    </row>
    <row r="90" spans="1:7">
      <c r="A90" s="11">
        <v>42.5</v>
      </c>
      <c r="B90" s="11">
        <v>152.94999999999999</v>
      </c>
      <c r="C90" s="11">
        <f t="shared" si="4"/>
        <v>0.15294999999999997</v>
      </c>
      <c r="D90" s="11">
        <f t="shared" si="5"/>
        <v>1.0782974999999998E-2</v>
      </c>
      <c r="E90" s="11">
        <f t="shared" si="6"/>
        <v>4.8138281249999999E-4</v>
      </c>
      <c r="F90" s="11">
        <f>E90/Calculation!K$18*1000</f>
        <v>5.7945138482094532E-4</v>
      </c>
      <c r="G90" s="11">
        <f t="shared" si="7"/>
        <v>267.42495469968469</v>
      </c>
    </row>
    <row r="91" spans="1:7">
      <c r="A91" s="11">
        <v>43</v>
      </c>
      <c r="B91" s="11">
        <v>161.07</v>
      </c>
      <c r="C91" s="11">
        <f t="shared" si="4"/>
        <v>0.16106999999999999</v>
      </c>
      <c r="D91" s="11">
        <f t="shared" si="5"/>
        <v>1.1355435000000001E-2</v>
      </c>
      <c r="E91" s="11">
        <f t="shared" si="6"/>
        <v>5.0693906250000005E-4</v>
      </c>
      <c r="F91" s="11">
        <f>E91/Calculation!K$18*1000</f>
        <v>6.1021402126910549E-4</v>
      </c>
      <c r="G91" s="11">
        <f t="shared" si="7"/>
        <v>267.44279968077603</v>
      </c>
    </row>
    <row r="92" spans="1:7">
      <c r="A92" s="11">
        <v>43.5</v>
      </c>
      <c r="B92" s="11">
        <v>159.72</v>
      </c>
      <c r="C92" s="11">
        <f t="shared" si="4"/>
        <v>0.15972</v>
      </c>
      <c r="D92" s="11">
        <f t="shared" si="5"/>
        <v>1.1260259999999999E-2</v>
      </c>
      <c r="E92" s="11">
        <f t="shared" si="6"/>
        <v>5.0269017857142856E-4</v>
      </c>
      <c r="F92" s="11">
        <f>E92/Calculation!K$18*1000</f>
        <v>6.0509954353449758E-4</v>
      </c>
      <c r="G92" s="11">
        <f t="shared" si="7"/>
        <v>267.46102938424809</v>
      </c>
    </row>
    <row r="93" spans="1:7">
      <c r="A93" s="11">
        <v>44</v>
      </c>
      <c r="B93" s="11">
        <v>204.38</v>
      </c>
      <c r="C93" s="11">
        <f t="shared" si="4"/>
        <v>0.20438000000000001</v>
      </c>
      <c r="D93" s="11">
        <f t="shared" si="5"/>
        <v>1.4408790000000001E-2</v>
      </c>
      <c r="E93" s="11">
        <f t="shared" si="6"/>
        <v>6.4324955357142864E-4</v>
      </c>
      <c r="F93" s="11">
        <f>E93/Calculation!K$18*1000</f>
        <v>7.7429404399937773E-4</v>
      </c>
      <c r="G93" s="11">
        <f t="shared" si="7"/>
        <v>267.48172028806113</v>
      </c>
    </row>
    <row r="94" spans="1:7">
      <c r="A94" s="11">
        <v>44.5</v>
      </c>
      <c r="B94" s="11">
        <v>184.08</v>
      </c>
      <c r="C94" s="11">
        <f t="shared" si="4"/>
        <v>0.18408000000000002</v>
      </c>
      <c r="D94" s="11">
        <f t="shared" si="5"/>
        <v>1.297764E-2</v>
      </c>
      <c r="E94" s="11">
        <f t="shared" si="6"/>
        <v>5.793589285714286E-4</v>
      </c>
      <c r="F94" s="11">
        <f>E94/Calculation!K$18*1000</f>
        <v>6.9738745287897775E-4</v>
      </c>
      <c r="G94" s="11">
        <f t="shared" si="7"/>
        <v>267.50379551051429</v>
      </c>
    </row>
    <row r="95" spans="1:7">
      <c r="A95" s="11">
        <v>45</v>
      </c>
      <c r="B95" s="11">
        <v>189.49</v>
      </c>
      <c r="C95" s="11">
        <f t="shared" si="4"/>
        <v>0.18949000000000002</v>
      </c>
      <c r="D95" s="11">
        <f t="shared" si="5"/>
        <v>1.3359045000000002E-2</v>
      </c>
      <c r="E95" s="11">
        <f t="shared" si="6"/>
        <v>5.9638593750000011E-4</v>
      </c>
      <c r="F95" s="11">
        <f>E95/Calculation!K$18*1000</f>
        <v>7.1788324883766564E-4</v>
      </c>
      <c r="G95" s="11">
        <f t="shared" si="7"/>
        <v>267.52502457104003</v>
      </c>
    </row>
    <row r="96" spans="1:7">
      <c r="A96" s="11">
        <v>45.5</v>
      </c>
      <c r="B96" s="11">
        <v>138.06</v>
      </c>
      <c r="C96" s="11">
        <f t="shared" si="4"/>
        <v>0.13806000000000002</v>
      </c>
      <c r="D96" s="11">
        <f t="shared" si="5"/>
        <v>9.7332300000000007E-3</v>
      </c>
      <c r="E96" s="11">
        <f t="shared" si="6"/>
        <v>4.3451919642857151E-4</v>
      </c>
      <c r="F96" s="11">
        <f>E96/Calculation!K$18*1000</f>
        <v>5.2304058965923334E-4</v>
      </c>
      <c r="G96" s="11">
        <f t="shared" si="7"/>
        <v>267.5436384286175</v>
      </c>
    </row>
    <row r="97" spans="1:7">
      <c r="A97" s="11">
        <v>46</v>
      </c>
      <c r="B97" s="11">
        <v>56.85</v>
      </c>
      <c r="C97" s="11">
        <f t="shared" si="4"/>
        <v>5.6850000000000005E-2</v>
      </c>
      <c r="D97" s="11">
        <f t="shared" si="5"/>
        <v>4.0079250000000007E-3</v>
      </c>
      <c r="E97" s="11">
        <f t="shared" si="6"/>
        <v>1.7892522321428576E-4</v>
      </c>
      <c r="F97" s="11">
        <f>E97/Calculation!K$18*1000</f>
        <v>2.1537634015737664E-4</v>
      </c>
      <c r="G97" s="11">
        <f t="shared" si="7"/>
        <v>267.55471468256474</v>
      </c>
    </row>
    <row r="98" spans="1:7">
      <c r="A98" s="11">
        <v>46.5</v>
      </c>
      <c r="B98" s="11">
        <v>270.70999999999998</v>
      </c>
      <c r="C98" s="11">
        <f t="shared" si="4"/>
        <v>0.27071000000000001</v>
      </c>
      <c r="D98" s="11">
        <f t="shared" si="5"/>
        <v>1.9085055E-2</v>
      </c>
      <c r="E98" s="11">
        <f t="shared" si="6"/>
        <v>8.5201138392857151E-4</v>
      </c>
      <c r="F98" s="11">
        <f>E98/Calculation!K$18*1000</f>
        <v>1.0255853833597787E-3</v>
      </c>
      <c r="G98" s="11">
        <f t="shared" si="7"/>
        <v>267.57332910841751</v>
      </c>
    </row>
    <row r="99" spans="1:7">
      <c r="A99" s="11">
        <v>47</v>
      </c>
      <c r="B99" s="11">
        <v>40.61</v>
      </c>
      <c r="C99" s="11">
        <f t="shared" si="4"/>
        <v>4.061E-2</v>
      </c>
      <c r="D99" s="11">
        <f t="shared" si="5"/>
        <v>2.8630050000000001E-3</v>
      </c>
      <c r="E99" s="11">
        <f t="shared" si="6"/>
        <v>1.2781272321428573E-4</v>
      </c>
      <c r="F99" s="11">
        <f>E99/Calculation!K$18*1000</f>
        <v>1.5385106726105652E-4</v>
      </c>
      <c r="G99" s="11">
        <f t="shared" si="7"/>
        <v>267.59102065517681</v>
      </c>
    </row>
    <row r="100" spans="1:7">
      <c r="A100" s="11">
        <v>47.5</v>
      </c>
      <c r="B100" s="11">
        <v>140.77000000000001</v>
      </c>
      <c r="C100" s="11">
        <f t="shared" si="4"/>
        <v>0.14077000000000001</v>
      </c>
      <c r="D100" s="11">
        <f t="shared" si="5"/>
        <v>9.9242849999999997E-3</v>
      </c>
      <c r="E100" s="11">
        <f t="shared" si="6"/>
        <v>4.4304843750000002E-4</v>
      </c>
      <c r="F100" s="11">
        <f>E100/Calculation!K$18*1000</f>
        <v>5.333074301487054E-4</v>
      </c>
      <c r="G100" s="11">
        <f t="shared" si="7"/>
        <v>267.60132803263798</v>
      </c>
    </row>
    <row r="101" spans="1:7">
      <c r="A101" s="11">
        <v>48</v>
      </c>
      <c r="B101" s="11">
        <v>78.5</v>
      </c>
      <c r="C101" s="11">
        <f t="shared" si="4"/>
        <v>7.85E-2</v>
      </c>
      <c r="D101" s="11">
        <f t="shared" si="5"/>
        <v>5.5342500000000001E-3</v>
      </c>
      <c r="E101" s="11">
        <f t="shared" si="6"/>
        <v>2.4706473214285716E-4</v>
      </c>
      <c r="F101" s="11">
        <f>E101/Calculation!K$19*1000</f>
        <v>3.1712993852031526E-4</v>
      </c>
      <c r="G101" s="11">
        <f t="shared" si="7"/>
        <v>267.614084593168</v>
      </c>
    </row>
    <row r="105" spans="1:7">
      <c r="A105" s="94" t="s">
        <v>5</v>
      </c>
      <c r="B105" s="94" t="s">
        <v>36</v>
      </c>
      <c r="C105" s="94"/>
      <c r="D105" s="94" t="s">
        <v>51</v>
      </c>
      <c r="E105" s="94"/>
      <c r="F105" s="94"/>
      <c r="G105" s="81" t="s">
        <v>52</v>
      </c>
    </row>
    <row r="106" spans="1:7">
      <c r="A106" s="94"/>
      <c r="B106" s="81" t="s">
        <v>53</v>
      </c>
      <c r="C106" s="81" t="s">
        <v>54</v>
      </c>
      <c r="D106" s="81" t="s">
        <v>55</v>
      </c>
      <c r="E106" s="81" t="s">
        <v>56</v>
      </c>
      <c r="F106" s="81" t="s">
        <v>57</v>
      </c>
      <c r="G106" s="81" t="s">
        <v>58</v>
      </c>
    </row>
    <row r="107" spans="1:7">
      <c r="A107" s="11">
        <v>0</v>
      </c>
      <c r="B107" s="11">
        <v>322.33</v>
      </c>
      <c r="C107" s="11">
        <f>B107/1000</f>
        <v>0.32233000000000001</v>
      </c>
      <c r="D107" s="11">
        <f>C107/1000*$B$1</f>
        <v>2.2724265E-2</v>
      </c>
      <c r="E107" s="11">
        <f>D107/22.4</f>
        <v>1.0144761160714286E-3</v>
      </c>
      <c r="F107" s="11">
        <f>E107/Calculation!K$4*1000</f>
        <v>6.8359569428282638E-4</v>
      </c>
      <c r="G107" s="11">
        <f>(0+F107)/2*30</f>
        <v>1.0253935414242396E-2</v>
      </c>
    </row>
    <row r="108" spans="1:7">
      <c r="A108" s="11">
        <v>0.5</v>
      </c>
      <c r="B108" s="11">
        <v>1866.82</v>
      </c>
      <c r="C108" s="11">
        <f t="shared" ref="C108:C171" si="8">B108/1000</f>
        <v>1.8668199999999999</v>
      </c>
      <c r="D108" s="11">
        <f>C108/1000*$B$1</f>
        <v>0.13161080999999999</v>
      </c>
      <c r="E108" s="11">
        <f>D108/22.4</f>
        <v>5.8754825892857144E-3</v>
      </c>
      <c r="F108" s="11">
        <f>E108/Calculation!K$4*1000</f>
        <v>3.9591416064315016E-3</v>
      </c>
      <c r="G108" s="11">
        <f>G107+(F108+F107)/2*30</f>
        <v>7.9894994924957316E-2</v>
      </c>
    </row>
    <row r="109" spans="1:7">
      <c r="A109" s="11">
        <v>1</v>
      </c>
      <c r="B109" s="11">
        <v>5341.08</v>
      </c>
      <c r="C109" s="11">
        <f t="shared" si="8"/>
        <v>5.3410799999999998</v>
      </c>
      <c r="D109" s="11">
        <f t="shared" ref="D109:D172" si="9">C109/1000*$B$1</f>
        <v>0.37654613999999997</v>
      </c>
      <c r="E109" s="11">
        <f t="shared" ref="E109:E172" si="10">D109/22.4</f>
        <v>1.6810095535714286E-2</v>
      </c>
      <c r="F109" s="11">
        <f>E109/Calculation!K$4*1000</f>
        <v>1.1327333139391675E-2</v>
      </c>
      <c r="G109" s="11">
        <f t="shared" ref="G109:G172" si="11">G108+(F109+F108)/2*30</f>
        <v>0.30919211611230496</v>
      </c>
    </row>
    <row r="110" spans="1:7">
      <c r="A110" s="11">
        <v>1.5</v>
      </c>
      <c r="B110" s="11">
        <v>6001.68</v>
      </c>
      <c r="C110" s="11">
        <f t="shared" si="8"/>
        <v>6.0016800000000003</v>
      </c>
      <c r="D110" s="11">
        <f t="shared" si="9"/>
        <v>0.42311844000000004</v>
      </c>
      <c r="E110" s="11">
        <f t="shared" si="10"/>
        <v>1.8889216071428575E-2</v>
      </c>
      <c r="F110" s="11">
        <f>E110/Calculation!K$4*1000</f>
        <v>1.2728329992440524E-2</v>
      </c>
      <c r="G110" s="11">
        <f t="shared" si="11"/>
        <v>0.67002706308978799</v>
      </c>
    </row>
    <row r="111" spans="1:7">
      <c r="A111" s="11">
        <v>2</v>
      </c>
      <c r="B111" s="11">
        <v>6416.35</v>
      </c>
      <c r="C111" s="11">
        <f t="shared" si="8"/>
        <v>6.4163500000000004</v>
      </c>
      <c r="D111" s="11">
        <f t="shared" si="9"/>
        <v>0.45235267500000004</v>
      </c>
      <c r="E111" s="11">
        <f t="shared" si="10"/>
        <v>2.0194315848214288E-2</v>
      </c>
      <c r="F111" s="11">
        <f>E111/Calculation!K$5*1000</f>
        <v>1.402326396935121E-2</v>
      </c>
      <c r="G111" s="11">
        <f t="shared" si="11"/>
        <v>1.071300972516664</v>
      </c>
    </row>
    <row r="112" spans="1:7">
      <c r="A112" s="11">
        <v>2.5</v>
      </c>
      <c r="B112" s="11">
        <v>6762.18</v>
      </c>
      <c r="C112" s="11">
        <f t="shared" si="8"/>
        <v>6.7621799999999999</v>
      </c>
      <c r="D112" s="11">
        <f t="shared" si="9"/>
        <v>0.47673368999999999</v>
      </c>
      <c r="E112" s="11">
        <f t="shared" si="10"/>
        <v>2.1282754017857144E-2</v>
      </c>
      <c r="F112" s="11">
        <f>E112/Calculation!K$5*1000</f>
        <v>1.4779093277060534E-2</v>
      </c>
      <c r="G112" s="11">
        <f t="shared" si="11"/>
        <v>1.5033363312128403</v>
      </c>
    </row>
    <row r="113" spans="1:7">
      <c r="A113" s="11">
        <v>3</v>
      </c>
      <c r="B113" s="11">
        <v>5699.5</v>
      </c>
      <c r="C113" s="11">
        <f t="shared" si="8"/>
        <v>5.6994999999999996</v>
      </c>
      <c r="D113" s="11">
        <f t="shared" si="9"/>
        <v>0.40181475</v>
      </c>
      <c r="E113" s="11">
        <f t="shared" si="10"/>
        <v>1.793815848214286E-2</v>
      </c>
      <c r="F113" s="11">
        <f>E113/Calculation!K$5*1000</f>
        <v>1.2456551309282882E-2</v>
      </c>
      <c r="G113" s="11">
        <f t="shared" si="11"/>
        <v>1.9118710000079915</v>
      </c>
    </row>
    <row r="114" spans="1:7">
      <c r="A114" s="11">
        <v>3.5</v>
      </c>
      <c r="B114" s="11">
        <v>7147.46</v>
      </c>
      <c r="C114" s="11">
        <f t="shared" si="8"/>
        <v>7.1474599999999997</v>
      </c>
      <c r="D114" s="11">
        <f t="shared" si="9"/>
        <v>0.50389592999999999</v>
      </c>
      <c r="E114" s="11">
        <f t="shared" si="10"/>
        <v>2.2495354017857145E-2</v>
      </c>
      <c r="F114" s="11">
        <f>E114/Calculation!K$6*1000</f>
        <v>1.6124329006588167E-2</v>
      </c>
      <c r="G114" s="11">
        <f t="shared" si="11"/>
        <v>2.3405842047460572</v>
      </c>
    </row>
    <row r="115" spans="1:7">
      <c r="A115" s="11">
        <v>4</v>
      </c>
      <c r="B115" s="11">
        <v>8689.43</v>
      </c>
      <c r="C115" s="11">
        <f t="shared" si="8"/>
        <v>8.6894299999999998</v>
      </c>
      <c r="D115" s="11">
        <f t="shared" si="9"/>
        <v>0.61260481499999997</v>
      </c>
      <c r="E115" s="11">
        <f t="shared" si="10"/>
        <v>2.7348429241071431E-2</v>
      </c>
      <c r="F115" s="11">
        <f>E115/Calculation!K$6*1000</f>
        <v>1.9602939813544589E-2</v>
      </c>
      <c r="G115" s="11">
        <f t="shared" si="11"/>
        <v>2.8764932370480487</v>
      </c>
    </row>
    <row r="116" spans="1:7">
      <c r="A116" s="11">
        <v>4.5</v>
      </c>
      <c r="B116" s="11">
        <v>11127.88</v>
      </c>
      <c r="C116" s="11">
        <f t="shared" si="8"/>
        <v>11.127879999999999</v>
      </c>
      <c r="D116" s="11">
        <f t="shared" si="9"/>
        <v>0.78451554000000001</v>
      </c>
      <c r="E116" s="11">
        <f t="shared" si="10"/>
        <v>3.5023015178571433E-2</v>
      </c>
      <c r="F116" s="11">
        <f>E116/Calculation!K$6*1000</f>
        <v>2.5103966761035719E-2</v>
      </c>
      <c r="G116" s="11">
        <f t="shared" si="11"/>
        <v>3.5470968356667534</v>
      </c>
    </row>
    <row r="117" spans="1:7">
      <c r="A117" s="11">
        <v>5</v>
      </c>
      <c r="B117" s="11">
        <v>14318.42</v>
      </c>
      <c r="C117" s="11">
        <f t="shared" si="8"/>
        <v>14.31842</v>
      </c>
      <c r="D117" s="11">
        <f t="shared" si="9"/>
        <v>1.00944861</v>
      </c>
      <c r="E117" s="11">
        <f t="shared" si="10"/>
        <v>4.5064670089285719E-2</v>
      </c>
      <c r="F117" s="11">
        <f>E117/Calculation!K$7*1000</f>
        <v>3.3499806160357387E-2</v>
      </c>
      <c r="G117" s="11">
        <f t="shared" si="11"/>
        <v>4.4261534294876501</v>
      </c>
    </row>
    <row r="118" spans="1:7">
      <c r="A118" s="11">
        <v>5.5</v>
      </c>
      <c r="B118" s="11">
        <v>18721.89</v>
      </c>
      <c r="C118" s="11">
        <f t="shared" si="8"/>
        <v>18.721889999999998</v>
      </c>
      <c r="D118" s="11">
        <f t="shared" si="9"/>
        <v>1.3198932449999998</v>
      </c>
      <c r="E118" s="11">
        <f t="shared" si="10"/>
        <v>5.892380558035714E-2</v>
      </c>
      <c r="F118" s="11">
        <f>E118/Calculation!K$7*1000</f>
        <v>4.3802297038048423E-2</v>
      </c>
      <c r="G118" s="11">
        <f t="shared" si="11"/>
        <v>5.5856849774637372</v>
      </c>
    </row>
    <row r="119" spans="1:7">
      <c r="A119" s="11">
        <v>6</v>
      </c>
      <c r="B119" s="11">
        <v>18557.37</v>
      </c>
      <c r="C119" s="11">
        <f t="shared" si="8"/>
        <v>18.557369999999999</v>
      </c>
      <c r="D119" s="11">
        <f t="shared" si="9"/>
        <v>1.3082945850000001</v>
      </c>
      <c r="E119" s="11">
        <f t="shared" si="10"/>
        <v>5.8406008258928575E-2</v>
      </c>
      <c r="F119" s="11">
        <f>E119/Calculation!K$8*1000</f>
        <v>4.4948975828886094E-2</v>
      </c>
      <c r="G119" s="11">
        <f t="shared" si="11"/>
        <v>6.9169540704677548</v>
      </c>
    </row>
    <row r="120" spans="1:7">
      <c r="A120" s="11">
        <v>6.5</v>
      </c>
      <c r="B120" s="11">
        <v>18386.98</v>
      </c>
      <c r="C120" s="11">
        <f t="shared" si="8"/>
        <v>18.386980000000001</v>
      </c>
      <c r="D120" s="11">
        <f t="shared" si="9"/>
        <v>1.2962820900000001</v>
      </c>
      <c r="E120" s="11">
        <f t="shared" si="10"/>
        <v>5.7869736160714294E-2</v>
      </c>
      <c r="F120" s="11">
        <f>E120/Calculation!K$8*1000</f>
        <v>4.4536263467625639E-2</v>
      </c>
      <c r="G120" s="11">
        <f t="shared" si="11"/>
        <v>8.2592326599154298</v>
      </c>
    </row>
    <row r="121" spans="1:7">
      <c r="A121" s="11">
        <v>7</v>
      </c>
      <c r="B121" s="11">
        <v>22809.75</v>
      </c>
      <c r="C121" s="11">
        <f t="shared" si="8"/>
        <v>22.809750000000001</v>
      </c>
      <c r="D121" s="11">
        <f t="shared" si="9"/>
        <v>1.608087375</v>
      </c>
      <c r="E121" s="11">
        <f t="shared" si="10"/>
        <v>7.1789614955357142E-2</v>
      </c>
      <c r="F121" s="11">
        <f>E121/Calculation!K$8*1000</f>
        <v>5.5248933518754782E-2</v>
      </c>
      <c r="G121" s="11">
        <f t="shared" si="11"/>
        <v>9.756010614711137</v>
      </c>
    </row>
    <row r="122" spans="1:7">
      <c r="A122" s="11">
        <v>7.5</v>
      </c>
      <c r="B122" s="11">
        <v>28403.49</v>
      </c>
      <c r="C122" s="11">
        <f t="shared" si="8"/>
        <v>28.403490000000001</v>
      </c>
      <c r="D122" s="11">
        <f t="shared" si="9"/>
        <v>2.0024460450000001</v>
      </c>
      <c r="E122" s="11">
        <f t="shared" si="10"/>
        <v>8.9394912723214301E-2</v>
      </c>
      <c r="F122" s="11">
        <f>E122/Calculation!K$9*1000</f>
        <v>7.1307560798504685E-2</v>
      </c>
      <c r="G122" s="11">
        <f t="shared" si="11"/>
        <v>11.654358029470028</v>
      </c>
    </row>
    <row r="123" spans="1:7">
      <c r="A123" s="11">
        <v>8</v>
      </c>
      <c r="B123" s="11">
        <v>34305.29</v>
      </c>
      <c r="C123" s="11">
        <f t="shared" si="8"/>
        <v>34.305289999999999</v>
      </c>
      <c r="D123" s="11">
        <f t="shared" si="9"/>
        <v>2.4185229450000003</v>
      </c>
      <c r="E123" s="11">
        <f t="shared" si="10"/>
        <v>0.10796977433035716</v>
      </c>
      <c r="F123" s="11">
        <f>E123/Calculation!K$9*1000</f>
        <v>8.6124154193211289E-2</v>
      </c>
      <c r="G123" s="11">
        <f t="shared" si="11"/>
        <v>14.015833754345769</v>
      </c>
    </row>
    <row r="124" spans="1:7">
      <c r="A124" s="11">
        <v>8.5</v>
      </c>
      <c r="B124" s="11">
        <v>40353.14</v>
      </c>
      <c r="C124" s="11">
        <f t="shared" si="8"/>
        <v>40.353139999999996</v>
      </c>
      <c r="D124" s="11">
        <f t="shared" si="9"/>
        <v>2.8448963699999998</v>
      </c>
      <c r="E124" s="11">
        <f t="shared" si="10"/>
        <v>0.12700430223214285</v>
      </c>
      <c r="F124" s="11">
        <f>E124/Calculation!K$9*1000</f>
        <v>0.10130740919374945</v>
      </c>
      <c r="G124" s="11">
        <f t="shared" si="11"/>
        <v>16.827307205150181</v>
      </c>
    </row>
    <row r="125" spans="1:7">
      <c r="A125" s="11">
        <v>9</v>
      </c>
      <c r="B125" s="11">
        <v>45810.89</v>
      </c>
      <c r="C125" s="11">
        <f t="shared" si="8"/>
        <v>45.810890000000001</v>
      </c>
      <c r="D125" s="11">
        <f t="shared" si="9"/>
        <v>3.229667745</v>
      </c>
      <c r="E125" s="11">
        <f t="shared" si="10"/>
        <v>0.14418159575892858</v>
      </c>
      <c r="F125" s="11">
        <f>E125/Calculation!K$9*1000</f>
        <v>0.11500920569650454</v>
      </c>
      <c r="G125" s="11">
        <f t="shared" si="11"/>
        <v>20.072056428503991</v>
      </c>
    </row>
    <row r="126" spans="1:7">
      <c r="A126" s="11">
        <v>9.5</v>
      </c>
      <c r="B126" s="11">
        <v>47167.360000000001</v>
      </c>
      <c r="C126" s="11">
        <f t="shared" si="8"/>
        <v>47.167360000000002</v>
      </c>
      <c r="D126" s="11">
        <f t="shared" si="9"/>
        <v>3.3252988800000005</v>
      </c>
      <c r="E126" s="11">
        <f t="shared" si="10"/>
        <v>0.14845084285714288</v>
      </c>
      <c r="F126" s="11">
        <f>E126/Calculation!K$9*1000</f>
        <v>0.11841465224537399</v>
      </c>
      <c r="G126" s="11">
        <f t="shared" si="11"/>
        <v>23.573414297632169</v>
      </c>
    </row>
    <row r="127" spans="1:7">
      <c r="A127" s="11">
        <v>10</v>
      </c>
      <c r="B127" s="11">
        <v>48298.86</v>
      </c>
      <c r="C127" s="11">
        <f t="shared" si="8"/>
        <v>48.298859999999998</v>
      </c>
      <c r="D127" s="11">
        <f t="shared" si="9"/>
        <v>3.4050696299999998</v>
      </c>
      <c r="E127" s="11">
        <f t="shared" si="10"/>
        <v>0.15201203705357144</v>
      </c>
      <c r="F127" s="11">
        <f>E127/Calculation!K$9*1000</f>
        <v>0.12125530686364477</v>
      </c>
      <c r="G127" s="11">
        <f t="shared" si="11"/>
        <v>27.168463684267451</v>
      </c>
    </row>
    <row r="128" spans="1:7">
      <c r="A128" s="11">
        <v>10.5</v>
      </c>
      <c r="B128" s="11">
        <v>49538.65</v>
      </c>
      <c r="C128" s="11">
        <f t="shared" si="8"/>
        <v>49.538650000000004</v>
      </c>
      <c r="D128" s="11">
        <f t="shared" si="9"/>
        <v>3.4924748250000004</v>
      </c>
      <c r="E128" s="11">
        <f t="shared" si="10"/>
        <v>0.15591405468750003</v>
      </c>
      <c r="F128" s="11">
        <f>E128/Calculation!K$10*1000</f>
        <v>0.12901898027245681</v>
      </c>
      <c r="G128" s="11">
        <f t="shared" si="11"/>
        <v>30.922577991308973</v>
      </c>
    </row>
    <row r="129" spans="1:7">
      <c r="A129" s="11">
        <v>11</v>
      </c>
      <c r="B129" s="11">
        <v>51639.66</v>
      </c>
      <c r="C129" s="11">
        <f t="shared" si="8"/>
        <v>51.639660000000006</v>
      </c>
      <c r="D129" s="11">
        <f t="shared" si="9"/>
        <v>3.6405960300000002</v>
      </c>
      <c r="E129" s="11">
        <f t="shared" si="10"/>
        <v>0.16252660848214287</v>
      </c>
      <c r="F129" s="11">
        <f>E129/Calculation!K$10*1000</f>
        <v>0.13449087277946367</v>
      </c>
      <c r="G129" s="11">
        <f t="shared" si="11"/>
        <v>34.875225787087778</v>
      </c>
    </row>
    <row r="130" spans="1:7">
      <c r="A130" s="11">
        <v>11.5</v>
      </c>
      <c r="B130" s="11">
        <v>54426.46</v>
      </c>
      <c r="C130" s="11">
        <f t="shared" si="8"/>
        <v>54.426459999999999</v>
      </c>
      <c r="D130" s="11">
        <f t="shared" si="9"/>
        <v>3.8370654299999996</v>
      </c>
      <c r="E130" s="11">
        <f t="shared" si="10"/>
        <v>0.17129756383928571</v>
      </c>
      <c r="F130" s="11">
        <f>E130/Calculation!K$10*1000</f>
        <v>0.14174884396404946</v>
      </c>
      <c r="G130" s="11">
        <f t="shared" si="11"/>
        <v>39.018821538240474</v>
      </c>
    </row>
    <row r="131" spans="1:7">
      <c r="A131" s="11">
        <v>12</v>
      </c>
      <c r="B131" s="11">
        <v>60937.65</v>
      </c>
      <c r="C131" s="11">
        <f t="shared" si="8"/>
        <v>60.937650000000005</v>
      </c>
      <c r="D131" s="11">
        <f t="shared" si="9"/>
        <v>4.2961043249999999</v>
      </c>
      <c r="E131" s="11">
        <f t="shared" si="10"/>
        <v>0.19179037165178572</v>
      </c>
      <c r="F131" s="11">
        <f>E131/Calculation!K$11*1000</f>
        <v>0.16455024791415071</v>
      </c>
      <c r="G131" s="11">
        <f t="shared" si="11"/>
        <v>43.613307916413476</v>
      </c>
    </row>
    <row r="132" spans="1:7">
      <c r="A132" s="11">
        <v>12.5</v>
      </c>
      <c r="B132" s="11">
        <v>57859.59</v>
      </c>
      <c r="C132" s="11">
        <f t="shared" si="8"/>
        <v>57.859589999999997</v>
      </c>
      <c r="D132" s="11">
        <f t="shared" si="9"/>
        <v>4.0791010949999995</v>
      </c>
      <c r="E132" s="11">
        <f t="shared" si="10"/>
        <v>0.18210272745535713</v>
      </c>
      <c r="F132" s="11">
        <f>E132/Calculation!K$11*1000</f>
        <v>0.1562385467557596</v>
      </c>
      <c r="G132" s="11">
        <f t="shared" si="11"/>
        <v>48.425139836462129</v>
      </c>
    </row>
    <row r="133" spans="1:7">
      <c r="A133" s="11">
        <v>13</v>
      </c>
      <c r="B133" s="11">
        <v>58267.53</v>
      </c>
      <c r="C133" s="11">
        <f t="shared" si="8"/>
        <v>58.267530000000001</v>
      </c>
      <c r="D133" s="11">
        <f t="shared" si="9"/>
        <v>4.1078608650000001</v>
      </c>
      <c r="E133" s="11">
        <f t="shared" si="10"/>
        <v>0.1833866457589286</v>
      </c>
      <c r="F133" s="11">
        <f>E133/Calculation!K$12*1000</f>
        <v>0.16373715518711149</v>
      </c>
      <c r="G133" s="11">
        <f t="shared" si="11"/>
        <v>53.224775365605197</v>
      </c>
    </row>
    <row r="134" spans="1:7">
      <c r="A134" s="11">
        <v>13.5</v>
      </c>
      <c r="B134" s="11">
        <v>69810.91</v>
      </c>
      <c r="C134" s="11">
        <f t="shared" si="8"/>
        <v>69.810910000000007</v>
      </c>
      <c r="D134" s="11">
        <f t="shared" si="9"/>
        <v>4.921669155</v>
      </c>
      <c r="E134" s="11">
        <f t="shared" si="10"/>
        <v>0.21971737299107144</v>
      </c>
      <c r="F134" s="11">
        <f>E134/Calculation!K$12*1000</f>
        <v>0.19617512196627304</v>
      </c>
      <c r="G134" s="11">
        <f t="shared" si="11"/>
        <v>58.623459522905968</v>
      </c>
    </row>
    <row r="135" spans="1:7">
      <c r="A135" s="11">
        <v>14</v>
      </c>
      <c r="B135" s="11">
        <v>61117.279999999999</v>
      </c>
      <c r="C135" s="11">
        <f t="shared" si="8"/>
        <v>61.117280000000001</v>
      </c>
      <c r="D135" s="11">
        <f t="shared" si="9"/>
        <v>4.30876824</v>
      </c>
      <c r="E135" s="11">
        <f t="shared" si="10"/>
        <v>0.19235572500000001</v>
      </c>
      <c r="F135" s="11">
        <f>E135/Calculation!K$13*1000</f>
        <v>0.1801003892882499</v>
      </c>
      <c r="G135" s="11">
        <f t="shared" si="11"/>
        <v>64.267592191723807</v>
      </c>
    </row>
    <row r="136" spans="1:7">
      <c r="A136" s="11">
        <v>14.5</v>
      </c>
      <c r="B136" s="11">
        <v>60057.96</v>
      </c>
      <c r="C136" s="11">
        <f t="shared" si="8"/>
        <v>60.057960000000001</v>
      </c>
      <c r="D136" s="11">
        <f t="shared" si="9"/>
        <v>4.2340861800000003</v>
      </c>
      <c r="E136" s="11">
        <f t="shared" si="10"/>
        <v>0.18902170446428573</v>
      </c>
      <c r="F136" s="11">
        <f>E136/Calculation!K$13*1000</f>
        <v>0.17697878531011427</v>
      </c>
      <c r="G136" s="11">
        <f t="shared" si="11"/>
        <v>69.623779810699276</v>
      </c>
    </row>
    <row r="137" spans="1:7">
      <c r="A137" s="11">
        <v>15</v>
      </c>
      <c r="B137" s="11">
        <v>61239</v>
      </c>
      <c r="C137" s="11">
        <f t="shared" si="8"/>
        <v>61.238999999999997</v>
      </c>
      <c r="D137" s="11">
        <f t="shared" si="9"/>
        <v>4.3173494999999997</v>
      </c>
      <c r="E137" s="11">
        <f t="shared" si="10"/>
        <v>0.19273881696428571</v>
      </c>
      <c r="F137" s="11">
        <f>E137/Calculation!K$13*1000</f>
        <v>0.18045907376151452</v>
      </c>
      <c r="G137" s="11">
        <f t="shared" si="11"/>
        <v>74.985347696773701</v>
      </c>
    </row>
    <row r="138" spans="1:7">
      <c r="A138" s="11">
        <v>15.5</v>
      </c>
      <c r="B138" s="11">
        <v>62159.81</v>
      </c>
      <c r="C138" s="11">
        <f t="shared" si="8"/>
        <v>62.15981</v>
      </c>
      <c r="D138" s="11">
        <f t="shared" si="9"/>
        <v>4.3822666049999999</v>
      </c>
      <c r="E138" s="11">
        <f t="shared" si="10"/>
        <v>0.19563690200892858</v>
      </c>
      <c r="F138" s="11">
        <f>E138/Calculation!K$13*1000</f>
        <v>0.18317251649752161</v>
      </c>
      <c r="G138" s="11">
        <f t="shared" si="11"/>
        <v>80.439821550659246</v>
      </c>
    </row>
    <row r="139" spans="1:7">
      <c r="A139" s="11">
        <v>16</v>
      </c>
      <c r="B139" s="11">
        <v>63314.82</v>
      </c>
      <c r="C139" s="11">
        <f t="shared" si="8"/>
        <v>63.314819999999997</v>
      </c>
      <c r="D139" s="11">
        <f t="shared" si="9"/>
        <v>4.4636948099999998</v>
      </c>
      <c r="E139" s="11">
        <f t="shared" si="10"/>
        <v>0.19927208973214286</v>
      </c>
      <c r="F139" s="11">
        <f>E139/Calculation!K$14*1000</f>
        <v>0.19494586871052183</v>
      </c>
      <c r="G139" s="11">
        <f t="shared" si="11"/>
        <v>86.111597328779894</v>
      </c>
    </row>
    <row r="140" spans="1:7">
      <c r="A140" s="11">
        <v>16.5</v>
      </c>
      <c r="B140" s="11">
        <v>65056.57</v>
      </c>
      <c r="C140" s="11">
        <f t="shared" si="8"/>
        <v>65.056569999999994</v>
      </c>
      <c r="D140" s="11">
        <f t="shared" si="9"/>
        <v>4.5864881849999994</v>
      </c>
      <c r="E140" s="11">
        <f t="shared" si="10"/>
        <v>0.20475393683035714</v>
      </c>
      <c r="F140" s="11">
        <f>E140/Calculation!K$14*1000</f>
        <v>0.20030870424928751</v>
      </c>
      <c r="G140" s="11">
        <f t="shared" si="11"/>
        <v>92.040415923177036</v>
      </c>
    </row>
    <row r="141" spans="1:7">
      <c r="A141" s="11">
        <v>17</v>
      </c>
      <c r="B141" s="11">
        <v>66249.350000000006</v>
      </c>
      <c r="C141" s="11">
        <f t="shared" si="8"/>
        <v>66.249350000000007</v>
      </c>
      <c r="D141" s="11">
        <f t="shared" si="9"/>
        <v>4.6705791750000012</v>
      </c>
      <c r="E141" s="11">
        <f t="shared" si="10"/>
        <v>0.20850799888392862</v>
      </c>
      <c r="F141" s="11">
        <f>E141/Calculation!K$15*1000</f>
        <v>0.21225077591432709</v>
      </c>
      <c r="G141" s="11">
        <f t="shared" si="11"/>
        <v>98.228808125631261</v>
      </c>
    </row>
    <row r="142" spans="1:7">
      <c r="A142" s="11">
        <v>17.5</v>
      </c>
      <c r="B142" s="11">
        <v>67624.28</v>
      </c>
      <c r="C142" s="11">
        <f t="shared" si="8"/>
        <v>67.624279999999999</v>
      </c>
      <c r="D142" s="11">
        <f t="shared" si="9"/>
        <v>4.7675117399999998</v>
      </c>
      <c r="E142" s="11">
        <f t="shared" si="10"/>
        <v>0.21283534553571429</v>
      </c>
      <c r="F142" s="11">
        <f>E142/Calculation!K$15*1000</f>
        <v>0.21665579965158463</v>
      </c>
      <c r="G142" s="11">
        <f t="shared" si="11"/>
        <v>104.66240675911993</v>
      </c>
    </row>
    <row r="143" spans="1:7">
      <c r="A143" s="11">
        <v>18</v>
      </c>
      <c r="B143" s="11">
        <v>70598.259999999995</v>
      </c>
      <c r="C143" s="11">
        <f t="shared" si="8"/>
        <v>70.598259999999996</v>
      </c>
      <c r="D143" s="11">
        <f t="shared" si="9"/>
        <v>4.97717733</v>
      </c>
      <c r="E143" s="11">
        <f t="shared" si="10"/>
        <v>0.22219541651785715</v>
      </c>
      <c r="F143" s="11">
        <f>E143/Calculation!K$15*1000</f>
        <v>0.22618388653173802</v>
      </c>
      <c r="G143" s="11">
        <f t="shared" si="11"/>
        <v>111.30500205186978</v>
      </c>
    </row>
    <row r="144" spans="1:7">
      <c r="A144" s="11">
        <v>18.5</v>
      </c>
      <c r="B144" s="11">
        <v>71375.539999999994</v>
      </c>
      <c r="C144" s="11">
        <f t="shared" si="8"/>
        <v>71.375539999999987</v>
      </c>
      <c r="D144" s="11">
        <f t="shared" si="9"/>
        <v>5.0319755699999993</v>
      </c>
      <c r="E144" s="11">
        <f t="shared" si="10"/>
        <v>0.22464176651785714</v>
      </c>
      <c r="F144" s="11">
        <f>E144/Calculation!K$16*1000</f>
        <v>0.23994681852677743</v>
      </c>
      <c r="G144" s="11">
        <f t="shared" si="11"/>
        <v>118.2969626277475</v>
      </c>
    </row>
    <row r="145" spans="1:7">
      <c r="A145" s="11">
        <v>19</v>
      </c>
      <c r="B145" s="11">
        <v>72216.62</v>
      </c>
      <c r="C145" s="11">
        <f t="shared" si="8"/>
        <v>72.216619999999992</v>
      </c>
      <c r="D145" s="11">
        <f t="shared" si="9"/>
        <v>5.09127171</v>
      </c>
      <c r="E145" s="11">
        <f t="shared" si="10"/>
        <v>0.227288915625</v>
      </c>
      <c r="F145" s="11">
        <f>E145/Calculation!K$16*1000</f>
        <v>0.24277432035900878</v>
      </c>
      <c r="G145" s="11">
        <f t="shared" si="11"/>
        <v>125.5377797110343</v>
      </c>
    </row>
    <row r="146" spans="1:7">
      <c r="A146" s="11">
        <v>19.5</v>
      </c>
      <c r="B146" s="11">
        <v>84765.59</v>
      </c>
      <c r="C146" s="11">
        <f t="shared" si="8"/>
        <v>84.765590000000003</v>
      </c>
      <c r="D146" s="11">
        <f t="shared" si="9"/>
        <v>5.9759740949999998</v>
      </c>
      <c r="E146" s="11">
        <f t="shared" si="10"/>
        <v>0.26678455781249999</v>
      </c>
      <c r="F146" s="11">
        <f>E146/Calculation!K$16*1000</f>
        <v>0.28496083729867711</v>
      </c>
      <c r="G146" s="11">
        <f t="shared" si="11"/>
        <v>133.45380707589959</v>
      </c>
    </row>
    <row r="147" spans="1:7">
      <c r="A147" s="11">
        <v>20</v>
      </c>
      <c r="B147" s="11">
        <v>70384.22</v>
      </c>
      <c r="C147" s="11">
        <f t="shared" si="8"/>
        <v>70.384219999999999</v>
      </c>
      <c r="D147" s="11">
        <f t="shared" si="9"/>
        <v>4.9620875099999999</v>
      </c>
      <c r="E147" s="11">
        <f t="shared" si="10"/>
        <v>0.22152176383928573</v>
      </c>
      <c r="F147" s="11">
        <f>E147/Calculation!K$16*1000</f>
        <v>0.23661424717051222</v>
      </c>
      <c r="G147" s="11">
        <f t="shared" si="11"/>
        <v>141.27743334293743</v>
      </c>
    </row>
    <row r="148" spans="1:7">
      <c r="A148" s="11">
        <v>20.5</v>
      </c>
      <c r="B148" s="11">
        <v>69897.37</v>
      </c>
      <c r="C148" s="11">
        <f t="shared" si="8"/>
        <v>69.897369999999995</v>
      </c>
      <c r="D148" s="11">
        <f t="shared" si="9"/>
        <v>4.9277645850000003</v>
      </c>
      <c r="E148" s="11">
        <f t="shared" si="10"/>
        <v>0.21998949040178575</v>
      </c>
      <c r="F148" s="11">
        <f>E148/Calculation!K$16*1000</f>
        <v>0.23497757852184406</v>
      </c>
      <c r="G148" s="11">
        <f t="shared" si="11"/>
        <v>148.35131072832277</v>
      </c>
    </row>
    <row r="149" spans="1:7">
      <c r="A149" s="11">
        <v>21</v>
      </c>
      <c r="B149" s="11">
        <v>68075.88</v>
      </c>
      <c r="C149" s="11">
        <f t="shared" si="8"/>
        <v>68.075879999999998</v>
      </c>
      <c r="D149" s="11">
        <f t="shared" si="9"/>
        <v>4.7993495399999997</v>
      </c>
      <c r="E149" s="11">
        <f t="shared" si="10"/>
        <v>0.21425667589285713</v>
      </c>
      <c r="F149" s="11">
        <f>E149/Calculation!K$16*1000</f>
        <v>0.22885418204066377</v>
      </c>
      <c r="G149" s="11">
        <f t="shared" si="11"/>
        <v>155.3087871367604</v>
      </c>
    </row>
    <row r="150" spans="1:7">
      <c r="A150" s="11">
        <v>21.5</v>
      </c>
      <c r="B150" s="11">
        <v>39219.11</v>
      </c>
      <c r="C150" s="11">
        <f t="shared" si="8"/>
        <v>39.219110000000001</v>
      </c>
      <c r="D150" s="11">
        <f t="shared" si="9"/>
        <v>2.764947255</v>
      </c>
      <c r="E150" s="11">
        <f t="shared" si="10"/>
        <v>0.12343514531250001</v>
      </c>
      <c r="F150" s="11">
        <f>E150/Calculation!K$16*1000</f>
        <v>0.13184489630413615</v>
      </c>
      <c r="G150" s="11">
        <f t="shared" si="11"/>
        <v>160.7192733119324</v>
      </c>
    </row>
    <row r="151" spans="1:7">
      <c r="A151" s="11">
        <v>22</v>
      </c>
      <c r="B151" s="11">
        <v>15570.8</v>
      </c>
      <c r="C151" s="11">
        <f t="shared" si="8"/>
        <v>15.570799999999998</v>
      </c>
      <c r="D151" s="11">
        <f t="shared" si="9"/>
        <v>1.0977413999999999</v>
      </c>
      <c r="E151" s="11">
        <f t="shared" si="10"/>
        <v>4.9006312499999996E-2</v>
      </c>
      <c r="F151" s="11">
        <f>E151/Calculation!K$16*1000</f>
        <v>5.2345158045974095E-2</v>
      </c>
      <c r="G151" s="11">
        <f t="shared" si="11"/>
        <v>163.48212412718405</v>
      </c>
    </row>
    <row r="152" spans="1:7">
      <c r="A152" s="11">
        <v>22.5</v>
      </c>
      <c r="B152" s="11">
        <v>5057.3599999999997</v>
      </c>
      <c r="C152" s="11">
        <f t="shared" si="8"/>
        <v>5.0573600000000001</v>
      </c>
      <c r="D152" s="11">
        <f t="shared" si="9"/>
        <v>0.35654388000000004</v>
      </c>
      <c r="E152" s="11">
        <f t="shared" si="10"/>
        <v>1.5917137500000001E-2</v>
      </c>
      <c r="F152" s="11">
        <f>E152/Calculation!K$16*1000</f>
        <v>1.7001586848163719E-2</v>
      </c>
      <c r="G152" s="11">
        <f t="shared" si="11"/>
        <v>164.52232530059612</v>
      </c>
    </row>
    <row r="153" spans="1:7">
      <c r="A153" s="11">
        <v>23</v>
      </c>
      <c r="B153" s="11">
        <v>1435.37</v>
      </c>
      <c r="C153" s="11">
        <f t="shared" si="8"/>
        <v>1.4353699999999998</v>
      </c>
      <c r="D153" s="11">
        <f t="shared" si="9"/>
        <v>0.10119358499999999</v>
      </c>
      <c r="E153" s="11">
        <f t="shared" si="10"/>
        <v>4.5175707589285713E-3</v>
      </c>
      <c r="F153" s="11">
        <f>E153/Calculation!K$16*1000</f>
        <v>4.8253570468087606E-3</v>
      </c>
      <c r="G153" s="11">
        <f t="shared" si="11"/>
        <v>164.84972945902072</v>
      </c>
    </row>
    <row r="154" spans="1:7">
      <c r="A154" s="11">
        <v>23.5</v>
      </c>
      <c r="B154" s="11">
        <v>781.48</v>
      </c>
      <c r="C154" s="11">
        <f t="shared" si="8"/>
        <v>0.78148000000000006</v>
      </c>
      <c r="D154" s="11">
        <f t="shared" si="9"/>
        <v>5.5094340000000006E-2</v>
      </c>
      <c r="E154" s="11">
        <f t="shared" si="10"/>
        <v>2.4595687500000006E-3</v>
      </c>
      <c r="F154" s="11">
        <f>E154/Calculation!K$16*1000</f>
        <v>2.6271414512913818E-3</v>
      </c>
      <c r="G154" s="11">
        <f t="shared" si="11"/>
        <v>164.96151693649222</v>
      </c>
    </row>
    <row r="155" spans="1:7">
      <c r="A155" s="11">
        <v>24</v>
      </c>
      <c r="B155" s="11">
        <v>506.16</v>
      </c>
      <c r="C155" s="11">
        <f t="shared" si="8"/>
        <v>0.50616000000000005</v>
      </c>
      <c r="D155" s="11">
        <f t="shared" si="9"/>
        <v>3.5684280000000006E-2</v>
      </c>
      <c r="E155" s="11">
        <f t="shared" si="10"/>
        <v>1.5930482142857147E-3</v>
      </c>
      <c r="F155" s="11">
        <f>E155/Calculation!K$17*1000</f>
        <v>1.8051432236448064E-3</v>
      </c>
      <c r="G155" s="11">
        <f t="shared" si="11"/>
        <v>165.02800120661627</v>
      </c>
    </row>
    <row r="156" spans="1:7">
      <c r="A156" s="11">
        <v>24.5</v>
      </c>
      <c r="B156" s="11">
        <v>468.38</v>
      </c>
      <c r="C156" s="11">
        <f t="shared" si="8"/>
        <v>0.46838000000000002</v>
      </c>
      <c r="D156" s="11">
        <f t="shared" si="9"/>
        <v>3.3020790000000001E-2</v>
      </c>
      <c r="E156" s="11">
        <f t="shared" si="10"/>
        <v>1.4741424107142858E-3</v>
      </c>
      <c r="F156" s="11">
        <f>E156/Calculation!K$17*1000</f>
        <v>1.6704065573944094E-3</v>
      </c>
      <c r="G156" s="11">
        <f t="shared" si="11"/>
        <v>165.08013445333185</v>
      </c>
    </row>
    <row r="157" spans="1:7">
      <c r="A157" s="11">
        <v>25</v>
      </c>
      <c r="B157" s="11">
        <v>368.49</v>
      </c>
      <c r="C157" s="11">
        <f t="shared" si="8"/>
        <v>0.36848999999999998</v>
      </c>
      <c r="D157" s="11">
        <f t="shared" si="9"/>
        <v>2.5978544999999999E-2</v>
      </c>
      <c r="E157" s="11">
        <f t="shared" si="10"/>
        <v>1.1597564732142858E-3</v>
      </c>
      <c r="F157" s="11">
        <f>E157/Calculation!K$17*1000</f>
        <v>1.3141639530600494E-3</v>
      </c>
      <c r="G157" s="11">
        <f t="shared" si="11"/>
        <v>165.12490301098867</v>
      </c>
    </row>
    <row r="158" spans="1:7">
      <c r="A158" s="11">
        <v>25.5</v>
      </c>
      <c r="B158" s="11">
        <v>182.15</v>
      </c>
      <c r="C158" s="11">
        <f t="shared" si="8"/>
        <v>0.18215000000000001</v>
      </c>
      <c r="D158" s="11">
        <f t="shared" si="9"/>
        <v>1.2841575000000001E-2</v>
      </c>
      <c r="E158" s="11">
        <f t="shared" si="10"/>
        <v>5.732845982142858E-4</v>
      </c>
      <c r="F158" s="11">
        <f>E158/Calculation!K$17*1000</f>
        <v>6.4961047531788662E-4</v>
      </c>
      <c r="G158" s="11">
        <f t="shared" si="11"/>
        <v>165.15435962741435</v>
      </c>
    </row>
    <row r="159" spans="1:7">
      <c r="A159" s="11">
        <v>26</v>
      </c>
      <c r="B159" s="11">
        <v>420.54</v>
      </c>
      <c r="C159" s="11">
        <f t="shared" si="8"/>
        <v>0.42054000000000002</v>
      </c>
      <c r="D159" s="11">
        <f t="shared" si="9"/>
        <v>2.9648070000000002E-2</v>
      </c>
      <c r="E159" s="11">
        <f t="shared" si="10"/>
        <v>1.3235745535714288E-3</v>
      </c>
      <c r="F159" s="11">
        <f>E159/Calculation!K$17*1000</f>
        <v>1.4997924199296403E-3</v>
      </c>
      <c r="G159" s="11">
        <f t="shared" si="11"/>
        <v>165.18660067084306</v>
      </c>
    </row>
    <row r="160" spans="1:7">
      <c r="A160" s="11">
        <v>26.5</v>
      </c>
      <c r="B160" s="11">
        <v>357.58</v>
      </c>
      <c r="C160" s="11">
        <f t="shared" si="8"/>
        <v>0.35758000000000001</v>
      </c>
      <c r="D160" s="11">
        <f t="shared" si="9"/>
        <v>2.5209390000000002E-2</v>
      </c>
      <c r="E160" s="11">
        <f t="shared" si="10"/>
        <v>1.1254191964285717E-3</v>
      </c>
      <c r="F160" s="11">
        <f>E160/Calculation!K$17*1000</f>
        <v>1.2752550851724946E-3</v>
      </c>
      <c r="G160" s="11">
        <f t="shared" si="11"/>
        <v>165.22822638341958</v>
      </c>
    </row>
    <row r="161" spans="1:7">
      <c r="A161" s="11">
        <v>27</v>
      </c>
      <c r="B161" s="11">
        <v>338.28</v>
      </c>
      <c r="C161" s="11">
        <f t="shared" si="8"/>
        <v>0.33827999999999997</v>
      </c>
      <c r="D161" s="11">
        <f t="shared" si="9"/>
        <v>2.384874E-2</v>
      </c>
      <c r="E161" s="11">
        <f t="shared" si="10"/>
        <v>1.064675892857143E-3</v>
      </c>
      <c r="F161" s="11">
        <f>E161/Calculation!K$17*1000</f>
        <v>1.2064245489461138E-3</v>
      </c>
      <c r="G161" s="11">
        <f t="shared" si="11"/>
        <v>165.26545157793137</v>
      </c>
    </row>
    <row r="162" spans="1:7">
      <c r="A162" s="11">
        <v>27.5</v>
      </c>
      <c r="B162" s="11">
        <v>467.54</v>
      </c>
      <c r="C162" s="11">
        <f t="shared" si="8"/>
        <v>0.46754000000000001</v>
      </c>
      <c r="D162" s="11">
        <f t="shared" si="9"/>
        <v>3.2961570000000003E-2</v>
      </c>
      <c r="E162" s="11">
        <f t="shared" si="10"/>
        <v>1.4714986607142859E-3</v>
      </c>
      <c r="F162" s="11">
        <f>E162/Calculation!K$17*1000</f>
        <v>1.6674108242114996E-3</v>
      </c>
      <c r="G162" s="11">
        <f t="shared" si="11"/>
        <v>165.30855910852873</v>
      </c>
    </row>
    <row r="163" spans="1:7">
      <c r="A163" s="11">
        <v>28</v>
      </c>
      <c r="B163" s="11">
        <v>302.18</v>
      </c>
      <c r="C163" s="11">
        <f t="shared" si="8"/>
        <v>0.30218</v>
      </c>
      <c r="D163" s="11">
        <f t="shared" si="9"/>
        <v>2.130369E-2</v>
      </c>
      <c r="E163" s="11">
        <f t="shared" si="10"/>
        <v>9.5105758928571435E-4</v>
      </c>
      <c r="F163" s="11">
        <f>E163/Calculation!K$17*1000</f>
        <v>1.0776793490615371E-3</v>
      </c>
      <c r="G163" s="11">
        <f t="shared" si="11"/>
        <v>165.34973546112784</v>
      </c>
    </row>
    <row r="164" spans="1:7">
      <c r="A164" s="11">
        <v>28.5</v>
      </c>
      <c r="B164" s="11">
        <v>320.64999999999998</v>
      </c>
      <c r="C164" s="11">
        <f t="shared" si="8"/>
        <v>0.32064999999999999</v>
      </c>
      <c r="D164" s="11">
        <f t="shared" si="9"/>
        <v>2.2605825E-2</v>
      </c>
      <c r="E164" s="11">
        <f t="shared" si="10"/>
        <v>1.0091886160714285E-3</v>
      </c>
      <c r="F164" s="11">
        <f>E164/Calculation!K$17*1000</f>
        <v>1.1435498155952801E-3</v>
      </c>
      <c r="G164" s="11">
        <f t="shared" si="11"/>
        <v>165.38305389859769</v>
      </c>
    </row>
    <row r="165" spans="1:7">
      <c r="A165" s="11">
        <v>29</v>
      </c>
      <c r="B165" s="11">
        <v>442.36</v>
      </c>
      <c r="C165" s="11">
        <f t="shared" si="8"/>
        <v>0.44236000000000003</v>
      </c>
      <c r="D165" s="11">
        <f t="shared" si="9"/>
        <v>3.1186380000000003E-2</v>
      </c>
      <c r="E165" s="11">
        <f t="shared" si="10"/>
        <v>1.3922491071428574E-3</v>
      </c>
      <c r="F165" s="11">
        <f>E165/Calculation!K$17*1000</f>
        <v>1.5776101557047504E-3</v>
      </c>
      <c r="G165" s="11">
        <f t="shared" si="11"/>
        <v>165.4238712981672</v>
      </c>
    </row>
    <row r="166" spans="1:7">
      <c r="A166" s="11">
        <v>29.5</v>
      </c>
      <c r="B166" s="11">
        <v>341.63</v>
      </c>
      <c r="C166" s="11">
        <f t="shared" si="8"/>
        <v>0.34162999999999999</v>
      </c>
      <c r="D166" s="11">
        <f t="shared" si="9"/>
        <v>2.4084914999999998E-2</v>
      </c>
      <c r="E166" s="11">
        <f t="shared" si="10"/>
        <v>1.0752194196428572E-3</v>
      </c>
      <c r="F166" s="11">
        <f>E166/Calculation!K$17*1000</f>
        <v>1.2183718181874804E-3</v>
      </c>
      <c r="G166" s="11">
        <f t="shared" si="11"/>
        <v>165.46581102777557</v>
      </c>
    </row>
    <row r="167" spans="1:7">
      <c r="A167" s="11">
        <v>30</v>
      </c>
      <c r="B167" s="11">
        <v>412.14</v>
      </c>
      <c r="C167" s="11">
        <f t="shared" si="8"/>
        <v>0.41214000000000001</v>
      </c>
      <c r="D167" s="11">
        <f t="shared" si="9"/>
        <v>2.9055870000000001E-2</v>
      </c>
      <c r="E167" s="11">
        <f t="shared" si="10"/>
        <v>1.2971370535714286E-3</v>
      </c>
      <c r="F167" s="11">
        <f>E167/Calculation!K$18*1000</f>
        <v>1.5613932248454035E-3</v>
      </c>
      <c r="G167" s="11">
        <f t="shared" si="11"/>
        <v>165.50750750342107</v>
      </c>
    </row>
    <row r="168" spans="1:7">
      <c r="A168" s="11">
        <v>30.5</v>
      </c>
      <c r="B168" s="11">
        <v>335.76</v>
      </c>
      <c r="C168" s="11">
        <f t="shared" si="8"/>
        <v>0.33576</v>
      </c>
      <c r="D168" s="11">
        <f t="shared" si="9"/>
        <v>2.3671080000000001E-2</v>
      </c>
      <c r="E168" s="11">
        <f t="shared" si="10"/>
        <v>1.056744642857143E-3</v>
      </c>
      <c r="F168" s="11">
        <f>E168/Calculation!K$18*1000</f>
        <v>1.2720274401273662E-3</v>
      </c>
      <c r="G168" s="11">
        <f t="shared" si="11"/>
        <v>165.55000881339566</v>
      </c>
    </row>
    <row r="169" spans="1:7">
      <c r="A169" s="11">
        <v>31</v>
      </c>
      <c r="B169" s="11">
        <v>442.36</v>
      </c>
      <c r="C169" s="11">
        <f t="shared" si="8"/>
        <v>0.44236000000000003</v>
      </c>
      <c r="D169" s="11">
        <f t="shared" si="9"/>
        <v>3.1186380000000003E-2</v>
      </c>
      <c r="E169" s="11">
        <f t="shared" si="10"/>
        <v>1.3922491071428574E-3</v>
      </c>
      <c r="F169" s="11">
        <f>E169/Calculation!K$18*1000</f>
        <v>1.6758817560601077E-3</v>
      </c>
      <c r="G169" s="11">
        <f t="shared" si="11"/>
        <v>165.59422745133847</v>
      </c>
    </row>
    <row r="170" spans="1:7">
      <c r="A170" s="11">
        <v>31.5</v>
      </c>
      <c r="B170" s="11">
        <v>320.64999999999998</v>
      </c>
      <c r="C170" s="11">
        <f t="shared" si="8"/>
        <v>0.32064999999999999</v>
      </c>
      <c r="D170" s="11">
        <f t="shared" si="9"/>
        <v>2.2605825E-2</v>
      </c>
      <c r="E170" s="11">
        <f t="shared" si="10"/>
        <v>1.0091886160714285E-3</v>
      </c>
      <c r="F170" s="11">
        <f>E170/Calculation!K$18*1000</f>
        <v>1.214783174520014E-3</v>
      </c>
      <c r="G170" s="11">
        <f t="shared" si="11"/>
        <v>165.63758742529717</v>
      </c>
    </row>
    <row r="171" spans="1:7">
      <c r="A171" s="11">
        <v>32</v>
      </c>
      <c r="B171" s="11">
        <v>294.63</v>
      </c>
      <c r="C171" s="11">
        <f t="shared" si="8"/>
        <v>0.29463</v>
      </c>
      <c r="D171" s="11">
        <f t="shared" si="9"/>
        <v>2.0771414999999998E-2</v>
      </c>
      <c r="E171" s="11">
        <f t="shared" si="10"/>
        <v>9.2729531250000002E-4</v>
      </c>
      <c r="F171" s="11">
        <f>E171/Calculation!K$18*1000</f>
        <v>1.1162063518129792E-3</v>
      </c>
      <c r="G171" s="11">
        <f t="shared" si="11"/>
        <v>165.67255226819216</v>
      </c>
    </row>
    <row r="172" spans="1:7">
      <c r="A172" s="11">
        <v>32.5</v>
      </c>
      <c r="B172" s="11">
        <v>256.86</v>
      </c>
      <c r="C172" s="11">
        <f t="shared" ref="C172:C203" si="12">B172/1000</f>
        <v>0.25686000000000003</v>
      </c>
      <c r="D172" s="11">
        <f t="shared" si="9"/>
        <v>1.8108630000000001E-2</v>
      </c>
      <c r="E172" s="11">
        <f t="shared" si="10"/>
        <v>8.0842098214285718E-4</v>
      </c>
      <c r="F172" s="11">
        <f>E172/Calculation!K$18*1000</f>
        <v>9.7311463030472732E-4</v>
      </c>
      <c r="G172" s="11">
        <f t="shared" si="11"/>
        <v>165.70389208292391</v>
      </c>
    </row>
    <row r="173" spans="1:7">
      <c r="A173" s="11">
        <v>33</v>
      </c>
      <c r="B173" s="11">
        <v>272.8</v>
      </c>
      <c r="C173" s="11">
        <f t="shared" si="12"/>
        <v>0.27279999999999999</v>
      </c>
      <c r="D173" s="11">
        <f t="shared" ref="D173:D203" si="13">C173/1000*$B$1</f>
        <v>1.9232399999999997E-2</v>
      </c>
      <c r="E173" s="11">
        <f t="shared" ref="E173:E203" si="14">D173/22.4</f>
        <v>8.5858928571428566E-4</v>
      </c>
      <c r="F173" s="11">
        <f>E173/Calculation!K$18*1000</f>
        <v>1.0335033525933565E-3</v>
      </c>
      <c r="G173" s="11">
        <f t="shared" ref="G173:G203" si="15">G172+(F173+F172)/2*30</f>
        <v>165.73399135266737</v>
      </c>
    </row>
    <row r="174" spans="1:7">
      <c r="A174" s="11">
        <v>33.5</v>
      </c>
      <c r="B174" s="11">
        <v>244.26</v>
      </c>
      <c r="C174" s="11">
        <f t="shared" si="12"/>
        <v>0.24425999999999998</v>
      </c>
      <c r="D174" s="11">
        <f t="shared" si="13"/>
        <v>1.7220329999999999E-2</v>
      </c>
      <c r="E174" s="11">
        <f t="shared" si="14"/>
        <v>7.687647321428571E-4</v>
      </c>
      <c r="F174" s="11">
        <f>E174/Calculation!K$18*1000</f>
        <v>9.2537950478172027E-4</v>
      </c>
      <c r="G174" s="11">
        <f t="shared" si="15"/>
        <v>165.76337459552801</v>
      </c>
    </row>
    <row r="175" spans="1:7">
      <c r="A175" s="11">
        <v>34</v>
      </c>
      <c r="B175" s="11">
        <v>229.99</v>
      </c>
      <c r="C175" s="11">
        <f t="shared" si="12"/>
        <v>0.22999</v>
      </c>
      <c r="D175" s="11">
        <f t="shared" si="13"/>
        <v>1.6214295E-2</v>
      </c>
      <c r="E175" s="11">
        <f t="shared" si="14"/>
        <v>7.2385245535714292E-4</v>
      </c>
      <c r="F175" s="11">
        <f>E175/Calculation!K$18*1000</f>
        <v>8.7131758087590221E-4</v>
      </c>
      <c r="G175" s="11">
        <f t="shared" si="15"/>
        <v>165.79032505181286</v>
      </c>
    </row>
    <row r="176" spans="1:7">
      <c r="A176" s="11">
        <v>34.5</v>
      </c>
      <c r="B176" s="11">
        <v>249.3</v>
      </c>
      <c r="C176" s="11">
        <f t="shared" si="12"/>
        <v>0.24930000000000002</v>
      </c>
      <c r="D176" s="11">
        <f t="shared" si="13"/>
        <v>1.7575650000000002E-2</v>
      </c>
      <c r="E176" s="11">
        <f t="shared" si="14"/>
        <v>7.8462723214285722E-4</v>
      </c>
      <c r="F176" s="11">
        <f>E176/Calculation!K$18*1000</f>
        <v>9.4447355499092326E-4</v>
      </c>
      <c r="G176" s="11">
        <f t="shared" si="15"/>
        <v>165.81756191885086</v>
      </c>
    </row>
    <row r="177" spans="1:7">
      <c r="A177" s="11">
        <v>35</v>
      </c>
      <c r="B177" s="11">
        <v>236.71</v>
      </c>
      <c r="C177" s="11">
        <f t="shared" si="12"/>
        <v>0.23671</v>
      </c>
      <c r="D177" s="11">
        <f t="shared" si="13"/>
        <v>1.6688055E-2</v>
      </c>
      <c r="E177" s="11">
        <f t="shared" si="14"/>
        <v>7.4500245535714287E-4</v>
      </c>
      <c r="F177" s="11">
        <f>E177/Calculation!K$18*1000</f>
        <v>8.9677631448817265E-4</v>
      </c>
      <c r="G177" s="11">
        <f t="shared" si="15"/>
        <v>165.84518066689304</v>
      </c>
    </row>
    <row r="178" spans="1:7">
      <c r="A178" s="11">
        <v>35.5</v>
      </c>
      <c r="B178" s="11">
        <v>171.24</v>
      </c>
      <c r="C178" s="11">
        <f t="shared" si="12"/>
        <v>0.17124</v>
      </c>
      <c r="D178" s="11">
        <f t="shared" si="13"/>
        <v>1.207242E-2</v>
      </c>
      <c r="E178" s="11">
        <f t="shared" si="14"/>
        <v>5.3894732142857149E-4</v>
      </c>
      <c r="F178" s="11">
        <f>E178/Calculation!K$18*1000</f>
        <v>6.4874308686981832E-4</v>
      </c>
      <c r="G178" s="11">
        <f t="shared" si="15"/>
        <v>165.8683634579134</v>
      </c>
    </row>
    <row r="179" spans="1:7">
      <c r="A179" s="11">
        <v>36</v>
      </c>
      <c r="B179" s="11">
        <v>229.16</v>
      </c>
      <c r="C179" s="11">
        <f t="shared" si="12"/>
        <v>0.22916</v>
      </c>
      <c r="D179" s="11">
        <f t="shared" si="13"/>
        <v>1.6155780000000002E-2</v>
      </c>
      <c r="E179" s="11">
        <f t="shared" si="14"/>
        <v>7.2124017857142864E-4</v>
      </c>
      <c r="F179" s="11">
        <f>E179/Calculation!K$18*1000</f>
        <v>8.6817312419462482E-4</v>
      </c>
      <c r="G179" s="11">
        <f t="shared" si="15"/>
        <v>165.89111720107937</v>
      </c>
    </row>
    <row r="180" spans="1:7">
      <c r="A180" s="11">
        <v>36.5</v>
      </c>
      <c r="B180" s="11">
        <v>237.55</v>
      </c>
      <c r="C180" s="11">
        <f t="shared" si="12"/>
        <v>0.23755000000000001</v>
      </c>
      <c r="D180" s="11">
        <f t="shared" si="13"/>
        <v>1.6747274999999999E-2</v>
      </c>
      <c r="E180" s="11">
        <f t="shared" si="14"/>
        <v>7.4764620535714289E-4</v>
      </c>
      <c r="F180" s="11">
        <f>E180/Calculation!K$18*1000</f>
        <v>8.9995865618970638E-4</v>
      </c>
      <c r="G180" s="11">
        <f t="shared" si="15"/>
        <v>165.91763917778513</v>
      </c>
    </row>
    <row r="181" spans="1:7">
      <c r="A181" s="11">
        <v>37</v>
      </c>
      <c r="B181" s="11">
        <v>446.56</v>
      </c>
      <c r="C181" s="11">
        <f t="shared" si="12"/>
        <v>0.44656000000000001</v>
      </c>
      <c r="D181" s="11">
        <f t="shared" si="13"/>
        <v>3.148248E-2</v>
      </c>
      <c r="E181" s="11">
        <f t="shared" si="14"/>
        <v>1.4054678571428572E-3</v>
      </c>
      <c r="F181" s="11">
        <f>E181/Calculation!K$18*1000</f>
        <v>1.6917934645677764E-3</v>
      </c>
      <c r="G181" s="11">
        <f t="shared" si="15"/>
        <v>165.95651545959649</v>
      </c>
    </row>
    <row r="182" spans="1:7">
      <c r="A182" s="11">
        <v>37.5</v>
      </c>
      <c r="B182" s="11">
        <v>279.52</v>
      </c>
      <c r="C182" s="11">
        <f t="shared" si="12"/>
        <v>0.27951999999999999</v>
      </c>
      <c r="D182" s="11">
        <f t="shared" si="13"/>
        <v>1.970616E-2</v>
      </c>
      <c r="E182" s="11">
        <f t="shared" si="14"/>
        <v>8.7973928571428582E-4</v>
      </c>
      <c r="F182" s="11">
        <f>E182/Calculation!K$18*1000</f>
        <v>1.0589620862056272E-3</v>
      </c>
      <c r="G182" s="11">
        <f t="shared" si="15"/>
        <v>165.99777679285808</v>
      </c>
    </row>
    <row r="183" spans="1:7">
      <c r="A183" s="11">
        <v>38</v>
      </c>
      <c r="B183" s="11">
        <v>234.19</v>
      </c>
      <c r="C183" s="11">
        <f t="shared" si="12"/>
        <v>0.23419000000000001</v>
      </c>
      <c r="D183" s="11">
        <f t="shared" si="13"/>
        <v>1.6510395000000001E-2</v>
      </c>
      <c r="E183" s="11">
        <f t="shared" si="14"/>
        <v>7.3707120535714292E-4</v>
      </c>
      <c r="F183" s="11">
        <f>E183/Calculation!K$18*1000</f>
        <v>8.8722928938357126E-4</v>
      </c>
      <c r="G183" s="11">
        <f t="shared" si="15"/>
        <v>166.02696966349191</v>
      </c>
    </row>
    <row r="184" spans="1:7">
      <c r="A184" s="11">
        <v>38.5</v>
      </c>
      <c r="B184" s="11">
        <v>158.65</v>
      </c>
      <c r="C184" s="11">
        <f t="shared" si="12"/>
        <v>0.15865000000000001</v>
      </c>
      <c r="D184" s="11">
        <f t="shared" si="13"/>
        <v>1.1184825000000001E-2</v>
      </c>
      <c r="E184" s="11">
        <f t="shared" si="14"/>
        <v>4.9932254464285725E-4</v>
      </c>
      <c r="F184" s="11">
        <f>E184/Calculation!K$18*1000</f>
        <v>6.0104584636706782E-4</v>
      </c>
      <c r="G184" s="11">
        <f t="shared" si="15"/>
        <v>166.04929379052817</v>
      </c>
    </row>
    <row r="185" spans="1:7">
      <c r="A185" s="11">
        <v>39</v>
      </c>
      <c r="B185" s="11">
        <v>173.76</v>
      </c>
      <c r="C185" s="11">
        <f t="shared" si="12"/>
        <v>0.17376</v>
      </c>
      <c r="D185" s="11">
        <f t="shared" si="13"/>
        <v>1.225008E-2</v>
      </c>
      <c r="E185" s="11">
        <f t="shared" si="14"/>
        <v>5.4687857142857144E-4</v>
      </c>
      <c r="F185" s="11">
        <f>E185/Calculation!K$18*1000</f>
        <v>6.5829011197441961E-4</v>
      </c>
      <c r="G185" s="11">
        <f t="shared" si="15"/>
        <v>166.06818382990329</v>
      </c>
    </row>
    <row r="186" spans="1:7">
      <c r="A186" s="11">
        <v>39.5</v>
      </c>
      <c r="B186" s="11">
        <v>141.02000000000001</v>
      </c>
      <c r="C186" s="11">
        <f t="shared" si="12"/>
        <v>0.14102000000000001</v>
      </c>
      <c r="D186" s="11">
        <f t="shared" si="13"/>
        <v>9.94191E-3</v>
      </c>
      <c r="E186" s="11">
        <f t="shared" si="14"/>
        <v>4.4383526785714289E-4</v>
      </c>
      <c r="F186" s="11">
        <f>E186/Calculation!K$18*1000</f>
        <v>5.3425455565511422E-4</v>
      </c>
      <c r="G186" s="11">
        <f t="shared" si="15"/>
        <v>166.08607199991772</v>
      </c>
    </row>
    <row r="187" spans="1:7">
      <c r="A187" s="11">
        <v>40</v>
      </c>
      <c r="B187" s="11">
        <v>170.4</v>
      </c>
      <c r="C187" s="11">
        <f t="shared" si="12"/>
        <v>0.1704</v>
      </c>
      <c r="D187" s="11">
        <f t="shared" si="13"/>
        <v>1.20132E-2</v>
      </c>
      <c r="E187" s="11">
        <f t="shared" si="14"/>
        <v>5.3630357142857147E-4</v>
      </c>
      <c r="F187" s="11">
        <f>E187/Calculation!K$18*1000</f>
        <v>6.4556074516828438E-4</v>
      </c>
      <c r="G187" s="11">
        <f t="shared" si="15"/>
        <v>166.10376922943007</v>
      </c>
    </row>
    <row r="188" spans="1:7">
      <c r="A188" s="11">
        <v>40.5</v>
      </c>
      <c r="B188" s="11">
        <v>124.23</v>
      </c>
      <c r="C188" s="11">
        <f t="shared" si="12"/>
        <v>0.12423000000000001</v>
      </c>
      <c r="D188" s="11">
        <f t="shared" si="13"/>
        <v>8.7582149999999998E-3</v>
      </c>
      <c r="E188" s="11">
        <f t="shared" si="14"/>
        <v>3.909917410714286E-4</v>
      </c>
      <c r="F188" s="11">
        <f>E188/Calculation!K$18*1000</f>
        <v>4.7064560664469471E-4</v>
      </c>
      <c r="G188" s="11">
        <f t="shared" si="15"/>
        <v>166.12051232470728</v>
      </c>
    </row>
    <row r="189" spans="1:7">
      <c r="A189" s="11">
        <v>41</v>
      </c>
      <c r="B189" s="11">
        <v>162.84</v>
      </c>
      <c r="C189" s="11">
        <f t="shared" si="12"/>
        <v>0.16284000000000001</v>
      </c>
      <c r="D189" s="11">
        <f t="shared" si="13"/>
        <v>1.1480220000000001E-2</v>
      </c>
      <c r="E189" s="11">
        <f t="shared" si="14"/>
        <v>5.1250982142857151E-4</v>
      </c>
      <c r="F189" s="11">
        <f>E189/Calculation!K$18*1000</f>
        <v>6.1691966985448032E-4</v>
      </c>
      <c r="G189" s="11">
        <f t="shared" si="15"/>
        <v>166.13682580385478</v>
      </c>
    </row>
    <row r="190" spans="1:7">
      <c r="A190" s="11">
        <v>41.5</v>
      </c>
      <c r="B190" s="11">
        <v>88.98</v>
      </c>
      <c r="C190" s="11">
        <f t="shared" si="12"/>
        <v>8.8980000000000004E-2</v>
      </c>
      <c r="D190" s="11">
        <f t="shared" si="13"/>
        <v>6.2730900000000003E-3</v>
      </c>
      <c r="E190" s="11">
        <f t="shared" si="14"/>
        <v>2.8004866071428572E-4</v>
      </c>
      <c r="F190" s="11">
        <f>E190/Calculation!K$18*1000</f>
        <v>3.3710091024104428E-4</v>
      </c>
      <c r="G190" s="11">
        <f t="shared" si="15"/>
        <v>166.1511361125562</v>
      </c>
    </row>
    <row r="191" spans="1:7">
      <c r="A191" s="11">
        <v>42</v>
      </c>
      <c r="B191" s="11">
        <v>191.38</v>
      </c>
      <c r="C191" s="11">
        <f t="shared" si="12"/>
        <v>0.19137999999999999</v>
      </c>
      <c r="D191" s="11">
        <f t="shared" si="13"/>
        <v>1.3492290000000001E-2</v>
      </c>
      <c r="E191" s="11">
        <f t="shared" si="14"/>
        <v>6.0233437500000007E-4</v>
      </c>
      <c r="F191" s="11">
        <f>E191/Calculation!K$18*1000</f>
        <v>7.2504351766611666E-4</v>
      </c>
      <c r="G191" s="11">
        <f t="shared" si="15"/>
        <v>166.1670682789748</v>
      </c>
    </row>
    <row r="192" spans="1:7">
      <c r="A192" s="11">
        <v>42.5</v>
      </c>
      <c r="B192" s="11">
        <v>128.43</v>
      </c>
      <c r="C192" s="11">
        <f t="shared" si="12"/>
        <v>0.12843000000000002</v>
      </c>
      <c r="D192" s="11">
        <f t="shared" si="13"/>
        <v>9.0543150000000003E-3</v>
      </c>
      <c r="E192" s="11">
        <f t="shared" si="14"/>
        <v>4.0421049107142859E-4</v>
      </c>
      <c r="F192" s="11">
        <f>E192/Calculation!K$18*1000</f>
        <v>4.8655731515236366E-4</v>
      </c>
      <c r="G192" s="11">
        <f t="shared" si="15"/>
        <v>166.18524229146706</v>
      </c>
    </row>
    <row r="193" spans="1:7">
      <c r="A193" s="11">
        <v>43</v>
      </c>
      <c r="B193" s="11">
        <v>99.89</v>
      </c>
      <c r="C193" s="11">
        <f t="shared" si="12"/>
        <v>9.9890000000000007E-2</v>
      </c>
      <c r="D193" s="11">
        <f t="shared" si="13"/>
        <v>7.0422450000000008E-3</v>
      </c>
      <c r="E193" s="11">
        <f t="shared" si="14"/>
        <v>3.1438593750000008E-4</v>
      </c>
      <c r="F193" s="11">
        <f>E193/Calculation!K$18*1000</f>
        <v>3.7843346734072738E-4</v>
      </c>
      <c r="G193" s="11">
        <f t="shared" si="15"/>
        <v>166.19821715320447</v>
      </c>
    </row>
    <row r="194" spans="1:7">
      <c r="A194" s="11">
        <v>43.5</v>
      </c>
      <c r="B194" s="11">
        <v>99.05</v>
      </c>
      <c r="C194" s="11">
        <f t="shared" si="12"/>
        <v>9.9049999999999999E-2</v>
      </c>
      <c r="D194" s="11">
        <f t="shared" si="13"/>
        <v>6.9830249999999995E-3</v>
      </c>
      <c r="E194" s="11">
        <f t="shared" si="14"/>
        <v>3.1174218750000001E-4</v>
      </c>
      <c r="F194" s="11">
        <f>E194/Calculation!K$18*1000</f>
        <v>3.752511256391935E-4</v>
      </c>
      <c r="G194" s="11">
        <f t="shared" si="15"/>
        <v>166.20952242209916</v>
      </c>
    </row>
    <row r="195" spans="1:7">
      <c r="A195" s="11">
        <v>44</v>
      </c>
      <c r="B195" s="11">
        <v>138.5</v>
      </c>
      <c r="C195" s="11">
        <f t="shared" si="12"/>
        <v>0.13850000000000001</v>
      </c>
      <c r="D195" s="11">
        <f t="shared" si="13"/>
        <v>9.7642500000000004E-3</v>
      </c>
      <c r="E195" s="11">
        <f t="shared" si="14"/>
        <v>4.3590401785714288E-4</v>
      </c>
      <c r="F195" s="11">
        <f>E195/Calculation!K$18*1000</f>
        <v>5.2470753055051294E-4</v>
      </c>
      <c r="G195" s="11">
        <f t="shared" si="15"/>
        <v>166.223021801942</v>
      </c>
    </row>
    <row r="196" spans="1:7">
      <c r="A196" s="11">
        <v>44.5</v>
      </c>
      <c r="B196" s="11">
        <v>114.16</v>
      </c>
      <c r="C196" s="11">
        <f t="shared" si="12"/>
        <v>0.11416</v>
      </c>
      <c r="D196" s="11">
        <f t="shared" si="13"/>
        <v>8.0482799999999997E-3</v>
      </c>
      <c r="E196" s="11">
        <f t="shared" si="14"/>
        <v>3.5929821428571431E-4</v>
      </c>
      <c r="F196" s="11">
        <f>E196/Calculation!K$18*1000</f>
        <v>4.324953912465455E-4</v>
      </c>
      <c r="G196" s="11">
        <f t="shared" si="15"/>
        <v>166.23737984576894</v>
      </c>
    </row>
    <row r="197" spans="1:7">
      <c r="A197" s="11">
        <v>45</v>
      </c>
      <c r="B197" s="11">
        <v>144.38</v>
      </c>
      <c r="C197" s="11">
        <f t="shared" si="12"/>
        <v>0.14438000000000001</v>
      </c>
      <c r="D197" s="11">
        <f t="shared" si="13"/>
        <v>1.017879E-2</v>
      </c>
      <c r="E197" s="11">
        <f t="shared" si="14"/>
        <v>4.5441026785714291E-4</v>
      </c>
      <c r="F197" s="11">
        <f>E197/Calculation!K$18*1000</f>
        <v>5.4698392246124944E-4</v>
      </c>
      <c r="G197" s="11">
        <f t="shared" si="15"/>
        <v>166.25207203547455</v>
      </c>
    </row>
    <row r="198" spans="1:7">
      <c r="A198" s="11">
        <v>45.5</v>
      </c>
      <c r="B198" s="11">
        <v>85.62</v>
      </c>
      <c r="C198" s="11">
        <f t="shared" si="12"/>
        <v>8.5620000000000002E-2</v>
      </c>
      <c r="D198" s="11">
        <f t="shared" si="13"/>
        <v>6.0362100000000002E-3</v>
      </c>
      <c r="E198" s="11">
        <f t="shared" si="14"/>
        <v>2.6947366071428575E-4</v>
      </c>
      <c r="F198" s="11">
        <f>E198/Calculation!K$18*1000</f>
        <v>3.2437154343490916E-4</v>
      </c>
      <c r="G198" s="11">
        <f t="shared" si="15"/>
        <v>166.265142367463</v>
      </c>
    </row>
    <row r="199" spans="1:7">
      <c r="A199" s="11">
        <v>46</v>
      </c>
      <c r="B199" s="11">
        <v>35.25</v>
      </c>
      <c r="C199" s="11">
        <f t="shared" si="12"/>
        <v>3.5249999999999997E-2</v>
      </c>
      <c r="D199" s="11">
        <f t="shared" si="13"/>
        <v>2.4851249999999999E-3</v>
      </c>
      <c r="E199" s="11">
        <f t="shared" si="14"/>
        <v>1.1094308035714287E-4</v>
      </c>
      <c r="F199" s="11">
        <f>E199/Calculation!K$18*1000</f>
        <v>1.3354469640365041E-4</v>
      </c>
      <c r="G199" s="11">
        <f t="shared" si="15"/>
        <v>166.27201111106058</v>
      </c>
    </row>
    <row r="200" spans="1:7">
      <c r="A200" s="11">
        <v>46.5</v>
      </c>
      <c r="B200" s="11">
        <v>167.88</v>
      </c>
      <c r="C200" s="11">
        <f t="shared" si="12"/>
        <v>0.16788</v>
      </c>
      <c r="D200" s="11">
        <f t="shared" si="13"/>
        <v>1.183554E-2</v>
      </c>
      <c r="E200" s="11">
        <f t="shared" si="14"/>
        <v>5.2837232142857152E-4</v>
      </c>
      <c r="F200" s="11">
        <f>E200/Calculation!K$18*1000</f>
        <v>6.360137200636831E-4</v>
      </c>
      <c r="G200" s="11">
        <f t="shared" si="15"/>
        <v>166.28355448730758</v>
      </c>
    </row>
    <row r="201" spans="1:7">
      <c r="A201" s="11">
        <v>47</v>
      </c>
      <c r="B201" s="11">
        <v>30.22</v>
      </c>
      <c r="C201" s="11">
        <f t="shared" si="12"/>
        <v>3.022E-2</v>
      </c>
      <c r="D201" s="11">
        <f t="shared" si="13"/>
        <v>2.13051E-3</v>
      </c>
      <c r="E201" s="11">
        <f t="shared" si="14"/>
        <v>9.5112053571428577E-5</v>
      </c>
      <c r="F201" s="11">
        <f>E201/Calculation!K$18*1000</f>
        <v>1.1448853121470396E-4</v>
      </c>
      <c r="G201" s="11">
        <f t="shared" si="15"/>
        <v>166.29481202107675</v>
      </c>
    </row>
    <row r="202" spans="1:7">
      <c r="A202" s="11">
        <v>47.5</v>
      </c>
      <c r="B202" s="11">
        <v>97.37</v>
      </c>
      <c r="C202" s="11">
        <f t="shared" si="12"/>
        <v>9.7369999999999998E-2</v>
      </c>
      <c r="D202" s="11">
        <f t="shared" si="13"/>
        <v>6.8645849999999994E-3</v>
      </c>
      <c r="E202" s="11">
        <f t="shared" si="14"/>
        <v>3.0645468750000002E-4</v>
      </c>
      <c r="F202" s="11">
        <f>E202/Calculation!K$18*1000</f>
        <v>3.6888644223612594E-4</v>
      </c>
      <c r="G202" s="11">
        <f t="shared" si="15"/>
        <v>166.30206264567852</v>
      </c>
    </row>
    <row r="203" spans="1:7">
      <c r="A203" s="11">
        <v>48</v>
      </c>
      <c r="B203" s="11">
        <v>68.83</v>
      </c>
      <c r="C203" s="11">
        <f t="shared" si="12"/>
        <v>6.8830000000000002E-2</v>
      </c>
      <c r="D203" s="11">
        <f t="shared" si="13"/>
        <v>4.852515E-3</v>
      </c>
      <c r="E203" s="11">
        <f t="shared" si="14"/>
        <v>2.1663013392857143E-4</v>
      </c>
      <c r="F203" s="11">
        <f>E203/Calculation!K$19*1000</f>
        <v>2.7806437794080638E-4</v>
      </c>
      <c r="G203" s="11">
        <f t="shared" si="15"/>
        <v>166.31176690798117</v>
      </c>
    </row>
  </sheetData>
  <mergeCells count="6">
    <mergeCell ref="D105:F105"/>
    <mergeCell ref="A3:A4"/>
    <mergeCell ref="B3:C3"/>
    <mergeCell ref="D3:F3"/>
    <mergeCell ref="A105:A106"/>
    <mergeCell ref="B105:C105"/>
  </mergeCells>
  <pageMargins left="0.7" right="0.7" top="0.75" bottom="0.75" header="0.3" footer="0.3"/>
  <ignoredErrors>
    <ignoredError sqref="C5" evalError="1"/>
    <ignoredError sqref="F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G201"/>
  <sheetViews>
    <sheetView topLeftCell="A175" zoomScale="98" zoomScaleNormal="98" zoomScalePageLayoutView="98" workbookViewId="0">
      <selection activeCell="F105" sqref="F105:F201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7">
      <c r="A1" s="7" t="s">
        <v>49</v>
      </c>
      <c r="B1" s="11">
        <v>70.5</v>
      </c>
      <c r="C1" s="8" t="s">
        <v>50</v>
      </c>
    </row>
    <row r="3" spans="1:7">
      <c r="A3" s="94" t="s">
        <v>5</v>
      </c>
      <c r="B3" s="94" t="s">
        <v>36</v>
      </c>
      <c r="C3" s="94"/>
      <c r="D3" s="94" t="s">
        <v>51</v>
      </c>
      <c r="E3" s="94"/>
      <c r="F3" s="94"/>
      <c r="G3" s="7" t="s">
        <v>52</v>
      </c>
    </row>
    <row r="4" spans="1:7">
      <c r="A4" s="94"/>
      <c r="B4" s="7" t="s">
        <v>53</v>
      </c>
      <c r="C4" s="7" t="s">
        <v>54</v>
      </c>
      <c r="D4" s="7" t="s">
        <v>55</v>
      </c>
      <c r="E4" s="7" t="s">
        <v>56</v>
      </c>
      <c r="F4" s="7" t="s">
        <v>57</v>
      </c>
      <c r="G4" s="7" t="s">
        <v>58</v>
      </c>
    </row>
    <row r="5" spans="1:7">
      <c r="A5" s="33">
        <v>0</v>
      </c>
      <c r="B5" s="82">
        <v>2078.64</v>
      </c>
      <c r="C5" s="34">
        <f>B5/1000</f>
        <v>2.07864</v>
      </c>
      <c r="D5" s="11">
        <f>C5/1000*$B$1</f>
        <v>0.14654412</v>
      </c>
      <c r="E5" s="11">
        <f>D5/22.4</f>
        <v>6.5421482142857144E-3</v>
      </c>
      <c r="F5" s="11">
        <f>E5/Calculation!K$4*1000</f>
        <v>4.4083682994572465E-3</v>
      </c>
      <c r="G5" s="11">
        <f>(0+F5)/2*30</f>
        <v>6.6125524491858698E-2</v>
      </c>
    </row>
    <row r="6" spans="1:7">
      <c r="A6" s="33">
        <v>0.5</v>
      </c>
      <c r="B6" s="82">
        <v>2422.14</v>
      </c>
      <c r="C6" s="34">
        <f t="shared" ref="C6:C69" si="0">B6/1000</f>
        <v>2.4221399999999997</v>
      </c>
      <c r="D6" s="11">
        <f t="shared" ref="D6:D69" si="1">C6/1000*$B$1</f>
        <v>0.17076086999999998</v>
      </c>
      <c r="E6" s="11">
        <f t="shared" ref="E6:E69" si="2">D6/22.4</f>
        <v>7.6232531249999999E-3</v>
      </c>
      <c r="F6" s="11">
        <f>E6/Calculation!K$4*1000</f>
        <v>5.1368612135085324E-3</v>
      </c>
      <c r="G6" s="11">
        <f>G5+(F6+F5)/2*30</f>
        <v>0.20930396718634542</v>
      </c>
    </row>
    <row r="7" spans="1:7">
      <c r="A7" s="33">
        <v>1</v>
      </c>
      <c r="B7" s="82">
        <v>2516.29</v>
      </c>
      <c r="C7" s="34">
        <f t="shared" si="0"/>
        <v>2.5162900000000001</v>
      </c>
      <c r="D7" s="11">
        <f t="shared" si="1"/>
        <v>0.17739844499999999</v>
      </c>
      <c r="E7" s="11">
        <f t="shared" si="2"/>
        <v>7.9195734375000007E-3</v>
      </c>
      <c r="F7" s="11">
        <f>E7/Calculation!K$4*1000</f>
        <v>5.3365340165883821E-3</v>
      </c>
      <c r="G7" s="11">
        <f>G6+(F7+F6)/2*30</f>
        <v>0.3664048956377991</v>
      </c>
    </row>
    <row r="8" spans="1:7">
      <c r="A8" s="33">
        <v>1.5</v>
      </c>
      <c r="B8" s="82">
        <v>2579.27</v>
      </c>
      <c r="C8" s="34">
        <f t="shared" si="0"/>
        <v>2.5792700000000002</v>
      </c>
      <c r="D8" s="11">
        <f t="shared" si="1"/>
        <v>0.18183853500000002</v>
      </c>
      <c r="E8" s="11">
        <f t="shared" si="2"/>
        <v>8.1177917410714309E-3</v>
      </c>
      <c r="F8" s="11">
        <f>E8/Calculation!K$4*1000</f>
        <v>5.4701016548036668E-3</v>
      </c>
      <c r="G8" s="11">
        <f t="shared" ref="G8:G70" si="3">G7+(F8+F7)/2*30</f>
        <v>0.52850443070867981</v>
      </c>
    </row>
    <row r="9" spans="1:7">
      <c r="A9" s="33">
        <v>2</v>
      </c>
      <c r="B9" s="82">
        <v>2659.14</v>
      </c>
      <c r="C9" s="34">
        <f t="shared" si="0"/>
        <v>2.6591399999999998</v>
      </c>
      <c r="D9" s="11">
        <f t="shared" si="1"/>
        <v>0.18746937</v>
      </c>
      <c r="E9" s="11">
        <f t="shared" si="2"/>
        <v>8.3691683035714282E-3</v>
      </c>
      <c r="F9" s="11">
        <f>E9/Calculation!K$5*1000</f>
        <v>5.8116876653331838E-3</v>
      </c>
      <c r="G9" s="11">
        <f t="shared" si="3"/>
        <v>0.69773127051073258</v>
      </c>
    </row>
    <row r="10" spans="1:7">
      <c r="A10" s="33">
        <v>2.5</v>
      </c>
      <c r="B10" s="82">
        <v>2836.57</v>
      </c>
      <c r="C10" s="34">
        <f t="shared" si="0"/>
        <v>2.83657</v>
      </c>
      <c r="D10" s="11">
        <f t="shared" si="1"/>
        <v>0.199978185</v>
      </c>
      <c r="E10" s="11">
        <f t="shared" si="2"/>
        <v>8.9275975446428575E-3</v>
      </c>
      <c r="F10" s="11">
        <f>E10/Calculation!K$5*1000</f>
        <v>6.1994700846341863E-3</v>
      </c>
      <c r="G10" s="11">
        <f t="shared" si="3"/>
        <v>0.87789863676024316</v>
      </c>
    </row>
    <row r="11" spans="1:7">
      <c r="A11" s="33">
        <v>3</v>
      </c>
      <c r="B11" s="82">
        <v>2892.41</v>
      </c>
      <c r="C11" s="34">
        <f t="shared" si="0"/>
        <v>2.8924099999999999</v>
      </c>
      <c r="D11" s="11">
        <f t="shared" si="1"/>
        <v>0.20391490499999998</v>
      </c>
      <c r="E11" s="11">
        <f t="shared" si="2"/>
        <v>9.1033439732142851E-3</v>
      </c>
      <c r="F11" s="11">
        <f>E11/Calculation!K$5*1000</f>
        <v>6.3215112856360904E-3</v>
      </c>
      <c r="G11" s="11">
        <f t="shared" si="3"/>
        <v>1.0657133573142974</v>
      </c>
    </row>
    <row r="12" spans="1:7">
      <c r="A12" s="33">
        <v>3.5</v>
      </c>
      <c r="B12" s="82">
        <v>3018.21</v>
      </c>
      <c r="C12" s="34">
        <f t="shared" si="0"/>
        <v>3.0182099999999998</v>
      </c>
      <c r="D12" s="11">
        <f t="shared" si="1"/>
        <v>0.21278380499999999</v>
      </c>
      <c r="E12" s="11">
        <f t="shared" si="2"/>
        <v>9.4992770089285718E-3</v>
      </c>
      <c r="F12" s="11">
        <f>E12/Calculation!K$6*1000</f>
        <v>6.8089378675745618E-3</v>
      </c>
      <c r="G12" s="11">
        <f t="shared" si="3"/>
        <v>1.2626700946124572</v>
      </c>
    </row>
    <row r="13" spans="1:7">
      <c r="A13" s="33">
        <v>4</v>
      </c>
      <c r="B13" s="82">
        <v>3276.32</v>
      </c>
      <c r="C13" s="34">
        <f t="shared" si="0"/>
        <v>3.2763200000000001</v>
      </c>
      <c r="D13" s="11">
        <f t="shared" si="1"/>
        <v>0.23098056</v>
      </c>
      <c r="E13" s="11">
        <f t="shared" si="2"/>
        <v>1.0311632142857144E-2</v>
      </c>
      <c r="F13" s="11">
        <f>E13/Calculation!K$6*1000</f>
        <v>7.391221722243279E-3</v>
      </c>
      <c r="G13" s="11">
        <f t="shared" si="3"/>
        <v>1.4756724884597248</v>
      </c>
    </row>
    <row r="14" spans="1:7">
      <c r="A14" s="33">
        <v>4.5</v>
      </c>
      <c r="B14" s="82">
        <v>3645.95</v>
      </c>
      <c r="C14" s="34">
        <f t="shared" si="0"/>
        <v>3.64595</v>
      </c>
      <c r="D14" s="11">
        <f t="shared" si="1"/>
        <v>0.25703947500000002</v>
      </c>
      <c r="E14" s="11">
        <f t="shared" si="2"/>
        <v>1.1474976562500001E-2</v>
      </c>
      <c r="F14" s="11">
        <f>E14/Calculation!K$6*1000</f>
        <v>8.2250893802232015E-3</v>
      </c>
      <c r="G14" s="11">
        <f t="shared" si="3"/>
        <v>1.709917154996722</v>
      </c>
    </row>
    <row r="15" spans="1:7">
      <c r="A15" s="33">
        <v>5</v>
      </c>
      <c r="B15" s="82">
        <v>4240.3999999999996</v>
      </c>
      <c r="C15" s="34">
        <f t="shared" si="0"/>
        <v>4.2403999999999993</v>
      </c>
      <c r="D15" s="11">
        <f t="shared" si="1"/>
        <v>0.29894819999999994</v>
      </c>
      <c r="E15" s="11">
        <f t="shared" si="2"/>
        <v>1.3345901785714284E-2</v>
      </c>
      <c r="F15" s="11">
        <f>E15/Calculation!K$7*1000</f>
        <v>9.9209674002005404E-3</v>
      </c>
      <c r="G15" s="11">
        <f t="shared" si="3"/>
        <v>1.9821080067030781</v>
      </c>
    </row>
    <row r="16" spans="1:7">
      <c r="A16" s="33">
        <v>5.5</v>
      </c>
      <c r="B16" s="82">
        <v>5127.7</v>
      </c>
      <c r="C16" s="34">
        <f t="shared" si="0"/>
        <v>5.1276999999999999</v>
      </c>
      <c r="D16" s="11">
        <f t="shared" si="1"/>
        <v>0.36150284999999999</v>
      </c>
      <c r="E16" s="11">
        <f t="shared" si="2"/>
        <v>1.6138520089285714E-2</v>
      </c>
      <c r="F16" s="11">
        <f>E16/Calculation!K$7*1000</f>
        <v>1.1996921172061203E-2</v>
      </c>
      <c r="G16" s="11">
        <f t="shared" si="3"/>
        <v>2.3108763352870043</v>
      </c>
    </row>
    <row r="17" spans="1:7">
      <c r="A17" s="33">
        <v>6</v>
      </c>
      <c r="B17" s="82">
        <v>5965.49</v>
      </c>
      <c r="C17" s="34">
        <f t="shared" si="0"/>
        <v>5.96549</v>
      </c>
      <c r="D17" s="11">
        <f t="shared" si="1"/>
        <v>0.42056704500000003</v>
      </c>
      <c r="E17" s="11">
        <f t="shared" si="2"/>
        <v>1.8775314508928574E-2</v>
      </c>
      <c r="F17" s="11">
        <f>E17/Calculation!K$8*1000</f>
        <v>1.4449389424118919E-2</v>
      </c>
      <c r="G17" s="11">
        <f t="shared" si="3"/>
        <v>2.7075709942297062</v>
      </c>
    </row>
    <row r="18" spans="1:7">
      <c r="A18" s="33">
        <v>6.5</v>
      </c>
      <c r="B18" s="82">
        <v>6689.81</v>
      </c>
      <c r="C18" s="34">
        <f t="shared" si="0"/>
        <v>6.6898100000000005</v>
      </c>
      <c r="D18" s="11">
        <f t="shared" si="1"/>
        <v>0.47163160500000006</v>
      </c>
      <c r="E18" s="11">
        <f t="shared" si="2"/>
        <v>2.1054982366071433E-2</v>
      </c>
      <c r="F18" s="11">
        <f>E18/Calculation!K$8*1000</f>
        <v>1.6203810560970682E-2</v>
      </c>
      <c r="G18" s="11">
        <f t="shared" si="3"/>
        <v>3.1673689940060501</v>
      </c>
    </row>
    <row r="19" spans="1:7">
      <c r="A19" s="33">
        <v>7</v>
      </c>
      <c r="B19" s="82">
        <v>7447.24</v>
      </c>
      <c r="C19" s="34">
        <f t="shared" si="0"/>
        <v>7.4472399999999999</v>
      </c>
      <c r="D19" s="11">
        <f t="shared" si="1"/>
        <v>0.52503042</v>
      </c>
      <c r="E19" s="11">
        <f t="shared" si="2"/>
        <v>2.3438858035714286E-2</v>
      </c>
      <c r="F19" s="11">
        <f>E19/Calculation!K$8*1000</f>
        <v>1.8038429516246842E-2</v>
      </c>
      <c r="G19" s="11">
        <f t="shared" si="3"/>
        <v>3.6810025951643128</v>
      </c>
    </row>
    <row r="20" spans="1:7">
      <c r="A20" s="33">
        <v>7.5</v>
      </c>
      <c r="B20" s="82">
        <v>8782.9</v>
      </c>
      <c r="C20" s="34">
        <f t="shared" si="0"/>
        <v>8.7828999999999997</v>
      </c>
      <c r="D20" s="11">
        <f t="shared" si="1"/>
        <v>0.61919444999999995</v>
      </c>
      <c r="E20" s="11">
        <f t="shared" si="2"/>
        <v>2.7642609374999998E-2</v>
      </c>
      <c r="F20" s="11">
        <f>E20/Calculation!K$9*1000</f>
        <v>2.2049655719673416E-2</v>
      </c>
      <c r="G20" s="11">
        <f t="shared" si="3"/>
        <v>4.2823238737031168</v>
      </c>
    </row>
    <row r="21" spans="1:7">
      <c r="A21" s="33">
        <v>8</v>
      </c>
      <c r="B21" s="82">
        <v>10459.129999999999</v>
      </c>
      <c r="C21" s="34">
        <f t="shared" si="0"/>
        <v>10.45913</v>
      </c>
      <c r="D21" s="11">
        <f t="shared" si="1"/>
        <v>0.73736866500000009</v>
      </c>
      <c r="E21" s="11">
        <f t="shared" si="2"/>
        <v>3.2918243973214294E-2</v>
      </c>
      <c r="F21" s="11">
        <f>E21/Calculation!K$9*1000</f>
        <v>2.6257866493676105E-2</v>
      </c>
      <c r="G21" s="11">
        <f t="shared" si="3"/>
        <v>5.0069367069033595</v>
      </c>
    </row>
    <row r="22" spans="1:7">
      <c r="A22" s="33">
        <v>8.5</v>
      </c>
      <c r="B22" s="82">
        <v>12836.62</v>
      </c>
      <c r="C22" s="34">
        <f t="shared" si="0"/>
        <v>12.83662</v>
      </c>
      <c r="D22" s="11">
        <f t="shared" si="1"/>
        <v>0.90498171000000005</v>
      </c>
      <c r="E22" s="11">
        <f t="shared" si="2"/>
        <v>4.0400969196428577E-2</v>
      </c>
      <c r="F22" s="11">
        <f>E22/Calculation!K$9*1000</f>
        <v>3.2226605290311197E-2</v>
      </c>
      <c r="G22" s="11">
        <f t="shared" si="3"/>
        <v>5.8842037836631693</v>
      </c>
    </row>
    <row r="23" spans="1:7">
      <c r="A23" s="33">
        <v>9</v>
      </c>
      <c r="B23" s="82">
        <v>15537.8</v>
      </c>
      <c r="C23" s="34">
        <f t="shared" si="0"/>
        <v>15.537799999999999</v>
      </c>
      <c r="D23" s="11">
        <f t="shared" si="1"/>
        <v>1.0954149</v>
      </c>
      <c r="E23" s="11">
        <f t="shared" si="2"/>
        <v>4.8902450892857142E-2</v>
      </c>
      <c r="F23" s="11">
        <f>E23/Calculation!K$9*1000</f>
        <v>3.900797465998037E-2</v>
      </c>
      <c r="G23" s="11">
        <f t="shared" si="3"/>
        <v>6.9527224829175429</v>
      </c>
    </row>
    <row r="24" spans="1:7">
      <c r="A24" s="33">
        <v>9.5</v>
      </c>
      <c r="B24" s="82">
        <v>17922.599999999999</v>
      </c>
      <c r="C24" s="34">
        <f t="shared" si="0"/>
        <v>17.922599999999999</v>
      </c>
      <c r="D24" s="11">
        <f t="shared" si="1"/>
        <v>1.2635433</v>
      </c>
      <c r="E24" s="11">
        <f t="shared" si="2"/>
        <v>5.6408183035714293E-2</v>
      </c>
      <c r="F24" s="11">
        <f>E24/Calculation!K$9*1000</f>
        <v>4.4995065365815261E-2</v>
      </c>
      <c r="G24" s="11">
        <f t="shared" si="3"/>
        <v>8.2127680833044767</v>
      </c>
    </row>
    <row r="25" spans="1:7">
      <c r="A25" s="33">
        <v>10</v>
      </c>
      <c r="B25" s="82">
        <v>20056.27</v>
      </c>
      <c r="C25" s="34">
        <f t="shared" si="0"/>
        <v>20.056270000000001</v>
      </c>
      <c r="D25" s="11">
        <f t="shared" si="1"/>
        <v>1.413967035</v>
      </c>
      <c r="E25" s="11">
        <f t="shared" si="2"/>
        <v>6.3123528348214289E-2</v>
      </c>
      <c r="F25" s="11">
        <f>E25/Calculation!K$9*1000</f>
        <v>5.0351688909222959E-2</v>
      </c>
      <c r="G25" s="11">
        <f t="shared" si="3"/>
        <v>9.6429693974300505</v>
      </c>
    </row>
    <row r="26" spans="1:7">
      <c r="A26" s="33">
        <v>10.5</v>
      </c>
      <c r="B26" s="82">
        <v>22610.22</v>
      </c>
      <c r="C26" s="34">
        <f t="shared" si="0"/>
        <v>22.610220000000002</v>
      </c>
      <c r="D26" s="11">
        <f t="shared" si="1"/>
        <v>1.59402051</v>
      </c>
      <c r="E26" s="11">
        <f t="shared" si="2"/>
        <v>7.1161629910714286E-2</v>
      </c>
      <c r="F26" s="11">
        <f>E26/Calculation!K$10*1000</f>
        <v>5.8886294401157648E-2</v>
      </c>
      <c r="G26" s="11">
        <f t="shared" si="3"/>
        <v>11.281539147085759</v>
      </c>
    </row>
    <row r="27" spans="1:7">
      <c r="A27" s="33">
        <v>11</v>
      </c>
      <c r="B27" s="82">
        <v>24922.3</v>
      </c>
      <c r="C27" s="34">
        <f t="shared" si="0"/>
        <v>24.9223</v>
      </c>
      <c r="D27" s="11">
        <f t="shared" si="1"/>
        <v>1.7570221500000001</v>
      </c>
      <c r="E27" s="11">
        <f t="shared" si="2"/>
        <v>7.8438488839285725E-2</v>
      </c>
      <c r="F27" s="11">
        <f>E27/Calculation!K$10*1000</f>
        <v>6.4907899832640781E-2</v>
      </c>
      <c r="G27" s="11">
        <f t="shared" si="3"/>
        <v>13.138452060592735</v>
      </c>
    </row>
    <row r="28" spans="1:7">
      <c r="A28" s="33">
        <v>11.5</v>
      </c>
      <c r="B28" s="82">
        <v>24119.74</v>
      </c>
      <c r="C28" s="34">
        <f t="shared" si="0"/>
        <v>24.11974</v>
      </c>
      <c r="D28" s="11">
        <f t="shared" si="1"/>
        <v>1.70044167</v>
      </c>
      <c r="E28" s="11">
        <f t="shared" si="2"/>
        <v>7.5912574553571435E-2</v>
      </c>
      <c r="F28" s="11">
        <f>E28/Calculation!K$10*1000</f>
        <v>6.2817704140843311E-2</v>
      </c>
      <c r="G28" s="11">
        <f t="shared" si="3"/>
        <v>15.054336120194996</v>
      </c>
    </row>
    <row r="29" spans="1:7">
      <c r="A29" s="33">
        <v>12</v>
      </c>
      <c r="B29" s="82">
        <v>25373.09</v>
      </c>
      <c r="C29" s="34">
        <f t="shared" si="0"/>
        <v>25.373090000000001</v>
      </c>
      <c r="D29" s="11">
        <f t="shared" si="1"/>
        <v>1.788802845</v>
      </c>
      <c r="E29" s="11">
        <f t="shared" si="2"/>
        <v>7.9857269866071431E-2</v>
      </c>
      <c r="F29" s="11">
        <f>E29/Calculation!K$11*1000</f>
        <v>6.851508467832379E-2</v>
      </c>
      <c r="G29" s="11">
        <f t="shared" si="3"/>
        <v>17.024327952482501</v>
      </c>
    </row>
    <row r="30" spans="1:7">
      <c r="A30" s="33">
        <v>12.5</v>
      </c>
      <c r="B30" s="82">
        <v>28048.14</v>
      </c>
      <c r="C30" s="34">
        <f t="shared" si="0"/>
        <v>28.04814</v>
      </c>
      <c r="D30" s="11">
        <f t="shared" si="1"/>
        <v>1.97739387</v>
      </c>
      <c r="E30" s="11">
        <f t="shared" si="2"/>
        <v>8.827651205357144E-2</v>
      </c>
      <c r="F30" s="11">
        <f>E30/Calculation!K$11*1000</f>
        <v>7.5738535872827514E-2</v>
      </c>
      <c r="G30" s="11">
        <f t="shared" si="3"/>
        <v>19.188132260749772</v>
      </c>
    </row>
    <row r="31" spans="1:7">
      <c r="A31" s="33">
        <v>13</v>
      </c>
      <c r="B31" s="82">
        <v>29165.3</v>
      </c>
      <c r="C31" s="34">
        <f t="shared" si="0"/>
        <v>29.165299999999998</v>
      </c>
      <c r="D31" s="11">
        <f t="shared" si="1"/>
        <v>2.0561536499999997</v>
      </c>
      <c r="E31" s="11">
        <f t="shared" si="2"/>
        <v>9.1792573660714277E-2</v>
      </c>
      <c r="F31" s="11">
        <f>E31/Calculation!K$12*1000</f>
        <v>8.1957193863866573E-2</v>
      </c>
      <c r="G31" s="11">
        <f t="shared" si="3"/>
        <v>21.553568206800183</v>
      </c>
    </row>
    <row r="32" spans="1:7">
      <c r="A32" s="33">
        <v>13.5</v>
      </c>
      <c r="B32" s="82">
        <v>30715.55</v>
      </c>
      <c r="C32" s="34">
        <f t="shared" si="0"/>
        <v>30.71555</v>
      </c>
      <c r="D32" s="11">
        <f t="shared" si="1"/>
        <v>2.1654462749999999</v>
      </c>
      <c r="E32" s="11">
        <f t="shared" si="2"/>
        <v>9.6671708705357143E-2</v>
      </c>
      <c r="F32" s="11">
        <f>E32/Calculation!K$12*1000</f>
        <v>8.6313539925366348E-2</v>
      </c>
      <c r="G32" s="11">
        <f t="shared" si="3"/>
        <v>24.077629213638676</v>
      </c>
    </row>
    <row r="33" spans="1:7">
      <c r="A33" s="33">
        <v>14</v>
      </c>
      <c r="B33" s="82">
        <v>32384.799999999999</v>
      </c>
      <c r="C33" s="34">
        <f t="shared" si="0"/>
        <v>32.384799999999998</v>
      </c>
      <c r="D33" s="11">
        <f t="shared" si="1"/>
        <v>2.2831283999999998</v>
      </c>
      <c r="E33" s="11">
        <f t="shared" si="2"/>
        <v>0.101925375</v>
      </c>
      <c r="F33" s="11">
        <f>E33/Calculation!K$13*1000</f>
        <v>9.5431522591026857E-2</v>
      </c>
      <c r="G33" s="11">
        <f t="shared" si="3"/>
        <v>26.803805151384573</v>
      </c>
    </row>
    <row r="34" spans="1:7">
      <c r="A34" s="33">
        <v>14.5</v>
      </c>
      <c r="B34" s="82">
        <v>33136.550000000003</v>
      </c>
      <c r="C34" s="34">
        <f t="shared" si="0"/>
        <v>33.13655</v>
      </c>
      <c r="D34" s="11">
        <f t="shared" si="1"/>
        <v>2.3361267749999999</v>
      </c>
      <c r="E34" s="11">
        <f t="shared" si="2"/>
        <v>0.10429137388392858</v>
      </c>
      <c r="F34" s="11">
        <f>E34/Calculation!K$13*1000</f>
        <v>9.7646779350611765E-2</v>
      </c>
      <c r="G34" s="11">
        <f t="shared" si="3"/>
        <v>29.699979680509152</v>
      </c>
    </row>
    <row r="35" spans="1:7">
      <c r="A35" s="33">
        <v>15</v>
      </c>
      <c r="B35" s="82">
        <v>34071.58</v>
      </c>
      <c r="C35" s="34">
        <f t="shared" si="0"/>
        <v>34.071580000000004</v>
      </c>
      <c r="D35" s="11">
        <f t="shared" si="1"/>
        <v>2.4020463900000002</v>
      </c>
      <c r="E35" s="11">
        <f t="shared" si="2"/>
        <v>0.10723421383928573</v>
      </c>
      <c r="F35" s="11">
        <f>E35/Calculation!K$13*1000</f>
        <v>0.10040212557996282</v>
      </c>
      <c r="G35" s="11">
        <f t="shared" si="3"/>
        <v>32.670713254467771</v>
      </c>
    </row>
    <row r="36" spans="1:7">
      <c r="A36" s="33">
        <v>15.5</v>
      </c>
      <c r="B36" s="82">
        <v>34529.35</v>
      </c>
      <c r="C36" s="34">
        <f t="shared" si="0"/>
        <v>34.529350000000001</v>
      </c>
      <c r="D36" s="11">
        <f t="shared" si="1"/>
        <v>2.4343191750000002</v>
      </c>
      <c r="E36" s="11">
        <f t="shared" si="2"/>
        <v>0.10867496316964287</v>
      </c>
      <c r="F36" s="11">
        <f>E36/Calculation!K$13*1000</f>
        <v>0.10175108213045854</v>
      </c>
      <c r="G36" s="11">
        <f t="shared" si="3"/>
        <v>35.703011370124088</v>
      </c>
    </row>
    <row r="37" spans="1:7">
      <c r="A37" s="33">
        <v>16</v>
      </c>
      <c r="B37" s="82">
        <v>35264.870000000003</v>
      </c>
      <c r="C37" s="34">
        <f t="shared" si="0"/>
        <v>35.264870000000002</v>
      </c>
      <c r="D37" s="11">
        <f t="shared" si="1"/>
        <v>2.4861733350000002</v>
      </c>
      <c r="E37" s="11">
        <f t="shared" si="2"/>
        <v>0.11098988102678572</v>
      </c>
      <c r="F37" s="11">
        <f>E37/Calculation!K$14*1000</f>
        <v>0.10858027736813625</v>
      </c>
      <c r="G37" s="11">
        <f t="shared" si="3"/>
        <v>38.857981762603011</v>
      </c>
    </row>
    <row r="38" spans="1:7">
      <c r="A38" s="33">
        <v>16.5</v>
      </c>
      <c r="B38" s="82">
        <v>35421.68</v>
      </c>
      <c r="C38" s="34">
        <f t="shared" si="0"/>
        <v>35.421680000000002</v>
      </c>
      <c r="D38" s="11">
        <f t="shared" si="1"/>
        <v>2.4972284400000002</v>
      </c>
      <c r="E38" s="11">
        <f t="shared" si="2"/>
        <v>0.11148341250000002</v>
      </c>
      <c r="F38" s="11">
        <f>E38/Calculation!K$14*1000</f>
        <v>0.10906309421374202</v>
      </c>
      <c r="G38" s="11">
        <f t="shared" si="3"/>
        <v>42.122632336331186</v>
      </c>
    </row>
    <row r="39" spans="1:7">
      <c r="A39" s="33">
        <v>17</v>
      </c>
      <c r="B39" s="82">
        <v>35704.620000000003</v>
      </c>
      <c r="C39" s="34">
        <f t="shared" si="0"/>
        <v>35.704620000000006</v>
      </c>
      <c r="D39" s="11">
        <f t="shared" si="1"/>
        <v>2.5171757100000005</v>
      </c>
      <c r="E39" s="11">
        <f t="shared" si="2"/>
        <v>0.11237391562500003</v>
      </c>
      <c r="F39" s="11">
        <f>E39/Calculation!K$15*1000</f>
        <v>0.11439105891191689</v>
      </c>
      <c r="G39" s="11">
        <f t="shared" si="3"/>
        <v>45.474444633216066</v>
      </c>
    </row>
    <row r="40" spans="1:7">
      <c r="A40" s="33">
        <v>17.5</v>
      </c>
      <c r="B40" s="82">
        <v>36333.980000000003</v>
      </c>
      <c r="C40" s="34">
        <f t="shared" si="0"/>
        <v>36.333980000000004</v>
      </c>
      <c r="D40" s="11">
        <f t="shared" si="1"/>
        <v>2.5615455900000001</v>
      </c>
      <c r="E40" s="11">
        <f t="shared" si="2"/>
        <v>0.11435471383928573</v>
      </c>
      <c r="F40" s="11">
        <f>E40/Calculation!K$15*1000</f>
        <v>0.11640741300942035</v>
      </c>
      <c r="G40" s="11">
        <f t="shared" si="3"/>
        <v>48.936421712036122</v>
      </c>
    </row>
    <row r="41" spans="1:7">
      <c r="A41" s="33">
        <v>18</v>
      </c>
      <c r="B41" s="82">
        <v>36315.96</v>
      </c>
      <c r="C41" s="34">
        <f t="shared" si="0"/>
        <v>36.315959999999997</v>
      </c>
      <c r="D41" s="11">
        <f t="shared" si="1"/>
        <v>2.5602751799999997</v>
      </c>
      <c r="E41" s="11">
        <f t="shared" si="2"/>
        <v>0.11429799910714285</v>
      </c>
      <c r="F41" s="11">
        <f>E41/Calculation!K$15*1000</f>
        <v>0.11634968023193683</v>
      </c>
      <c r="G41" s="11">
        <f t="shared" si="3"/>
        <v>52.427778110656476</v>
      </c>
    </row>
    <row r="42" spans="1:7">
      <c r="A42" s="33">
        <v>18.5</v>
      </c>
      <c r="B42" s="82">
        <v>35733.68</v>
      </c>
      <c r="C42" s="34">
        <f t="shared" si="0"/>
        <v>35.73368</v>
      </c>
      <c r="D42" s="11">
        <f t="shared" si="1"/>
        <v>2.5192244399999999</v>
      </c>
      <c r="E42" s="11">
        <f t="shared" si="2"/>
        <v>0.11246537678571429</v>
      </c>
      <c r="F42" s="11">
        <f>E42/Calculation!K$16*1000</f>
        <v>0.12012774726823695</v>
      </c>
      <c r="G42" s="11">
        <f t="shared" si="3"/>
        <v>55.97493952315908</v>
      </c>
    </row>
    <row r="43" spans="1:7">
      <c r="A43" s="33">
        <v>19</v>
      </c>
      <c r="B43" s="82">
        <v>35307.08</v>
      </c>
      <c r="C43" s="34">
        <f t="shared" si="0"/>
        <v>35.307079999999999</v>
      </c>
      <c r="D43" s="11">
        <f t="shared" si="1"/>
        <v>2.4891491399999999</v>
      </c>
      <c r="E43" s="11">
        <f t="shared" si="2"/>
        <v>0.11112272946428571</v>
      </c>
      <c r="F43" s="11">
        <f>E43/Calculation!K$16*1000</f>
        <v>0.11869362413889147</v>
      </c>
      <c r="G43" s="11">
        <f t="shared" si="3"/>
        <v>59.557260094266006</v>
      </c>
    </row>
    <row r="44" spans="1:7">
      <c r="A44" s="33">
        <v>19.5</v>
      </c>
      <c r="B44" s="82">
        <v>34712.949999999997</v>
      </c>
      <c r="C44" s="34">
        <f t="shared" si="0"/>
        <v>34.712949999999999</v>
      </c>
      <c r="D44" s="11">
        <f t="shared" si="1"/>
        <v>2.4472629750000001</v>
      </c>
      <c r="E44" s="11">
        <f t="shared" si="2"/>
        <v>0.10925281138392859</v>
      </c>
      <c r="F44" s="11">
        <f>E44/Calculation!K$16*1000</f>
        <v>0.11669630680453136</v>
      </c>
      <c r="G44" s="11">
        <f t="shared" si="3"/>
        <v>63.088109058417345</v>
      </c>
    </row>
    <row r="45" spans="1:7">
      <c r="A45" s="33">
        <v>20</v>
      </c>
      <c r="B45" s="82">
        <v>33456.51</v>
      </c>
      <c r="C45" s="34">
        <f t="shared" si="0"/>
        <v>33.456510000000002</v>
      </c>
      <c r="D45" s="11">
        <f t="shared" si="1"/>
        <v>2.3586839550000001</v>
      </c>
      <c r="E45" s="11">
        <f t="shared" si="2"/>
        <v>0.1052983908482143</v>
      </c>
      <c r="F45" s="11">
        <f>E45/Calculation!K$16*1000</f>
        <v>0.11247246792821905</v>
      </c>
      <c r="G45" s="11">
        <f t="shared" si="3"/>
        <v>66.525640679408596</v>
      </c>
    </row>
    <row r="46" spans="1:7">
      <c r="A46" s="33">
        <v>20.5</v>
      </c>
      <c r="B46" s="82">
        <v>32822.120000000003</v>
      </c>
      <c r="C46" s="34">
        <f t="shared" si="0"/>
        <v>32.822120000000005</v>
      </c>
      <c r="D46" s="11">
        <f t="shared" si="1"/>
        <v>2.3139594600000004</v>
      </c>
      <c r="E46" s="11">
        <f t="shared" si="2"/>
        <v>0.10330176160714288</v>
      </c>
      <c r="F46" s="11">
        <f>E46/Calculation!K$16*1000</f>
        <v>0.11033980648418372</v>
      </c>
      <c r="G46" s="11">
        <f t="shared" si="3"/>
        <v>69.867824795594643</v>
      </c>
    </row>
    <row r="47" spans="1:7">
      <c r="A47" s="33">
        <v>21</v>
      </c>
      <c r="B47" s="82">
        <v>32804.589999999997</v>
      </c>
      <c r="C47" s="34">
        <f t="shared" si="0"/>
        <v>32.804589999999997</v>
      </c>
      <c r="D47" s="11">
        <f t="shared" si="1"/>
        <v>2.3127235949999996</v>
      </c>
      <c r="E47" s="11">
        <f t="shared" si="2"/>
        <v>0.10324658906249999</v>
      </c>
      <c r="F47" s="11">
        <f>E47/Calculation!K$16*1000</f>
        <v>0.11028087498287702</v>
      </c>
      <c r="G47" s="11">
        <f t="shared" si="3"/>
        <v>73.177135017600548</v>
      </c>
    </row>
    <row r="48" spans="1:7">
      <c r="A48" s="33">
        <v>21.5</v>
      </c>
      <c r="B48" s="82">
        <v>30322.23</v>
      </c>
      <c r="C48" s="34">
        <f t="shared" si="0"/>
        <v>30.322230000000001</v>
      </c>
      <c r="D48" s="11">
        <f t="shared" si="1"/>
        <v>2.1377172150000003</v>
      </c>
      <c r="E48" s="11">
        <f t="shared" si="2"/>
        <v>9.5433804241071452E-2</v>
      </c>
      <c r="F48" s="11">
        <f>E48/Calculation!K$16*1000</f>
        <v>0.10193579788170021</v>
      </c>
      <c r="G48" s="11">
        <f t="shared" si="3"/>
        <v>76.360385110569212</v>
      </c>
    </row>
    <row r="49" spans="1:7">
      <c r="A49" s="33">
        <v>22</v>
      </c>
      <c r="B49" s="82">
        <v>24737.4</v>
      </c>
      <c r="C49" s="34">
        <f t="shared" si="0"/>
        <v>24.737400000000001</v>
      </c>
      <c r="D49" s="11">
        <f t="shared" si="1"/>
        <v>1.7439867</v>
      </c>
      <c r="E49" s="11">
        <f t="shared" si="2"/>
        <v>7.7856549107142861E-2</v>
      </c>
      <c r="F49" s="11">
        <f>E49/Calculation!K$16*1000</f>
        <v>8.3160988044704176E-2</v>
      </c>
      <c r="G49" s="11">
        <f t="shared" si="3"/>
        <v>79.13683689946528</v>
      </c>
    </row>
    <row r="50" spans="1:7">
      <c r="A50" s="33">
        <v>22.5</v>
      </c>
      <c r="B50" s="82">
        <v>20749.59</v>
      </c>
      <c r="C50" s="34">
        <f t="shared" si="0"/>
        <v>20.749590000000001</v>
      </c>
      <c r="D50" s="11">
        <f t="shared" si="1"/>
        <v>1.4628460950000002</v>
      </c>
      <c r="E50" s="11">
        <f t="shared" si="2"/>
        <v>6.5305629241071445E-2</v>
      </c>
      <c r="F50" s="11">
        <f>E50/Calculation!K$16*1000</f>
        <v>6.9754962361546227E-2</v>
      </c>
      <c r="G50" s="11">
        <f t="shared" si="3"/>
        <v>81.430576155559038</v>
      </c>
    </row>
    <row r="51" spans="1:7">
      <c r="A51" s="33">
        <v>23</v>
      </c>
      <c r="B51" s="82">
        <v>18053.11</v>
      </c>
      <c r="C51" s="34">
        <f t="shared" si="0"/>
        <v>18.05311</v>
      </c>
      <c r="D51" s="11">
        <f t="shared" si="1"/>
        <v>1.2727442550000001</v>
      </c>
      <c r="E51" s="11">
        <f t="shared" si="2"/>
        <v>5.6818939955357153E-2</v>
      </c>
      <c r="F51" s="11">
        <f>E51/Calculation!K$16*1000</f>
        <v>6.069006705958304E-2</v>
      </c>
      <c r="G51" s="11">
        <f t="shared" si="3"/>
        <v>83.38725159687597</v>
      </c>
    </row>
    <row r="52" spans="1:7">
      <c r="A52" s="33">
        <v>23.5</v>
      </c>
      <c r="B52" s="82">
        <v>15741.53</v>
      </c>
      <c r="C52" s="34">
        <f t="shared" si="0"/>
        <v>15.741530000000001</v>
      </c>
      <c r="D52" s="11">
        <f t="shared" si="1"/>
        <v>1.1097778650000001</v>
      </c>
      <c r="E52" s="11">
        <f t="shared" si="2"/>
        <v>4.9543654687500008E-2</v>
      </c>
      <c r="F52" s="11">
        <f>E52/Calculation!K$16*1000</f>
        <v>5.2919109855334524E-2</v>
      </c>
      <c r="G52" s="11">
        <f t="shared" si="3"/>
        <v>85.091389250599732</v>
      </c>
    </row>
    <row r="53" spans="1:7">
      <c r="A53" s="33">
        <v>24</v>
      </c>
      <c r="B53" s="82">
        <v>13466.95</v>
      </c>
      <c r="C53" s="34">
        <f t="shared" si="0"/>
        <v>13.466950000000001</v>
      </c>
      <c r="D53" s="11">
        <f t="shared" si="1"/>
        <v>0.94941997499999997</v>
      </c>
      <c r="E53" s="11">
        <f t="shared" si="2"/>
        <v>4.2384820312500002E-2</v>
      </c>
      <c r="F53" s="11">
        <f>E53/Calculation!K$17*1000</f>
        <v>4.8027844032842229E-2</v>
      </c>
      <c r="G53" s="11">
        <f t="shared" si="3"/>
        <v>86.605593558922379</v>
      </c>
    </row>
    <row r="54" spans="1:7">
      <c r="A54" s="33">
        <v>24.5</v>
      </c>
      <c r="B54" s="82">
        <v>11529.53</v>
      </c>
      <c r="C54" s="34">
        <f t="shared" si="0"/>
        <v>11.529530000000001</v>
      </c>
      <c r="D54" s="11">
        <f t="shared" si="1"/>
        <v>0.81283186500000004</v>
      </c>
      <c r="E54" s="11">
        <f t="shared" si="2"/>
        <v>3.6287136830357149E-2</v>
      </c>
      <c r="F54" s="11">
        <f>E54/Calculation!K$17*1000</f>
        <v>4.1118328100421805E-2</v>
      </c>
      <c r="G54" s="11">
        <f t="shared" si="3"/>
        <v>87.942786140921342</v>
      </c>
    </row>
    <row r="55" spans="1:7">
      <c r="A55" s="33">
        <v>25</v>
      </c>
      <c r="B55" s="82">
        <v>9997.94</v>
      </c>
      <c r="C55" s="34">
        <f t="shared" si="0"/>
        <v>9.9979399999999998</v>
      </c>
      <c r="D55" s="11">
        <f t="shared" si="1"/>
        <v>0.70485477000000007</v>
      </c>
      <c r="E55" s="11">
        <f t="shared" si="2"/>
        <v>3.1466730803571437E-2</v>
      </c>
      <c r="F55" s="11">
        <f>E55/Calculation!K$17*1000</f>
        <v>3.5656143593739836E-2</v>
      </c>
      <c r="G55" s="11">
        <f t="shared" si="3"/>
        <v>89.094403216333774</v>
      </c>
    </row>
    <row r="56" spans="1:7">
      <c r="A56" s="33">
        <v>25.5</v>
      </c>
      <c r="B56" s="82">
        <v>8251.92</v>
      </c>
      <c r="C56" s="34">
        <f t="shared" si="0"/>
        <v>8.2519200000000001</v>
      </c>
      <c r="D56" s="11">
        <f t="shared" si="1"/>
        <v>0.58176035999999998</v>
      </c>
      <c r="E56" s="11">
        <f t="shared" si="2"/>
        <v>2.5971444642857142E-2</v>
      </c>
      <c r="F56" s="11">
        <f>E56/Calculation!K$17*1000</f>
        <v>2.9429226865139574E-2</v>
      </c>
      <c r="G56" s="11">
        <f t="shared" si="3"/>
        <v>90.07068377321697</v>
      </c>
    </row>
    <row r="57" spans="1:7">
      <c r="A57" s="33">
        <v>26</v>
      </c>
      <c r="B57" s="82">
        <v>7033.46</v>
      </c>
      <c r="C57" s="34">
        <f t="shared" si="0"/>
        <v>7.0334599999999998</v>
      </c>
      <c r="D57" s="11">
        <f t="shared" si="1"/>
        <v>0.49585893000000003</v>
      </c>
      <c r="E57" s="11">
        <f t="shared" si="2"/>
        <v>2.2136559375000003E-2</v>
      </c>
      <c r="F57" s="11">
        <f>E57/Calculation!K$17*1000</f>
        <v>2.5083773229367785E-2</v>
      </c>
      <c r="G57" s="11">
        <f t="shared" si="3"/>
        <v>90.888378774634575</v>
      </c>
    </row>
    <row r="58" spans="1:7">
      <c r="A58" s="33">
        <v>26.5</v>
      </c>
      <c r="B58" s="82">
        <v>5902.67</v>
      </c>
      <c r="C58" s="34">
        <f t="shared" si="0"/>
        <v>5.9026699999999996</v>
      </c>
      <c r="D58" s="11">
        <f t="shared" si="1"/>
        <v>0.41613823499999997</v>
      </c>
      <c r="E58" s="11">
        <f t="shared" si="2"/>
        <v>1.8577599776785712E-2</v>
      </c>
      <c r="F58" s="11">
        <f>E58/Calculation!K$17*1000</f>
        <v>2.1050981412817065E-2</v>
      </c>
      <c r="G58" s="11">
        <f t="shared" si="3"/>
        <v>91.580400094267347</v>
      </c>
    </row>
    <row r="59" spans="1:7">
      <c r="A59" s="33">
        <v>27</v>
      </c>
      <c r="B59" s="82">
        <v>5045.07</v>
      </c>
      <c r="C59" s="34">
        <f t="shared" si="0"/>
        <v>5.0450699999999999</v>
      </c>
      <c r="D59" s="11">
        <f t="shared" si="1"/>
        <v>0.35567743499999999</v>
      </c>
      <c r="E59" s="11">
        <f t="shared" si="2"/>
        <v>1.5878456919642858E-2</v>
      </c>
      <c r="F59" s="11">
        <f>E59/Calculation!K$17*1000</f>
        <v>1.7992480487027226E-2</v>
      </c>
      <c r="G59" s="11">
        <f t="shared" si="3"/>
        <v>92.166052022765015</v>
      </c>
    </row>
    <row r="60" spans="1:7">
      <c r="A60" s="33">
        <v>27.5</v>
      </c>
      <c r="B60" s="82">
        <v>4304.68</v>
      </c>
      <c r="C60" s="34">
        <f t="shared" si="0"/>
        <v>4.3046800000000003</v>
      </c>
      <c r="D60" s="11">
        <f t="shared" si="1"/>
        <v>0.30347994</v>
      </c>
      <c r="E60" s="11">
        <f t="shared" si="2"/>
        <v>1.3548211607142858E-2</v>
      </c>
      <c r="F60" s="11">
        <f>E60/Calculation!K$17*1000</f>
        <v>1.5351991330724126E-2</v>
      </c>
      <c r="G60" s="11">
        <f t="shared" si="3"/>
        <v>92.666219100031284</v>
      </c>
    </row>
    <row r="61" spans="1:7">
      <c r="A61" s="33">
        <v>28</v>
      </c>
      <c r="B61" s="82">
        <v>3590.92</v>
      </c>
      <c r="C61" s="34">
        <f t="shared" si="0"/>
        <v>3.5909200000000001</v>
      </c>
      <c r="D61" s="11">
        <f t="shared" si="1"/>
        <v>0.25315986000000001</v>
      </c>
      <c r="E61" s="11">
        <f t="shared" si="2"/>
        <v>1.1301779464285715E-2</v>
      </c>
      <c r="F61" s="11">
        <f>E61/Calculation!K$17*1000</f>
        <v>1.2806474049017321E-2</v>
      </c>
      <c r="G61" s="11">
        <f t="shared" si="3"/>
        <v>93.088596080727413</v>
      </c>
    </row>
    <row r="62" spans="1:7">
      <c r="A62" s="33">
        <v>28.5</v>
      </c>
      <c r="B62" s="82">
        <v>3050.36</v>
      </c>
      <c r="C62" s="34">
        <f t="shared" si="0"/>
        <v>3.05036</v>
      </c>
      <c r="D62" s="11">
        <f t="shared" si="1"/>
        <v>0.21505037999999999</v>
      </c>
      <c r="E62" s="11">
        <f t="shared" si="2"/>
        <v>9.6004633928571427E-3</v>
      </c>
      <c r="F62" s="11">
        <f>E62/Calculation!K$17*1000</f>
        <v>1.0878648418834302E-2</v>
      </c>
      <c r="G62" s="11">
        <f t="shared" si="3"/>
        <v>93.443872917745182</v>
      </c>
    </row>
    <row r="63" spans="1:7">
      <c r="A63" s="33">
        <v>29</v>
      </c>
      <c r="B63" s="82">
        <v>2586.58</v>
      </c>
      <c r="C63" s="34">
        <f t="shared" si="0"/>
        <v>2.5865800000000001</v>
      </c>
      <c r="D63" s="11">
        <f t="shared" si="1"/>
        <v>0.18235389000000002</v>
      </c>
      <c r="E63" s="11">
        <f t="shared" si="2"/>
        <v>8.1407986607142865E-3</v>
      </c>
      <c r="F63" s="11">
        <f>E63/Calculation!K$17*1000</f>
        <v>9.2246470669653524E-3</v>
      </c>
      <c r="G63" s="11">
        <f t="shared" si="3"/>
        <v>93.745422350032172</v>
      </c>
    </row>
    <row r="64" spans="1:7">
      <c r="A64" s="33">
        <v>29.5</v>
      </c>
      <c r="B64" s="82">
        <v>2183.35</v>
      </c>
      <c r="C64" s="34">
        <f t="shared" si="0"/>
        <v>2.1833499999999999</v>
      </c>
      <c r="D64" s="11">
        <f t="shared" si="1"/>
        <v>0.15392617499999997</v>
      </c>
      <c r="E64" s="11">
        <f t="shared" si="2"/>
        <v>6.8717042410714278E-3</v>
      </c>
      <c r="F64" s="11">
        <f>E64/Calculation!K$17*1000</f>
        <v>7.7865881486978159E-3</v>
      </c>
      <c r="G64" s="11">
        <f t="shared" si="3"/>
        <v>94.000590878267118</v>
      </c>
    </row>
    <row r="65" spans="1:7">
      <c r="A65" s="33">
        <v>30</v>
      </c>
      <c r="B65" s="82">
        <v>1842.45</v>
      </c>
      <c r="C65" s="34">
        <f t="shared" si="0"/>
        <v>1.8424500000000001</v>
      </c>
      <c r="D65" s="11">
        <f t="shared" si="1"/>
        <v>0.12989272500000001</v>
      </c>
      <c r="E65" s="11">
        <f t="shared" si="2"/>
        <v>5.7987823660714298E-3</v>
      </c>
      <c r="F65" s="11">
        <f>E65/Calculation!K$18*1000</f>
        <v>6.9801255571320768E-3</v>
      </c>
      <c r="G65" s="11">
        <f t="shared" si="3"/>
        <v>94.222091583854564</v>
      </c>
    </row>
    <row r="66" spans="1:7">
      <c r="A66" s="33">
        <v>30.5</v>
      </c>
      <c r="B66" s="82">
        <v>1580.13</v>
      </c>
      <c r="C66" s="34">
        <f t="shared" si="0"/>
        <v>1.58013</v>
      </c>
      <c r="D66" s="11">
        <f t="shared" si="1"/>
        <v>0.11139916500000001</v>
      </c>
      <c r="E66" s="11">
        <f t="shared" si="2"/>
        <v>4.9731770089285719E-3</v>
      </c>
      <c r="F66" s="11">
        <f>E66/Calculation!K$18*1000</f>
        <v>5.9863257057673792E-3</v>
      </c>
      <c r="G66" s="11">
        <f t="shared" si="3"/>
        <v>94.416588352798058</v>
      </c>
    </row>
    <row r="67" spans="1:7">
      <c r="A67" s="33">
        <v>31</v>
      </c>
      <c r="B67" s="82">
        <v>1358.55</v>
      </c>
      <c r="C67" s="34">
        <f t="shared" si="0"/>
        <v>1.3585499999999999</v>
      </c>
      <c r="D67" s="11">
        <f t="shared" si="1"/>
        <v>9.5777774999999982E-2</v>
      </c>
      <c r="E67" s="11">
        <f t="shared" si="2"/>
        <v>4.275793526785714E-3</v>
      </c>
      <c r="F67" s="11">
        <f>E67/Calculation!K$18*1000</f>
        <v>5.1468694269270693E-3</v>
      </c>
      <c r="G67" s="11">
        <f t="shared" si="3"/>
        <v>94.583586279788477</v>
      </c>
    </row>
    <row r="68" spans="1:7">
      <c r="A68" s="33">
        <v>31.5</v>
      </c>
      <c r="B68" s="82">
        <v>1154.82</v>
      </c>
      <c r="C68" s="34">
        <f t="shared" si="0"/>
        <v>1.15482</v>
      </c>
      <c r="D68" s="11">
        <f t="shared" si="1"/>
        <v>8.1414810000000004E-2</v>
      </c>
      <c r="E68" s="11">
        <f t="shared" si="2"/>
        <v>3.6345897321428578E-3</v>
      </c>
      <c r="F68" s="11">
        <f>E68/Calculation!K$18*1000</f>
        <v>4.375037909244356E-3</v>
      </c>
      <c r="G68" s="11">
        <f t="shared" si="3"/>
        <v>94.726414889831048</v>
      </c>
    </row>
    <row r="69" spans="1:7">
      <c r="A69" s="33">
        <v>32</v>
      </c>
      <c r="B69" s="82">
        <v>993.46</v>
      </c>
      <c r="C69" s="34">
        <f t="shared" si="0"/>
        <v>0.99346000000000001</v>
      </c>
      <c r="D69" s="11">
        <f t="shared" si="1"/>
        <v>7.0038929999999999E-2</v>
      </c>
      <c r="E69" s="11">
        <f t="shared" si="2"/>
        <v>3.1267379464285715E-3</v>
      </c>
      <c r="F69" s="11">
        <f>E69/Calculation!K$18*1000</f>
        <v>3.7637252223878159E-3</v>
      </c>
      <c r="G69" s="11">
        <f t="shared" si="3"/>
        <v>94.848496336805525</v>
      </c>
    </row>
    <row r="70" spans="1:7">
      <c r="A70" s="33">
        <v>32.5</v>
      </c>
      <c r="B70" s="82">
        <v>855.32</v>
      </c>
      <c r="C70" s="34">
        <f t="shared" ref="C70:C101" si="4">B70/1000</f>
        <v>0.85532000000000008</v>
      </c>
      <c r="D70" s="11">
        <f t="shared" ref="D70:D101" si="5">C70/1000*$B$1</f>
        <v>6.0300060000000009E-2</v>
      </c>
      <c r="E70" s="11">
        <f t="shared" ref="E70:E101" si="6">D70/22.4</f>
        <v>2.6919669642857147E-3</v>
      </c>
      <c r="F70" s="11">
        <f>E70/Calculation!K$18*1000</f>
        <v>3.2403815525665325E-3</v>
      </c>
      <c r="G70" s="11">
        <f t="shared" si="3"/>
        <v>94.953557938429839</v>
      </c>
    </row>
    <row r="71" spans="1:7">
      <c r="A71" s="33">
        <v>33</v>
      </c>
      <c r="B71" s="82">
        <v>756.79</v>
      </c>
      <c r="C71" s="34">
        <f t="shared" si="4"/>
        <v>0.75678999999999996</v>
      </c>
      <c r="D71" s="11">
        <f t="shared" si="5"/>
        <v>5.3353694999999993E-2</v>
      </c>
      <c r="E71" s="11">
        <f t="shared" si="6"/>
        <v>2.3818613839285711E-3</v>
      </c>
      <c r="F71" s="11">
        <f>E71/Calculation!K$18*1000</f>
        <v>2.8671004479806682E-3</v>
      </c>
      <c r="G71" s="11">
        <f t="shared" ref="G71:G101" si="7">G70+(F71+F70)/2*30</f>
        <v>95.045170168438048</v>
      </c>
    </row>
    <row r="72" spans="1:7">
      <c r="A72" s="33">
        <v>33.5</v>
      </c>
      <c r="B72" s="82">
        <v>662.96</v>
      </c>
      <c r="C72" s="34">
        <f t="shared" si="4"/>
        <v>0.66295999999999999</v>
      </c>
      <c r="D72" s="11">
        <f t="shared" si="5"/>
        <v>4.6738679999999998E-2</v>
      </c>
      <c r="E72" s="11">
        <f t="shared" si="6"/>
        <v>2.0865482142857143E-3</v>
      </c>
      <c r="F72" s="11">
        <f>E72/Calculation!K$18*1000</f>
        <v>2.5116253029152922E-3</v>
      </c>
      <c r="G72" s="11">
        <f t="shared" si="7"/>
        <v>95.125851054701485</v>
      </c>
    </row>
    <row r="73" spans="1:7">
      <c r="A73" s="33">
        <v>34</v>
      </c>
      <c r="B73" s="82">
        <v>608.09</v>
      </c>
      <c r="C73" s="34">
        <f t="shared" si="4"/>
        <v>0.60809000000000002</v>
      </c>
      <c r="D73" s="11">
        <f t="shared" si="5"/>
        <v>4.2870345000000004E-2</v>
      </c>
      <c r="E73" s="11">
        <f t="shared" si="6"/>
        <v>1.9138546875000003E-3</v>
      </c>
      <c r="F73" s="11">
        <f>E73/Calculation!K$18*1000</f>
        <v>2.3037501967686745E-3</v>
      </c>
      <c r="G73" s="11">
        <f t="shared" si="7"/>
        <v>95.198081687196748</v>
      </c>
    </row>
    <row r="74" spans="1:7">
      <c r="A74" s="33">
        <v>34.5</v>
      </c>
      <c r="B74" s="82">
        <v>558.74</v>
      </c>
      <c r="C74" s="34">
        <f t="shared" si="4"/>
        <v>0.55874000000000001</v>
      </c>
      <c r="D74" s="11">
        <f t="shared" si="5"/>
        <v>3.9391170000000003E-2</v>
      </c>
      <c r="E74" s="11">
        <f t="shared" si="6"/>
        <v>1.7585343750000002E-3</v>
      </c>
      <c r="F74" s="11">
        <f>E74/Calculation!K$18*1000</f>
        <v>2.1167876218035637E-3</v>
      </c>
      <c r="G74" s="11">
        <f t="shared" si="7"/>
        <v>95.264389754475332</v>
      </c>
    </row>
    <row r="75" spans="1:7">
      <c r="A75" s="33">
        <v>35</v>
      </c>
      <c r="B75" s="82">
        <v>497.87</v>
      </c>
      <c r="C75" s="34">
        <f t="shared" si="4"/>
        <v>0.49786999999999998</v>
      </c>
      <c r="D75" s="11">
        <f t="shared" si="5"/>
        <v>3.5099834999999996E-2</v>
      </c>
      <c r="E75" s="11">
        <f t="shared" si="6"/>
        <v>1.5669569196428571E-3</v>
      </c>
      <c r="F75" s="11">
        <f>E75/Calculation!K$18*1000</f>
        <v>1.8861815035031322E-3</v>
      </c>
      <c r="G75" s="11">
        <f t="shared" si="7"/>
        <v>95.324434291354933</v>
      </c>
    </row>
    <row r="76" spans="1:7">
      <c r="A76" s="33">
        <v>35.5</v>
      </c>
      <c r="B76" s="82">
        <v>441.7</v>
      </c>
      <c r="C76" s="34">
        <f t="shared" si="4"/>
        <v>0.44169999999999998</v>
      </c>
      <c r="D76" s="11">
        <f t="shared" si="5"/>
        <v>3.113985E-2</v>
      </c>
      <c r="E76" s="11">
        <f t="shared" si="6"/>
        <v>1.3901718750000001E-3</v>
      </c>
      <c r="F76" s="11">
        <f>E76/Calculation!K$18*1000</f>
        <v>1.673381344723188E-3</v>
      </c>
      <c r="G76" s="11">
        <f t="shared" si="7"/>
        <v>95.377827734078323</v>
      </c>
    </row>
    <row r="77" spans="1:7">
      <c r="A77" s="33">
        <v>36</v>
      </c>
      <c r="B77" s="82">
        <v>392.68</v>
      </c>
      <c r="C77" s="34">
        <f t="shared" si="4"/>
        <v>0.39268000000000003</v>
      </c>
      <c r="D77" s="11">
        <f t="shared" si="5"/>
        <v>2.7683940000000001E-2</v>
      </c>
      <c r="E77" s="11">
        <f t="shared" si="6"/>
        <v>1.2358901785714286E-3</v>
      </c>
      <c r="F77" s="11">
        <f>E77/Calculation!K$18*1000</f>
        <v>1.4876689754265372E-3</v>
      </c>
      <c r="G77" s="11">
        <f t="shared" si="7"/>
        <v>95.425243488880568</v>
      </c>
    </row>
    <row r="78" spans="1:7">
      <c r="A78" s="33">
        <v>36.5</v>
      </c>
      <c r="B78" s="82">
        <v>364.43</v>
      </c>
      <c r="C78" s="34">
        <f t="shared" si="4"/>
        <v>0.36443000000000003</v>
      </c>
      <c r="D78" s="11">
        <f t="shared" si="5"/>
        <v>2.5692315E-2</v>
      </c>
      <c r="E78" s="11">
        <f t="shared" si="6"/>
        <v>1.1469783482142859E-3</v>
      </c>
      <c r="F78" s="11">
        <f>E78/Calculation!K$18*1000</f>
        <v>1.3806437932023352E-3</v>
      </c>
      <c r="G78" s="11">
        <f t="shared" si="7"/>
        <v>95.468268180410007</v>
      </c>
    </row>
    <row r="79" spans="1:7">
      <c r="A79" s="33">
        <v>37</v>
      </c>
      <c r="B79" s="82">
        <v>388.29</v>
      </c>
      <c r="C79" s="34">
        <f t="shared" si="4"/>
        <v>0.38829000000000002</v>
      </c>
      <c r="D79" s="11">
        <f t="shared" si="5"/>
        <v>2.7374445000000001E-2</v>
      </c>
      <c r="E79" s="11">
        <f t="shared" si="6"/>
        <v>1.2220734375000002E-3</v>
      </c>
      <c r="F79" s="11">
        <f>E79/Calculation!K$18*1000</f>
        <v>1.4710374515339976E-3</v>
      </c>
      <c r="G79" s="11">
        <f t="shared" si="7"/>
        <v>95.511043399081046</v>
      </c>
    </row>
    <row r="80" spans="1:7">
      <c r="A80" s="33">
        <v>37.5</v>
      </c>
      <c r="B80" s="82">
        <v>367.52</v>
      </c>
      <c r="C80" s="34">
        <f t="shared" si="4"/>
        <v>0.36751999999999996</v>
      </c>
      <c r="D80" s="11">
        <f t="shared" si="5"/>
        <v>2.5910159999999998E-2</v>
      </c>
      <c r="E80" s="11">
        <f t="shared" si="6"/>
        <v>1.1567035714285714E-3</v>
      </c>
      <c r="F80" s="11">
        <f>E80/Calculation!K$18*1000</f>
        <v>1.3923502644615485E-3</v>
      </c>
      <c r="G80" s="11">
        <f t="shared" si="7"/>
        <v>95.553994214820975</v>
      </c>
    </row>
    <row r="81" spans="1:7">
      <c r="A81" s="33">
        <v>38</v>
      </c>
      <c r="B81" s="82">
        <v>331.32</v>
      </c>
      <c r="C81" s="34">
        <f t="shared" si="4"/>
        <v>0.33132</v>
      </c>
      <c r="D81" s="11">
        <f t="shared" si="5"/>
        <v>2.335806E-2</v>
      </c>
      <c r="E81" s="11">
        <f t="shared" si="6"/>
        <v>1.0427705357142858E-3</v>
      </c>
      <c r="F81" s="11">
        <f>E81/Calculation!K$18*1000</f>
        <v>1.2552064911335447E-3</v>
      </c>
      <c r="G81" s="11">
        <f t="shared" si="7"/>
        <v>95.593707566154904</v>
      </c>
    </row>
    <row r="82" spans="1:7">
      <c r="A82" s="33">
        <v>38.5</v>
      </c>
      <c r="B82" s="82">
        <v>299.99</v>
      </c>
      <c r="C82" s="34">
        <f t="shared" si="4"/>
        <v>0.29999000000000003</v>
      </c>
      <c r="D82" s="11">
        <f t="shared" si="5"/>
        <v>2.1149295000000002E-2</v>
      </c>
      <c r="E82" s="11">
        <f t="shared" si="6"/>
        <v>9.4416495535714305E-4</v>
      </c>
      <c r="F82" s="11">
        <f>E82/Calculation!K$18*1000</f>
        <v>1.1365127226703855E-3</v>
      </c>
      <c r="G82" s="11">
        <f t="shared" si="7"/>
        <v>95.629583354361969</v>
      </c>
    </row>
    <row r="83" spans="1:7">
      <c r="A83" s="33">
        <v>39</v>
      </c>
      <c r="B83" s="82">
        <v>277.75</v>
      </c>
      <c r="C83" s="34">
        <f t="shared" si="4"/>
        <v>0.27775</v>
      </c>
      <c r="D83" s="11">
        <f t="shared" si="5"/>
        <v>1.9581375000000002E-2</v>
      </c>
      <c r="E83" s="11">
        <f t="shared" si="6"/>
        <v>8.7416852678571437E-4</v>
      </c>
      <c r="F83" s="11">
        <f>E83/Calculation!K$18*1000</f>
        <v>1.0522564376202524E-3</v>
      </c>
      <c r="G83" s="11">
        <f t="shared" si="7"/>
        <v>95.662414891766332</v>
      </c>
    </row>
    <row r="84" spans="1:7">
      <c r="A84" s="33">
        <v>39.5</v>
      </c>
      <c r="B84" s="82">
        <v>267.52</v>
      </c>
      <c r="C84" s="34">
        <f t="shared" si="4"/>
        <v>0.26751999999999998</v>
      </c>
      <c r="D84" s="11">
        <f t="shared" si="5"/>
        <v>1.8860159999999997E-2</v>
      </c>
      <c r="E84" s="11">
        <f t="shared" si="6"/>
        <v>8.4197142857142851E-4</v>
      </c>
      <c r="F84" s="11">
        <f>E84/Calculation!K$18*1000</f>
        <v>1.0135000618980013E-3</v>
      </c>
      <c r="G84" s="11">
        <f t="shared" si="7"/>
        <v>95.693401239259103</v>
      </c>
    </row>
    <row r="85" spans="1:7">
      <c r="A85" s="33">
        <v>40</v>
      </c>
      <c r="B85" s="82">
        <v>248.85</v>
      </c>
      <c r="C85" s="34">
        <f t="shared" si="4"/>
        <v>0.24884999999999999</v>
      </c>
      <c r="D85" s="11">
        <f t="shared" si="5"/>
        <v>1.7543925000000002E-2</v>
      </c>
      <c r="E85" s="11">
        <f t="shared" si="6"/>
        <v>7.8321093750000016E-4</v>
      </c>
      <c r="F85" s="11">
        <f>E85/Calculation!K$18*1000</f>
        <v>9.4276872907938744E-4</v>
      </c>
      <c r="G85" s="11">
        <f t="shared" si="7"/>
        <v>95.72274527112377</v>
      </c>
    </row>
    <row r="86" spans="1:7">
      <c r="A86" s="33">
        <v>40.5</v>
      </c>
      <c r="B86" s="82">
        <v>261.02999999999997</v>
      </c>
      <c r="C86" s="34">
        <f t="shared" si="4"/>
        <v>0.26102999999999998</v>
      </c>
      <c r="D86" s="11">
        <f t="shared" si="5"/>
        <v>1.8402615000000001E-2</v>
      </c>
      <c r="E86" s="11">
        <f t="shared" si="6"/>
        <v>8.2154531250000007E-4</v>
      </c>
      <c r="F86" s="11">
        <f>E86/Calculation!K$18*1000</f>
        <v>9.8891268375162736E-4</v>
      </c>
      <c r="G86" s="11">
        <f t="shared" si="7"/>
        <v>95.751720492316238</v>
      </c>
    </row>
    <row r="87" spans="1:7">
      <c r="A87" s="33">
        <v>41</v>
      </c>
      <c r="B87" s="82">
        <v>250.96</v>
      </c>
      <c r="C87" s="34">
        <f t="shared" si="4"/>
        <v>0.25096000000000002</v>
      </c>
      <c r="D87" s="11">
        <f t="shared" si="5"/>
        <v>1.7692679999999999E-2</v>
      </c>
      <c r="E87" s="11">
        <f t="shared" si="6"/>
        <v>7.8985178571428568E-4</v>
      </c>
      <c r="F87" s="11">
        <f>E87/Calculation!K$18*1000</f>
        <v>9.5076246835347792E-4</v>
      </c>
      <c r="G87" s="11">
        <f t="shared" si="7"/>
        <v>95.780815619597817</v>
      </c>
    </row>
    <row r="88" spans="1:7">
      <c r="A88" s="33">
        <v>41.5</v>
      </c>
      <c r="B88" s="82">
        <v>233.43</v>
      </c>
      <c r="C88" s="34">
        <f t="shared" si="4"/>
        <v>0.23343</v>
      </c>
      <c r="D88" s="11">
        <f t="shared" si="5"/>
        <v>1.6456815E-2</v>
      </c>
      <c r="E88" s="11">
        <f t="shared" si="6"/>
        <v>7.3467924107142857E-4</v>
      </c>
      <c r="F88" s="11">
        <f>E88/Calculation!K$18*1000</f>
        <v>8.8435002784408815E-4</v>
      </c>
      <c r="G88" s="11">
        <f t="shared" si="7"/>
        <v>95.808342307040775</v>
      </c>
    </row>
    <row r="89" spans="1:7">
      <c r="A89" s="33">
        <v>42</v>
      </c>
      <c r="B89" s="82">
        <v>205.84</v>
      </c>
      <c r="C89" s="34">
        <f t="shared" si="4"/>
        <v>0.20584</v>
      </c>
      <c r="D89" s="11">
        <f t="shared" si="5"/>
        <v>1.4511719999999999E-2</v>
      </c>
      <c r="E89" s="11">
        <f t="shared" si="6"/>
        <v>6.478446428571428E-4</v>
      </c>
      <c r="F89" s="11">
        <f>E89/Calculation!K$18*1000</f>
        <v>7.7982525695680538E-4</v>
      </c>
      <c r="G89" s="11">
        <f t="shared" si="7"/>
        <v>95.833304936312786</v>
      </c>
    </row>
    <row r="90" spans="1:7">
      <c r="A90" s="33">
        <v>42.5</v>
      </c>
      <c r="B90" s="82">
        <v>197.23</v>
      </c>
      <c r="C90" s="34">
        <f t="shared" si="4"/>
        <v>0.19722999999999999</v>
      </c>
      <c r="D90" s="11">
        <f t="shared" si="5"/>
        <v>1.3904714999999998E-2</v>
      </c>
      <c r="E90" s="11">
        <f t="shared" si="6"/>
        <v>6.2074620535714279E-4</v>
      </c>
      <c r="F90" s="11">
        <f>E90/Calculation!K$18*1000</f>
        <v>7.4720625451608403E-4</v>
      </c>
      <c r="G90" s="11">
        <f t="shared" si="7"/>
        <v>95.856210408984879</v>
      </c>
    </row>
    <row r="91" spans="1:7">
      <c r="A91" s="33">
        <v>43</v>
      </c>
      <c r="B91" s="82">
        <v>180.19</v>
      </c>
      <c r="C91" s="34">
        <f t="shared" si="4"/>
        <v>0.18018999999999999</v>
      </c>
      <c r="D91" s="11">
        <f t="shared" si="5"/>
        <v>1.2703394999999999E-2</v>
      </c>
      <c r="E91" s="11">
        <f t="shared" si="6"/>
        <v>5.6711584821428568E-4</v>
      </c>
      <c r="F91" s="11">
        <f>E91/Calculation!K$18*1000</f>
        <v>6.8265017999925566E-4</v>
      </c>
      <c r="G91" s="11">
        <f t="shared" si="7"/>
        <v>95.87765825550261</v>
      </c>
    </row>
    <row r="92" spans="1:7">
      <c r="A92" s="33">
        <v>43.5</v>
      </c>
      <c r="B92" s="82">
        <v>169.31</v>
      </c>
      <c r="C92" s="34">
        <f t="shared" si="4"/>
        <v>0.16931000000000002</v>
      </c>
      <c r="D92" s="11">
        <f t="shared" si="5"/>
        <v>1.1936355000000001E-2</v>
      </c>
      <c r="E92" s="11">
        <f t="shared" si="6"/>
        <v>5.3287299107142869E-4</v>
      </c>
      <c r="F92" s="11">
        <f>E92/Calculation!K$18*1000</f>
        <v>6.4143127796034184E-4</v>
      </c>
      <c r="G92" s="11">
        <f t="shared" si="7"/>
        <v>95.897519477372001</v>
      </c>
    </row>
    <row r="93" spans="1:7">
      <c r="A93" s="33">
        <v>44</v>
      </c>
      <c r="B93" s="82">
        <v>156.65</v>
      </c>
      <c r="C93" s="34">
        <f t="shared" si="4"/>
        <v>0.15665000000000001</v>
      </c>
      <c r="D93" s="11">
        <f t="shared" si="5"/>
        <v>1.1043825E-2</v>
      </c>
      <c r="E93" s="11">
        <f t="shared" si="6"/>
        <v>4.9302790178571429E-4</v>
      </c>
      <c r="F93" s="11">
        <f>E93/Calculation!K$18*1000</f>
        <v>5.9346884231579675E-4</v>
      </c>
      <c r="G93" s="11">
        <f t="shared" si="7"/>
        <v>95.91604297917614</v>
      </c>
    </row>
    <row r="94" spans="1:7">
      <c r="A94" s="33">
        <v>44.5</v>
      </c>
      <c r="B94" s="82">
        <v>0</v>
      </c>
      <c r="C94" s="34">
        <f t="shared" si="4"/>
        <v>0</v>
      </c>
      <c r="D94" s="11">
        <f t="shared" si="5"/>
        <v>0</v>
      </c>
      <c r="E94" s="11">
        <f t="shared" si="6"/>
        <v>0</v>
      </c>
      <c r="F94" s="11">
        <f>E94/Calculation!K$18*1000</f>
        <v>0</v>
      </c>
      <c r="G94" s="11">
        <f t="shared" si="7"/>
        <v>95.924945011810877</v>
      </c>
    </row>
    <row r="95" spans="1:7">
      <c r="A95" s="33">
        <v>45</v>
      </c>
      <c r="B95" s="82">
        <v>156</v>
      </c>
      <c r="C95" s="34">
        <f t="shared" si="4"/>
        <v>0.156</v>
      </c>
      <c r="D95" s="11">
        <f t="shared" si="5"/>
        <v>1.0997999999999999E-2</v>
      </c>
      <c r="E95" s="11">
        <f t="shared" si="6"/>
        <v>4.9098214285714283E-4</v>
      </c>
      <c r="F95" s="11">
        <f>E95/Calculation!K$18*1000</f>
        <v>5.9100631599913358E-4</v>
      </c>
      <c r="G95" s="11">
        <f t="shared" si="7"/>
        <v>95.933810106550865</v>
      </c>
    </row>
    <row r="96" spans="1:7">
      <c r="A96" s="33">
        <v>45.5</v>
      </c>
      <c r="B96" s="82">
        <v>141.55000000000001</v>
      </c>
      <c r="C96" s="34">
        <f t="shared" si="4"/>
        <v>0.14155000000000001</v>
      </c>
      <c r="D96" s="11">
        <f t="shared" si="5"/>
        <v>9.9792749999999993E-3</v>
      </c>
      <c r="E96" s="11">
        <f t="shared" si="6"/>
        <v>4.4550334821428573E-4</v>
      </c>
      <c r="F96" s="11">
        <f>E96/Calculation!K$18*1000</f>
        <v>5.3626246172870098E-4</v>
      </c>
      <c r="G96" s="11">
        <f t="shared" si="7"/>
        <v>95.950719138216783</v>
      </c>
    </row>
    <row r="97" spans="1:7">
      <c r="A97" s="33">
        <v>46</v>
      </c>
      <c r="B97" s="82">
        <v>0</v>
      </c>
      <c r="C97" s="34">
        <f t="shared" si="4"/>
        <v>0</v>
      </c>
      <c r="D97" s="11">
        <f t="shared" si="5"/>
        <v>0</v>
      </c>
      <c r="E97" s="11">
        <f t="shared" si="6"/>
        <v>0</v>
      </c>
      <c r="F97" s="11">
        <f>E97/Calculation!K$18*1000</f>
        <v>0</v>
      </c>
      <c r="G97" s="11">
        <f t="shared" si="7"/>
        <v>95.958763075142713</v>
      </c>
    </row>
    <row r="98" spans="1:7">
      <c r="A98" s="33">
        <v>46.5</v>
      </c>
      <c r="B98" s="82">
        <v>0</v>
      </c>
      <c r="C98" s="34">
        <f t="shared" si="4"/>
        <v>0</v>
      </c>
      <c r="D98" s="11">
        <f t="shared" si="5"/>
        <v>0</v>
      </c>
      <c r="E98" s="11">
        <f t="shared" si="6"/>
        <v>0</v>
      </c>
      <c r="F98" s="11">
        <f>E98/Calculation!K$18*1000</f>
        <v>0</v>
      </c>
      <c r="G98" s="11">
        <f t="shared" si="7"/>
        <v>95.958763075142713</v>
      </c>
    </row>
    <row r="99" spans="1:7">
      <c r="A99" s="33">
        <v>47</v>
      </c>
      <c r="B99" s="82">
        <v>0</v>
      </c>
      <c r="C99" s="34">
        <f t="shared" si="4"/>
        <v>0</v>
      </c>
      <c r="D99" s="11">
        <f t="shared" si="5"/>
        <v>0</v>
      </c>
      <c r="E99" s="11">
        <f t="shared" si="6"/>
        <v>0</v>
      </c>
      <c r="F99" s="11">
        <f>E99/Calculation!K$18*1000</f>
        <v>0</v>
      </c>
      <c r="G99" s="11">
        <f t="shared" si="7"/>
        <v>95.958763075142713</v>
      </c>
    </row>
    <row r="100" spans="1:7">
      <c r="A100" s="33">
        <v>47.5</v>
      </c>
      <c r="B100" s="82">
        <v>0</v>
      </c>
      <c r="C100" s="34">
        <f t="shared" si="4"/>
        <v>0</v>
      </c>
      <c r="D100" s="11">
        <f t="shared" si="5"/>
        <v>0</v>
      </c>
      <c r="E100" s="11">
        <f t="shared" si="6"/>
        <v>0</v>
      </c>
      <c r="F100" s="11">
        <f>E100/Calculation!K$18*1000</f>
        <v>0</v>
      </c>
      <c r="G100" s="11">
        <f t="shared" si="7"/>
        <v>95.958763075142713</v>
      </c>
    </row>
    <row r="101" spans="1:7">
      <c r="A101" s="33">
        <v>48</v>
      </c>
      <c r="B101" s="82">
        <v>0</v>
      </c>
      <c r="C101" s="34">
        <f t="shared" si="4"/>
        <v>0</v>
      </c>
      <c r="D101" s="11">
        <f t="shared" si="5"/>
        <v>0</v>
      </c>
      <c r="E101" s="11">
        <f t="shared" si="6"/>
        <v>0</v>
      </c>
      <c r="F101" s="11">
        <f>E101/Calculation!K$19*1000</f>
        <v>0</v>
      </c>
      <c r="G101" s="11">
        <f t="shared" si="7"/>
        <v>95.958763075142713</v>
      </c>
    </row>
    <row r="102" spans="1:7">
      <c r="B102" s="9"/>
    </row>
    <row r="103" spans="1:7">
      <c r="A103" s="94" t="s">
        <v>5</v>
      </c>
      <c r="B103" s="94" t="s">
        <v>36</v>
      </c>
      <c r="C103" s="94"/>
      <c r="D103" s="94" t="s">
        <v>51</v>
      </c>
      <c r="E103" s="94"/>
      <c r="F103" s="94"/>
      <c r="G103" s="81" t="s">
        <v>52</v>
      </c>
    </row>
    <row r="104" spans="1:7">
      <c r="A104" s="94"/>
      <c r="B104" s="81" t="s">
        <v>53</v>
      </c>
      <c r="C104" s="81" t="s">
        <v>54</v>
      </c>
      <c r="D104" s="81" t="s">
        <v>55</v>
      </c>
      <c r="E104" s="81" t="s">
        <v>56</v>
      </c>
      <c r="F104" s="81" t="s">
        <v>57</v>
      </c>
      <c r="G104" s="81" t="s">
        <v>58</v>
      </c>
    </row>
    <row r="105" spans="1:7">
      <c r="A105" s="33">
        <v>0</v>
      </c>
      <c r="B105" s="82">
        <v>2141.5100000000002</v>
      </c>
      <c r="C105" s="34">
        <f>B105/1000</f>
        <v>2.1415100000000002</v>
      </c>
      <c r="D105" s="11">
        <f>C105/1000*$B$1</f>
        <v>0.15097645500000001</v>
      </c>
      <c r="E105" s="11">
        <f>D105/22.4</f>
        <v>6.7400203125000009E-3</v>
      </c>
      <c r="F105" s="11">
        <f>E105/Calculation!K$4*1000</f>
        <v>4.5417026502764732E-3</v>
      </c>
      <c r="G105" s="11">
        <f>(0+F105)/2*30</f>
        <v>6.8125539754147091E-2</v>
      </c>
    </row>
    <row r="106" spans="1:7">
      <c r="A106" s="33">
        <v>0.5</v>
      </c>
      <c r="B106" s="82">
        <v>2495.39</v>
      </c>
      <c r="C106" s="34">
        <f t="shared" ref="C106:C169" si="8">B106/1000</f>
        <v>2.49539</v>
      </c>
      <c r="D106" s="11">
        <f t="shared" ref="D106:D169" si="9">C106/1000*$B$1</f>
        <v>0.175924995</v>
      </c>
      <c r="E106" s="11">
        <f t="shared" ref="E106:E169" si="10">D106/22.4</f>
        <v>7.8537944196428577E-3</v>
      </c>
      <c r="F106" s="11">
        <f>E106/Calculation!K$4*1000</f>
        <v>5.2922094113375187E-3</v>
      </c>
      <c r="G106" s="11">
        <f>G105+(F106+F105)/2*30</f>
        <v>0.21563422067835697</v>
      </c>
    </row>
    <row r="107" spans="1:7">
      <c r="A107" s="33">
        <v>1</v>
      </c>
      <c r="B107" s="82">
        <v>2592.38</v>
      </c>
      <c r="C107" s="34">
        <f t="shared" si="8"/>
        <v>2.5923799999999999</v>
      </c>
      <c r="D107" s="11">
        <f t="shared" si="9"/>
        <v>0.18276279000000001</v>
      </c>
      <c r="E107" s="11">
        <f t="shared" si="10"/>
        <v>8.1590531250000011E-3</v>
      </c>
      <c r="F107" s="11">
        <f>E107/Calculation!K$4*1000</f>
        <v>5.4979052708246639E-3</v>
      </c>
      <c r="G107" s="11">
        <f>G106+(F107+F106)/2*30</f>
        <v>0.37748594091078969</v>
      </c>
    </row>
    <row r="108" spans="1:7">
      <c r="A108" s="33">
        <v>1.5</v>
      </c>
      <c r="B108" s="82">
        <v>2657.27</v>
      </c>
      <c r="C108" s="34">
        <f t="shared" si="8"/>
        <v>2.65727</v>
      </c>
      <c r="D108" s="11">
        <f t="shared" si="9"/>
        <v>0.18733753500000003</v>
      </c>
      <c r="E108" s="11">
        <f t="shared" si="10"/>
        <v>8.363282812500001E-3</v>
      </c>
      <c r="F108" s="11">
        <f>E108/Calculation!K$4*1000</f>
        <v>5.635523626553304E-3</v>
      </c>
      <c r="G108" s="11">
        <f t="shared" ref="G108:G171" si="11">G107+(F108+F107)/2*30</f>
        <v>0.54448737437145922</v>
      </c>
    </row>
    <row r="109" spans="1:7">
      <c r="A109" s="33">
        <v>2</v>
      </c>
      <c r="B109" s="82">
        <v>2739.56</v>
      </c>
      <c r="C109" s="34">
        <f t="shared" si="8"/>
        <v>2.73956</v>
      </c>
      <c r="D109" s="11">
        <f t="shared" si="9"/>
        <v>0.19313897999999999</v>
      </c>
      <c r="E109" s="11">
        <f t="shared" si="10"/>
        <v>8.6222758928571428E-3</v>
      </c>
      <c r="F109" s="11">
        <f>E109/Calculation!K$5*1000</f>
        <v>5.9874497245125035E-3</v>
      </c>
      <c r="G109" s="11">
        <f t="shared" si="11"/>
        <v>0.7188319746374463</v>
      </c>
    </row>
    <row r="110" spans="1:7">
      <c r="A110" s="33">
        <v>2.5</v>
      </c>
      <c r="B110" s="82">
        <v>2922.35</v>
      </c>
      <c r="C110" s="34">
        <f t="shared" si="8"/>
        <v>2.9223499999999998</v>
      </c>
      <c r="D110" s="11">
        <f t="shared" si="9"/>
        <v>0.20602567499999999</v>
      </c>
      <c r="E110" s="11">
        <f t="shared" si="10"/>
        <v>9.1975747767857139E-3</v>
      </c>
      <c r="F110" s="11">
        <f>E110/Calculation!K$5*1000</f>
        <v>6.3869467003566677E-3</v>
      </c>
      <c r="G110" s="11">
        <f t="shared" si="11"/>
        <v>0.90444792101048388</v>
      </c>
    </row>
    <row r="111" spans="1:7">
      <c r="A111" s="33">
        <v>3</v>
      </c>
      <c r="B111" s="82">
        <v>2979.88</v>
      </c>
      <c r="C111" s="34">
        <f t="shared" si="8"/>
        <v>2.9798800000000001</v>
      </c>
      <c r="D111" s="11">
        <f t="shared" si="9"/>
        <v>0.21008154000000001</v>
      </c>
      <c r="E111" s="11">
        <f t="shared" si="10"/>
        <v>9.3786401785714291E-3</v>
      </c>
      <c r="F111" s="11">
        <f>E111/Calculation!K$5*1000</f>
        <v>6.5126814835522202E-3</v>
      </c>
      <c r="G111" s="11">
        <f t="shared" si="11"/>
        <v>1.0979423437691171</v>
      </c>
    </row>
    <row r="112" spans="1:7">
      <c r="A112" s="33">
        <v>3.5</v>
      </c>
      <c r="B112" s="82">
        <v>3109.49</v>
      </c>
      <c r="C112" s="34">
        <f t="shared" si="8"/>
        <v>3.1094899999999996</v>
      </c>
      <c r="D112" s="11">
        <f t="shared" si="9"/>
        <v>0.21921904499999997</v>
      </c>
      <c r="E112" s="11">
        <f t="shared" si="10"/>
        <v>9.7865645089285705E-3</v>
      </c>
      <c r="F112" s="11">
        <f>E112/Calculation!K$6*1000</f>
        <v>7.0148611958228283E-3</v>
      </c>
      <c r="G112" s="11">
        <f t="shared" si="11"/>
        <v>1.3008554839597428</v>
      </c>
    </row>
    <row r="113" spans="1:7">
      <c r="A113" s="33">
        <v>4</v>
      </c>
      <c r="B113" s="82">
        <v>3375.4</v>
      </c>
      <c r="C113" s="34">
        <f t="shared" si="8"/>
        <v>3.3754</v>
      </c>
      <c r="D113" s="11">
        <f t="shared" si="9"/>
        <v>0.23796569999999997</v>
      </c>
      <c r="E113" s="11">
        <f t="shared" si="10"/>
        <v>1.062346875E-2</v>
      </c>
      <c r="F113" s="11">
        <f>E113/Calculation!K$6*1000</f>
        <v>7.6147414786284498E-3</v>
      </c>
      <c r="G113" s="11">
        <f t="shared" si="11"/>
        <v>1.520299524076512</v>
      </c>
    </row>
    <row r="114" spans="1:7">
      <c r="A114" s="33">
        <v>4.5</v>
      </c>
      <c r="B114" s="82">
        <v>3756.21</v>
      </c>
      <c r="C114" s="34">
        <f t="shared" si="8"/>
        <v>3.7562099999999998</v>
      </c>
      <c r="D114" s="11">
        <f t="shared" si="9"/>
        <v>0.26481280499999998</v>
      </c>
      <c r="E114" s="11">
        <f t="shared" si="10"/>
        <v>1.1822000223214287E-2</v>
      </c>
      <c r="F114" s="11">
        <f>E114/Calculation!K$6*1000</f>
        <v>8.4738306836046016E-3</v>
      </c>
      <c r="G114" s="11">
        <f t="shared" si="11"/>
        <v>1.7616281065100079</v>
      </c>
    </row>
    <row r="115" spans="1:7">
      <c r="A115" s="33">
        <v>5</v>
      </c>
      <c r="B115" s="82">
        <v>4368.6400000000003</v>
      </c>
      <c r="C115" s="34">
        <f t="shared" si="8"/>
        <v>4.3686400000000001</v>
      </c>
      <c r="D115" s="11">
        <f t="shared" si="9"/>
        <v>0.30798912000000001</v>
      </c>
      <c r="E115" s="11">
        <f t="shared" si="10"/>
        <v>1.3749514285714286E-2</v>
      </c>
      <c r="F115" s="11">
        <f>E115/Calculation!K$7*1000</f>
        <v>1.0221001561930973E-2</v>
      </c>
      <c r="G115" s="11">
        <f t="shared" si="11"/>
        <v>2.0420505901930417</v>
      </c>
    </row>
    <row r="116" spans="1:7">
      <c r="A116" s="33">
        <v>5.5</v>
      </c>
      <c r="B116" s="82">
        <v>5282.77</v>
      </c>
      <c r="C116" s="34">
        <f t="shared" si="8"/>
        <v>5.2827700000000002</v>
      </c>
      <c r="D116" s="11">
        <f t="shared" si="9"/>
        <v>0.372435285</v>
      </c>
      <c r="E116" s="11">
        <f t="shared" si="10"/>
        <v>1.6626575223214288E-2</v>
      </c>
      <c r="F116" s="11">
        <f>E116/Calculation!K$7*1000</f>
        <v>1.2359727608894781E-2</v>
      </c>
      <c r="G116" s="11">
        <f t="shared" si="11"/>
        <v>2.3807615277554279</v>
      </c>
    </row>
    <row r="117" spans="1:7">
      <c r="A117" s="33">
        <v>6</v>
      </c>
      <c r="B117" s="82">
        <v>6145.9</v>
      </c>
      <c r="C117" s="34">
        <f t="shared" si="8"/>
        <v>6.1458999999999993</v>
      </c>
      <c r="D117" s="11">
        <f t="shared" si="9"/>
        <v>0.43328594999999998</v>
      </c>
      <c r="E117" s="11">
        <f t="shared" si="10"/>
        <v>1.9343122767857143E-2</v>
      </c>
      <c r="F117" s="11">
        <f>E117/Calculation!K$8*1000</f>
        <v>1.4886371859091618E-2</v>
      </c>
      <c r="G117" s="11">
        <f t="shared" si="11"/>
        <v>2.7894530197752241</v>
      </c>
    </row>
    <row r="118" spans="1:7">
      <c r="A118" s="33">
        <v>6.5</v>
      </c>
      <c r="B118" s="82">
        <v>6892.12</v>
      </c>
      <c r="C118" s="34">
        <f t="shared" si="8"/>
        <v>6.8921200000000002</v>
      </c>
      <c r="D118" s="11">
        <f t="shared" si="9"/>
        <v>0.48589445999999997</v>
      </c>
      <c r="E118" s="11">
        <f t="shared" si="10"/>
        <v>2.1691716964285714E-2</v>
      </c>
      <c r="F118" s="11">
        <f>E118/Calculation!K$8*1000</f>
        <v>1.6693838366631821E-2</v>
      </c>
      <c r="G118" s="11">
        <f t="shared" si="11"/>
        <v>3.2631561731610756</v>
      </c>
    </row>
    <row r="119" spans="1:7">
      <c r="A119" s="33">
        <v>7</v>
      </c>
      <c r="B119" s="82">
        <v>7672.46</v>
      </c>
      <c r="C119" s="34">
        <f t="shared" si="8"/>
        <v>7.6724600000000001</v>
      </c>
      <c r="D119" s="11">
        <f t="shared" si="9"/>
        <v>0.54090843</v>
      </c>
      <c r="E119" s="11">
        <f t="shared" si="10"/>
        <v>2.4147697767857145E-2</v>
      </c>
      <c r="F119" s="11">
        <f>E119/Calculation!K$8*1000</f>
        <v>1.8583949077272014E-2</v>
      </c>
      <c r="G119" s="11">
        <f t="shared" si="11"/>
        <v>3.7923229848196334</v>
      </c>
    </row>
    <row r="120" spans="1:7">
      <c r="A120" s="33">
        <v>7.5</v>
      </c>
      <c r="B120" s="82">
        <v>9048.51</v>
      </c>
      <c r="C120" s="34">
        <f t="shared" si="8"/>
        <v>9.0485100000000003</v>
      </c>
      <c r="D120" s="11">
        <f t="shared" si="9"/>
        <v>0.63791995500000009</v>
      </c>
      <c r="E120" s="11">
        <f t="shared" si="10"/>
        <v>2.8478569419642864E-2</v>
      </c>
      <c r="F120" s="11">
        <f>E120/Calculation!K$9*1000</f>
        <v>2.2716475227546953E-2</v>
      </c>
      <c r="G120" s="11">
        <f t="shared" si="11"/>
        <v>4.4118293493919181</v>
      </c>
    </row>
    <row r="121" spans="1:7">
      <c r="A121" s="33">
        <v>8</v>
      </c>
      <c r="B121" s="82">
        <v>10775.43</v>
      </c>
      <c r="C121" s="34">
        <f t="shared" si="8"/>
        <v>10.77543</v>
      </c>
      <c r="D121" s="11">
        <f t="shared" si="9"/>
        <v>0.75966781500000002</v>
      </c>
      <c r="E121" s="11">
        <f t="shared" si="10"/>
        <v>3.3913741741071431E-2</v>
      </c>
      <c r="F121" s="11">
        <f>E121/Calculation!K$9*1000</f>
        <v>2.7051944315822852E-2</v>
      </c>
      <c r="G121" s="11">
        <f t="shared" si="11"/>
        <v>5.1583556425424648</v>
      </c>
    </row>
    <row r="122" spans="1:7">
      <c r="A122" s="33">
        <v>8.5</v>
      </c>
      <c r="B122" s="82">
        <v>13224.82</v>
      </c>
      <c r="C122" s="34">
        <f t="shared" si="8"/>
        <v>13.224819999999999</v>
      </c>
      <c r="D122" s="11">
        <f t="shared" si="9"/>
        <v>0.93234980999999995</v>
      </c>
      <c r="E122" s="11">
        <f t="shared" si="10"/>
        <v>4.1622759374999999E-2</v>
      </c>
      <c r="F122" s="11">
        <f>E122/Calculation!K$9*1000</f>
        <v>3.320118957914258E-2</v>
      </c>
      <c r="G122" s="11">
        <f t="shared" si="11"/>
        <v>6.0621526509669463</v>
      </c>
    </row>
    <row r="123" spans="1:7">
      <c r="A123" s="33">
        <v>9</v>
      </c>
      <c r="B123" s="82">
        <v>16007.7</v>
      </c>
      <c r="C123" s="34">
        <f t="shared" si="8"/>
        <v>16.0077</v>
      </c>
      <c r="D123" s="11">
        <f t="shared" si="9"/>
        <v>1.1285428499999999</v>
      </c>
      <c r="E123" s="11">
        <f t="shared" si="10"/>
        <v>5.0381377232142852E-2</v>
      </c>
      <c r="F123" s="11">
        <f>E123/Calculation!K$9*1000</f>
        <v>4.0187668522221151E-2</v>
      </c>
      <c r="G123" s="11">
        <f t="shared" si="11"/>
        <v>7.1629855224874017</v>
      </c>
    </row>
    <row r="124" spans="1:7">
      <c r="A124" s="33">
        <v>9.5</v>
      </c>
      <c r="B124" s="82">
        <v>18464.62</v>
      </c>
      <c r="C124" s="34">
        <f t="shared" si="8"/>
        <v>18.46462</v>
      </c>
      <c r="D124" s="11">
        <f t="shared" si="9"/>
        <v>1.3017557100000001</v>
      </c>
      <c r="E124" s="11">
        <f t="shared" si="10"/>
        <v>5.811409419642858E-2</v>
      </c>
      <c r="F124" s="11">
        <f>E124/Calculation!K$9*1000</f>
        <v>4.6355818009381433E-2</v>
      </c>
      <c r="G124" s="11">
        <f t="shared" si="11"/>
        <v>8.46113782046144</v>
      </c>
    </row>
    <row r="125" spans="1:7">
      <c r="A125" s="33">
        <v>10</v>
      </c>
      <c r="B125" s="82">
        <v>20662.82</v>
      </c>
      <c r="C125" s="34">
        <f t="shared" si="8"/>
        <v>20.66282</v>
      </c>
      <c r="D125" s="11">
        <f t="shared" si="9"/>
        <v>1.45672881</v>
      </c>
      <c r="E125" s="11">
        <f t="shared" si="10"/>
        <v>6.5032536160714291E-2</v>
      </c>
      <c r="F125" s="11">
        <f>E125/Calculation!K$9*1000</f>
        <v>5.1874445479008338E-2</v>
      </c>
      <c r="G125" s="11">
        <f t="shared" si="11"/>
        <v>9.9345917727872859</v>
      </c>
    </row>
    <row r="126" spans="1:7">
      <c r="A126" s="33">
        <v>10.5</v>
      </c>
      <c r="B126" s="82">
        <v>23294</v>
      </c>
      <c r="C126" s="34">
        <f t="shared" si="8"/>
        <v>23.294</v>
      </c>
      <c r="D126" s="11">
        <f t="shared" si="9"/>
        <v>1.6422270000000001</v>
      </c>
      <c r="E126" s="11">
        <f t="shared" si="10"/>
        <v>7.3313705357142864E-2</v>
      </c>
      <c r="F126" s="11">
        <f>E126/Calculation!K$10*1000</f>
        <v>6.0667138213629339E-2</v>
      </c>
      <c r="G126" s="11">
        <f t="shared" si="11"/>
        <v>11.622715528176851</v>
      </c>
    </row>
    <row r="127" spans="1:7">
      <c r="A127" s="33">
        <v>11</v>
      </c>
      <c r="B127" s="82">
        <v>25676</v>
      </c>
      <c r="C127" s="34">
        <f t="shared" si="8"/>
        <v>25.675999999999998</v>
      </c>
      <c r="D127" s="11">
        <f t="shared" si="9"/>
        <v>1.8101579999999997</v>
      </c>
      <c r="E127" s="11">
        <f t="shared" si="10"/>
        <v>8.0810624999999997E-2</v>
      </c>
      <c r="F127" s="11">
        <f>E127/Calculation!K$10*1000</f>
        <v>6.6870844027352397E-2</v>
      </c>
      <c r="G127" s="11">
        <f t="shared" si="11"/>
        <v>13.535785261791577</v>
      </c>
    </row>
    <row r="128" spans="1:7">
      <c r="A128" s="33">
        <v>11.5</v>
      </c>
      <c r="B128" s="82">
        <v>24849.16</v>
      </c>
      <c r="C128" s="34">
        <f t="shared" si="8"/>
        <v>24.849160000000001</v>
      </c>
      <c r="D128" s="11">
        <f t="shared" si="9"/>
        <v>1.7518657800000002</v>
      </c>
      <c r="E128" s="11">
        <f t="shared" si="10"/>
        <v>7.8208293750000019E-2</v>
      </c>
      <c r="F128" s="11">
        <f>E128/Calculation!K$10*1000</f>
        <v>6.471741324858718E-2</v>
      </c>
      <c r="G128" s="11">
        <f t="shared" si="11"/>
        <v>15.509609120930671</v>
      </c>
    </row>
    <row r="129" spans="1:7">
      <c r="A129" s="33">
        <v>12</v>
      </c>
      <c r="B129" s="82">
        <v>26140.42</v>
      </c>
      <c r="C129" s="34">
        <f t="shared" si="8"/>
        <v>26.140419999999999</v>
      </c>
      <c r="D129" s="11">
        <f t="shared" si="9"/>
        <v>1.8428996099999999</v>
      </c>
      <c r="E129" s="11">
        <f t="shared" si="10"/>
        <v>8.2272304017857151E-2</v>
      </c>
      <c r="F129" s="11">
        <f>E129/Calculation!K$11*1000</f>
        <v>7.0587109801248063E-2</v>
      </c>
      <c r="G129" s="11">
        <f t="shared" si="11"/>
        <v>17.539176966678198</v>
      </c>
    </row>
    <row r="130" spans="1:7">
      <c r="A130" s="33">
        <v>12.5</v>
      </c>
      <c r="B130" s="82">
        <v>28896.37</v>
      </c>
      <c r="C130" s="34">
        <f t="shared" si="8"/>
        <v>28.896369999999997</v>
      </c>
      <c r="D130" s="11">
        <f t="shared" si="9"/>
        <v>2.0371940849999999</v>
      </c>
      <c r="E130" s="11">
        <f t="shared" si="10"/>
        <v>9.0946164508928576E-2</v>
      </c>
      <c r="F130" s="11">
        <f>E130/Calculation!K$11*1000</f>
        <v>7.8029015679453126E-2</v>
      </c>
      <c r="G130" s="11">
        <f t="shared" si="11"/>
        <v>19.768418848888714</v>
      </c>
    </row>
    <row r="131" spans="1:7">
      <c r="A131" s="33">
        <v>13</v>
      </c>
      <c r="B131" s="82">
        <v>30047.31</v>
      </c>
      <c r="C131" s="34">
        <f t="shared" si="8"/>
        <v>30.047310000000003</v>
      </c>
      <c r="D131" s="11">
        <f t="shared" si="9"/>
        <v>2.1183353550000001</v>
      </c>
      <c r="E131" s="11">
        <f t="shared" si="10"/>
        <v>9.4568542633928582E-2</v>
      </c>
      <c r="F131" s="11">
        <f>E131/Calculation!K$12*1000</f>
        <v>8.4435723642743168E-2</v>
      </c>
      <c r="G131" s="11">
        <f t="shared" si="11"/>
        <v>22.205389938721659</v>
      </c>
    </row>
    <row r="132" spans="1:7">
      <c r="A132" s="33">
        <v>13.5</v>
      </c>
      <c r="B132" s="82">
        <v>31644.45</v>
      </c>
      <c r="C132" s="34">
        <f t="shared" si="8"/>
        <v>31.644449999999999</v>
      </c>
      <c r="D132" s="11">
        <f t="shared" si="9"/>
        <v>2.2309337249999999</v>
      </c>
      <c r="E132" s="11">
        <f t="shared" si="10"/>
        <v>9.9595255580357145E-2</v>
      </c>
      <c r="F132" s="11">
        <f>E132/Calculation!K$12*1000</f>
        <v>8.8923834946509475E-2</v>
      </c>
      <c r="G132" s="11">
        <f t="shared" si="11"/>
        <v>24.805783317560447</v>
      </c>
    </row>
    <row r="133" spans="1:7">
      <c r="A133" s="33">
        <v>14</v>
      </c>
      <c r="B133" s="82">
        <v>33364.18</v>
      </c>
      <c r="C133" s="34">
        <f t="shared" si="8"/>
        <v>33.364179999999998</v>
      </c>
      <c r="D133" s="11">
        <f t="shared" si="9"/>
        <v>2.35217469</v>
      </c>
      <c r="E133" s="11">
        <f t="shared" si="10"/>
        <v>0.10500779866071429</v>
      </c>
      <c r="F133" s="11">
        <f>E133/Calculation!K$13*1000</f>
        <v>9.8317559392094037E-2</v>
      </c>
      <c r="G133" s="11">
        <f t="shared" si="11"/>
        <v>27.614404232639501</v>
      </c>
    </row>
    <row r="134" spans="1:7">
      <c r="A134" s="33">
        <v>14.5</v>
      </c>
      <c r="B134" s="82">
        <v>34138.67</v>
      </c>
      <c r="C134" s="34">
        <f t="shared" si="8"/>
        <v>34.138669999999998</v>
      </c>
      <c r="D134" s="11">
        <f t="shared" si="9"/>
        <v>2.4067762349999997</v>
      </c>
      <c r="E134" s="11">
        <f t="shared" si="10"/>
        <v>0.10744536763392856</v>
      </c>
      <c r="F134" s="11">
        <f>E134/Calculation!K$13*1000</f>
        <v>0.10059982637943143</v>
      </c>
      <c r="G134" s="11">
        <f t="shared" si="11"/>
        <v>30.598165019212381</v>
      </c>
    </row>
    <row r="135" spans="1:7">
      <c r="A135" s="33">
        <v>15</v>
      </c>
      <c r="B135" s="82">
        <v>35101.97</v>
      </c>
      <c r="C135" s="34">
        <f t="shared" si="8"/>
        <v>35.101970000000001</v>
      </c>
      <c r="D135" s="11">
        <f t="shared" si="9"/>
        <v>2.4746888850000004</v>
      </c>
      <c r="E135" s="11">
        <f t="shared" si="10"/>
        <v>0.11047718236607146</v>
      </c>
      <c r="F135" s="11">
        <f>E135/Calculation!K$13*1000</f>
        <v>0.10343847863950212</v>
      </c>
      <c r="G135" s="11">
        <f t="shared" si="11"/>
        <v>33.658739594496382</v>
      </c>
    </row>
    <row r="136" spans="1:7">
      <c r="A136" s="33">
        <v>15.5</v>
      </c>
      <c r="B136" s="82">
        <v>35573.589999999997</v>
      </c>
      <c r="C136" s="34">
        <f t="shared" si="8"/>
        <v>35.573589999999996</v>
      </c>
      <c r="D136" s="11">
        <f t="shared" si="9"/>
        <v>2.5079380949999996</v>
      </c>
      <c r="E136" s="11">
        <f t="shared" si="10"/>
        <v>0.11196152209821428</v>
      </c>
      <c r="F136" s="11">
        <f>E136/Calculation!K$13*1000</f>
        <v>0.10482824836741086</v>
      </c>
      <c r="G136" s="11">
        <f t="shared" si="11"/>
        <v>36.782740499600074</v>
      </c>
    </row>
    <row r="137" spans="1:7">
      <c r="A137" s="33">
        <v>16</v>
      </c>
      <c r="B137" s="82">
        <v>36331.35</v>
      </c>
      <c r="C137" s="34">
        <f t="shared" si="8"/>
        <v>36.33135</v>
      </c>
      <c r="D137" s="11">
        <f t="shared" si="9"/>
        <v>2.5613601749999999</v>
      </c>
      <c r="E137" s="11">
        <f t="shared" si="10"/>
        <v>0.11434643638392858</v>
      </c>
      <c r="F137" s="11">
        <f>E137/Calculation!K$14*1000</f>
        <v>0.11186396150500021</v>
      </c>
      <c r="G137" s="11">
        <f t="shared" si="11"/>
        <v>40.033123647686239</v>
      </c>
    </row>
    <row r="138" spans="1:7">
      <c r="A138" s="33">
        <v>16.5</v>
      </c>
      <c r="B138" s="82">
        <v>36492.9</v>
      </c>
      <c r="C138" s="34">
        <f t="shared" si="8"/>
        <v>36.492899999999999</v>
      </c>
      <c r="D138" s="11">
        <f t="shared" si="9"/>
        <v>2.5727494500000003</v>
      </c>
      <c r="E138" s="11">
        <f t="shared" si="10"/>
        <v>0.11485488616071431</v>
      </c>
      <c r="F138" s="11">
        <f>E138/Calculation!K$14*1000</f>
        <v>0.11236137277601362</v>
      </c>
      <c r="G138" s="11">
        <f t="shared" si="11"/>
        <v>43.396503661901448</v>
      </c>
    </row>
    <row r="139" spans="1:7">
      <c r="A139" s="33">
        <v>17</v>
      </c>
      <c r="B139" s="82">
        <v>36784.400000000001</v>
      </c>
      <c r="C139" s="34">
        <f t="shared" si="8"/>
        <v>36.784399999999998</v>
      </c>
      <c r="D139" s="11">
        <f t="shared" si="9"/>
        <v>2.5933001999999998</v>
      </c>
      <c r="E139" s="11">
        <f t="shared" si="10"/>
        <v>0.11577233035714286</v>
      </c>
      <c r="F139" s="11">
        <f>E139/Calculation!K$15*1000</f>
        <v>0.11785047614116927</v>
      </c>
      <c r="G139" s="11">
        <f t="shared" si="11"/>
        <v>46.849681395659189</v>
      </c>
    </row>
    <row r="140" spans="1:7">
      <c r="A140" s="33">
        <v>17.5</v>
      </c>
      <c r="B140" s="82">
        <v>37432.79</v>
      </c>
      <c r="C140" s="34">
        <f t="shared" si="8"/>
        <v>37.432790000000004</v>
      </c>
      <c r="D140" s="11">
        <f t="shared" si="9"/>
        <v>2.6390116950000007</v>
      </c>
      <c r="E140" s="11">
        <f t="shared" si="10"/>
        <v>0.11781302209821433</v>
      </c>
      <c r="F140" s="11">
        <f>E140/Calculation!K$15*1000</f>
        <v>0.11992779887105406</v>
      </c>
      <c r="G140" s="11">
        <f t="shared" si="11"/>
        <v>50.416355520842536</v>
      </c>
    </row>
    <row r="141" spans="1:7">
      <c r="A141" s="33">
        <v>18</v>
      </c>
      <c r="B141" s="82">
        <v>37414.230000000003</v>
      </c>
      <c r="C141" s="34">
        <f t="shared" si="8"/>
        <v>37.414230000000003</v>
      </c>
      <c r="D141" s="11">
        <f t="shared" si="9"/>
        <v>2.6377032150000006</v>
      </c>
      <c r="E141" s="11">
        <f t="shared" si="10"/>
        <v>0.11775460781250004</v>
      </c>
      <c r="F141" s="11">
        <f>E141/Calculation!K$15*1000</f>
        <v>0.11986833603253609</v>
      </c>
      <c r="G141" s="11">
        <f t="shared" si="11"/>
        <v>54.013297544396387</v>
      </c>
    </row>
    <row r="142" spans="1:7">
      <c r="A142" s="33">
        <v>18.5</v>
      </c>
      <c r="B142" s="82">
        <v>36814.339999999997</v>
      </c>
      <c r="C142" s="34">
        <f t="shared" si="8"/>
        <v>36.814339999999994</v>
      </c>
      <c r="D142" s="11">
        <f t="shared" si="9"/>
        <v>2.5954109699999997</v>
      </c>
      <c r="E142" s="11">
        <f t="shared" si="10"/>
        <v>0.11586656116071428</v>
      </c>
      <c r="F142" s="11">
        <f>E142/Calculation!K$16*1000</f>
        <v>0.12376065749083065</v>
      </c>
      <c r="G142" s="11">
        <f t="shared" si="11"/>
        <v>57.667732447246891</v>
      </c>
    </row>
    <row r="143" spans="1:7">
      <c r="A143" s="33">
        <v>19</v>
      </c>
      <c r="B143" s="82">
        <v>36374.83</v>
      </c>
      <c r="C143" s="34">
        <f t="shared" si="8"/>
        <v>36.374830000000003</v>
      </c>
      <c r="D143" s="11">
        <f t="shared" si="9"/>
        <v>2.5644255150000004</v>
      </c>
      <c r="E143" s="11">
        <f t="shared" si="10"/>
        <v>0.11448328191964288</v>
      </c>
      <c r="F143" s="11">
        <f>E143/Calculation!K$16*1000</f>
        <v>0.12228313415145274</v>
      </c>
      <c r="G143" s="11">
        <f t="shared" si="11"/>
        <v>61.358389321881141</v>
      </c>
    </row>
    <row r="144" spans="1:7">
      <c r="A144" s="33">
        <v>19.5</v>
      </c>
      <c r="B144" s="82">
        <v>35762.730000000003</v>
      </c>
      <c r="C144" s="34">
        <f t="shared" si="8"/>
        <v>35.762730000000005</v>
      </c>
      <c r="D144" s="11">
        <f t="shared" si="9"/>
        <v>2.5212724650000005</v>
      </c>
      <c r="E144" s="11">
        <f t="shared" si="10"/>
        <v>0.11255680647321431</v>
      </c>
      <c r="F144" s="11">
        <f>E144/Calculation!K$16*1000</f>
        <v>0.12022540614518841</v>
      </c>
      <c r="G144" s="11">
        <f t="shared" si="11"/>
        <v>64.996017426330752</v>
      </c>
    </row>
    <row r="145" spans="1:7">
      <c r="A145" s="33">
        <v>20</v>
      </c>
      <c r="B145" s="82">
        <v>34468.300000000003</v>
      </c>
      <c r="C145" s="34">
        <f t="shared" si="8"/>
        <v>34.468300000000006</v>
      </c>
      <c r="D145" s="11">
        <f t="shared" si="9"/>
        <v>2.4300151500000005</v>
      </c>
      <c r="E145" s="11">
        <f t="shared" si="10"/>
        <v>0.1084828191964286</v>
      </c>
      <c r="F145" s="11">
        <f>E145/Calculation!K$16*1000</f>
        <v>0.11587385433478367</v>
      </c>
      <c r="G145" s="11">
        <f t="shared" si="11"/>
        <v>68.537506333530331</v>
      </c>
    </row>
    <row r="146" spans="1:7">
      <c r="A146" s="33">
        <v>20.5</v>
      </c>
      <c r="B146" s="82">
        <v>33814.720000000001</v>
      </c>
      <c r="C146" s="34">
        <f t="shared" si="8"/>
        <v>33.814720000000001</v>
      </c>
      <c r="D146" s="11">
        <f t="shared" si="9"/>
        <v>2.3839377599999998</v>
      </c>
      <c r="E146" s="11">
        <f t="shared" si="10"/>
        <v>0.10642579285714285</v>
      </c>
      <c r="F146" s="11">
        <f>E146/Calculation!K$16*1000</f>
        <v>0.11367668088218724</v>
      </c>
      <c r="G146" s="11">
        <f t="shared" si="11"/>
        <v>71.980764361784892</v>
      </c>
    </row>
    <row r="147" spans="1:7">
      <c r="A147" s="33">
        <v>21</v>
      </c>
      <c r="B147" s="82">
        <v>33796.660000000003</v>
      </c>
      <c r="C147" s="34">
        <f t="shared" si="8"/>
        <v>33.796660000000003</v>
      </c>
      <c r="D147" s="11">
        <f t="shared" si="9"/>
        <v>2.3826645300000004</v>
      </c>
      <c r="E147" s="11">
        <f t="shared" si="10"/>
        <v>0.10636895223214288</v>
      </c>
      <c r="F147" s="11">
        <f>E147/Calculation!K$16*1000</f>
        <v>0.11361596765266084</v>
      </c>
      <c r="G147" s="11">
        <f t="shared" si="11"/>
        <v>75.390154089807609</v>
      </c>
    </row>
    <row r="148" spans="1:7">
      <c r="A148" s="33">
        <v>21.5</v>
      </c>
      <c r="B148" s="82">
        <v>31239.23</v>
      </c>
      <c r="C148" s="34">
        <f t="shared" si="8"/>
        <v>31.239229999999999</v>
      </c>
      <c r="D148" s="11">
        <f t="shared" si="9"/>
        <v>2.202365715</v>
      </c>
      <c r="E148" s="11">
        <f t="shared" si="10"/>
        <v>9.8319897991071437E-2</v>
      </c>
      <c r="F148" s="11">
        <f>E148/Calculation!K$16*1000</f>
        <v>0.10501852387703493</v>
      </c>
      <c r="G148" s="11">
        <f t="shared" si="11"/>
        <v>78.669671462753044</v>
      </c>
    </row>
    <row r="149" spans="1:7">
      <c r="A149" s="33">
        <v>22</v>
      </c>
      <c r="B149" s="82">
        <v>25485.51</v>
      </c>
      <c r="C149" s="34">
        <f t="shared" si="8"/>
        <v>25.485509999999998</v>
      </c>
      <c r="D149" s="11">
        <f t="shared" si="9"/>
        <v>1.796728455</v>
      </c>
      <c r="E149" s="11">
        <f t="shared" si="10"/>
        <v>8.0211091741071439E-2</v>
      </c>
      <c r="F149" s="11">
        <f>E149/Calculation!K$16*1000</f>
        <v>8.5675947853177337E-2</v>
      </c>
      <c r="G149" s="11">
        <f t="shared" si="11"/>
        <v>81.530088538706224</v>
      </c>
    </row>
    <row r="150" spans="1:7">
      <c r="A150" s="33">
        <v>22.5</v>
      </c>
      <c r="B150" s="82">
        <v>21377.1</v>
      </c>
      <c r="C150" s="34">
        <f t="shared" si="8"/>
        <v>21.377099999999999</v>
      </c>
      <c r="D150" s="11">
        <f t="shared" si="9"/>
        <v>1.50708555</v>
      </c>
      <c r="E150" s="11">
        <f t="shared" si="10"/>
        <v>6.728060491071429E-2</v>
      </c>
      <c r="F150" s="11">
        <f>E150/Calculation!K$16*1000</f>
        <v>7.1864494956238145E-2</v>
      </c>
      <c r="G150" s="11">
        <f t="shared" si="11"/>
        <v>83.893195180847457</v>
      </c>
    </row>
    <row r="151" spans="1:7">
      <c r="A151" s="33">
        <v>23</v>
      </c>
      <c r="B151" s="82">
        <v>18599.080000000002</v>
      </c>
      <c r="C151" s="34">
        <f t="shared" si="8"/>
        <v>18.599080000000001</v>
      </c>
      <c r="D151" s="11">
        <f t="shared" si="9"/>
        <v>1.31123514</v>
      </c>
      <c r="E151" s="11">
        <f t="shared" si="10"/>
        <v>5.8537283035714288E-2</v>
      </c>
      <c r="F151" s="11">
        <f>E151/Calculation!K$16*1000</f>
        <v>6.2525482448539324E-2</v>
      </c>
      <c r="G151" s="11">
        <f t="shared" si="11"/>
        <v>85.909044841919112</v>
      </c>
    </row>
    <row r="152" spans="1:7">
      <c r="A152" s="33">
        <v>23.5</v>
      </c>
      <c r="B152" s="82">
        <v>16217.58</v>
      </c>
      <c r="C152" s="34">
        <f t="shared" si="8"/>
        <v>16.217580000000002</v>
      </c>
      <c r="D152" s="11">
        <f t="shared" si="9"/>
        <v>1.1433393900000002</v>
      </c>
      <c r="E152" s="11">
        <f t="shared" si="10"/>
        <v>5.1041937053571441E-2</v>
      </c>
      <c r="F152" s="11">
        <f>E152/Calculation!K$16*1000</f>
        <v>5.4519471589335733E-2</v>
      </c>
      <c r="G152" s="11">
        <f t="shared" si="11"/>
        <v>87.664719152487237</v>
      </c>
    </row>
    <row r="153" spans="1:7">
      <c r="A153" s="33">
        <v>24</v>
      </c>
      <c r="B153" s="82">
        <v>13874.22</v>
      </c>
      <c r="C153" s="34">
        <f t="shared" si="8"/>
        <v>13.874219999999999</v>
      </c>
      <c r="D153" s="11">
        <f t="shared" si="9"/>
        <v>0.97813251000000001</v>
      </c>
      <c r="E153" s="11">
        <f t="shared" si="10"/>
        <v>4.3666629910714287E-2</v>
      </c>
      <c r="F153" s="11">
        <f>E153/Calculation!K$17*1000</f>
        <v>4.9480311001179944E-2</v>
      </c>
      <c r="G153" s="11">
        <f t="shared" si="11"/>
        <v>89.224715891344971</v>
      </c>
    </row>
    <row r="154" spans="1:7">
      <c r="A154" s="33">
        <v>24.5</v>
      </c>
      <c r="B154" s="82">
        <v>11878.21</v>
      </c>
      <c r="C154" s="34">
        <f t="shared" si="8"/>
        <v>11.878209999999999</v>
      </c>
      <c r="D154" s="11">
        <f t="shared" si="9"/>
        <v>0.83741380499999984</v>
      </c>
      <c r="E154" s="11">
        <f t="shared" si="10"/>
        <v>3.7384544866071422E-2</v>
      </c>
      <c r="F154" s="11">
        <f>E154/Calculation!K$17*1000</f>
        <v>4.2361842679251555E-2</v>
      </c>
      <c r="G154" s="11">
        <f t="shared" si="11"/>
        <v>90.602348196551446</v>
      </c>
    </row>
    <row r="155" spans="1:7">
      <c r="A155" s="33">
        <v>25</v>
      </c>
      <c r="B155" s="82">
        <v>10300.299999999999</v>
      </c>
      <c r="C155" s="34">
        <f t="shared" si="8"/>
        <v>10.3003</v>
      </c>
      <c r="D155" s="11">
        <f t="shared" si="9"/>
        <v>0.72617114999999999</v>
      </c>
      <c r="E155" s="11">
        <f t="shared" si="10"/>
        <v>3.2418354910714285E-2</v>
      </c>
      <c r="F155" s="11">
        <f>E155/Calculation!K$17*1000</f>
        <v>3.6734464885626275E-2</v>
      </c>
      <c r="G155" s="11">
        <f t="shared" si="11"/>
        <v>91.788792810024617</v>
      </c>
    </row>
    <row r="156" spans="1:7">
      <c r="A156" s="33">
        <v>25.5</v>
      </c>
      <c r="B156" s="82">
        <v>8501.4699999999993</v>
      </c>
      <c r="C156" s="34">
        <f t="shared" si="8"/>
        <v>8.5014699999999994</v>
      </c>
      <c r="D156" s="11">
        <f t="shared" si="9"/>
        <v>0.59935363499999994</v>
      </c>
      <c r="E156" s="11">
        <f t="shared" si="10"/>
        <v>2.6756858705357142E-2</v>
      </c>
      <c r="F156" s="11">
        <f>E156/Calculation!K$17*1000</f>
        <v>3.0319209264895702E-2</v>
      </c>
      <c r="G156" s="11">
        <f t="shared" si="11"/>
        <v>92.794597922282449</v>
      </c>
    </row>
    <row r="157" spans="1:7">
      <c r="A157" s="33">
        <v>26</v>
      </c>
      <c r="B157" s="82">
        <v>7246.17</v>
      </c>
      <c r="C157" s="34">
        <f t="shared" si="8"/>
        <v>7.2461700000000002</v>
      </c>
      <c r="D157" s="11">
        <f t="shared" si="9"/>
        <v>0.51085498500000004</v>
      </c>
      <c r="E157" s="11">
        <f t="shared" si="10"/>
        <v>2.280602611607143E-2</v>
      </c>
      <c r="F157" s="11">
        <f>E157/Calculation!K$17*1000</f>
        <v>2.5842371330959152E-2</v>
      </c>
      <c r="G157" s="11">
        <f t="shared" si="11"/>
        <v>93.637021631220279</v>
      </c>
    </row>
    <row r="158" spans="1:7">
      <c r="A158" s="33">
        <v>26.5</v>
      </c>
      <c r="B158" s="82">
        <v>6081.17</v>
      </c>
      <c r="C158" s="34">
        <f t="shared" si="8"/>
        <v>6.0811700000000002</v>
      </c>
      <c r="D158" s="11">
        <f t="shared" si="9"/>
        <v>0.42872248500000004</v>
      </c>
      <c r="E158" s="11">
        <f t="shared" si="10"/>
        <v>1.9139396651785719E-2</v>
      </c>
      <c r="F158" s="11">
        <f>E158/Calculation!K$17*1000</f>
        <v>2.168757471418541E-2</v>
      </c>
      <c r="G158" s="11">
        <f t="shared" si="11"/>
        <v>94.349970821897443</v>
      </c>
    </row>
    <row r="159" spans="1:7">
      <c r="A159" s="33">
        <v>27</v>
      </c>
      <c r="B159" s="82">
        <v>5197.6499999999996</v>
      </c>
      <c r="C159" s="34">
        <f t="shared" si="8"/>
        <v>5.1976499999999994</v>
      </c>
      <c r="D159" s="11">
        <f t="shared" si="9"/>
        <v>0.36643432500000001</v>
      </c>
      <c r="E159" s="11">
        <f t="shared" si="10"/>
        <v>1.6358675223214287E-2</v>
      </c>
      <c r="F159" s="11">
        <f>E159/Calculation!K$17*1000</f>
        <v>1.8536634021608635E-2</v>
      </c>
      <c r="G159" s="11">
        <f t="shared" si="11"/>
        <v>94.953333952934358</v>
      </c>
    </row>
    <row r="160" spans="1:7">
      <c r="A160" s="33">
        <v>27.5</v>
      </c>
      <c r="B160" s="82">
        <v>4434.87</v>
      </c>
      <c r="C160" s="34">
        <f t="shared" si="8"/>
        <v>4.4348700000000001</v>
      </c>
      <c r="D160" s="11">
        <f t="shared" si="9"/>
        <v>0.31265833500000001</v>
      </c>
      <c r="E160" s="11">
        <f t="shared" si="10"/>
        <v>1.3957961383928573E-2</v>
      </c>
      <c r="F160" s="11">
        <f>E160/Calculation!K$17*1000</f>
        <v>1.5816294310584879E-2</v>
      </c>
      <c r="G160" s="11">
        <f t="shared" si="11"/>
        <v>95.468627877917257</v>
      </c>
    </row>
    <row r="161" spans="1:7">
      <c r="A161" s="33">
        <v>28</v>
      </c>
      <c r="B161" s="82">
        <v>3699.51</v>
      </c>
      <c r="C161" s="34">
        <f t="shared" si="8"/>
        <v>3.6995100000000001</v>
      </c>
      <c r="D161" s="11">
        <f t="shared" si="9"/>
        <v>0.26081545500000003</v>
      </c>
      <c r="E161" s="11">
        <f t="shared" si="10"/>
        <v>1.1643547098214288E-2</v>
      </c>
      <c r="F161" s="11">
        <f>E161/Calculation!K$17*1000</f>
        <v>1.3193743889888964E-2</v>
      </c>
      <c r="G161" s="11">
        <f t="shared" si="11"/>
        <v>95.903778450924364</v>
      </c>
    </row>
    <row r="162" spans="1:7">
      <c r="A162" s="33">
        <v>28.5</v>
      </c>
      <c r="B162" s="82">
        <v>3142.6</v>
      </c>
      <c r="C162" s="34">
        <f t="shared" si="8"/>
        <v>3.1425999999999998</v>
      </c>
      <c r="D162" s="11">
        <f t="shared" si="9"/>
        <v>0.22155329999999998</v>
      </c>
      <c r="E162" s="11">
        <f t="shared" si="10"/>
        <v>9.8907723214285721E-3</v>
      </c>
      <c r="F162" s="11">
        <f>E162/Calculation!K$17*1000</f>
        <v>1.1207608453110021E-2</v>
      </c>
      <c r="G162" s="11">
        <f t="shared" si="11"/>
        <v>96.269798736069347</v>
      </c>
    </row>
    <row r="163" spans="1:7">
      <c r="A163" s="33">
        <v>29</v>
      </c>
      <c r="B163" s="82">
        <v>2664.8</v>
      </c>
      <c r="C163" s="34">
        <f t="shared" si="8"/>
        <v>2.6648000000000001</v>
      </c>
      <c r="D163" s="11">
        <f t="shared" si="9"/>
        <v>0.18786840000000002</v>
      </c>
      <c r="E163" s="11">
        <f t="shared" si="10"/>
        <v>8.3869821428571439E-3</v>
      </c>
      <c r="F163" s="11">
        <f>E163/Calculation!K$17*1000</f>
        <v>9.5036068878786937E-3</v>
      </c>
      <c r="G163" s="11">
        <f t="shared" si="11"/>
        <v>96.580466966184176</v>
      </c>
    </row>
    <row r="164" spans="1:7">
      <c r="A164" s="33">
        <v>29.5</v>
      </c>
      <c r="B164" s="82">
        <v>2249.38</v>
      </c>
      <c r="C164" s="34">
        <f t="shared" si="8"/>
        <v>2.2493799999999999</v>
      </c>
      <c r="D164" s="11">
        <f t="shared" si="9"/>
        <v>0.15858129000000001</v>
      </c>
      <c r="E164" s="11">
        <f t="shared" si="10"/>
        <v>7.0795218750000014E-3</v>
      </c>
      <c r="F164" s="11">
        <f>E164/Calculation!K$17*1000</f>
        <v>8.0220741749686946E-3</v>
      </c>
      <c r="G164" s="11">
        <f t="shared" si="11"/>
        <v>96.843352182126893</v>
      </c>
    </row>
    <row r="165" spans="1:7">
      <c r="A165" s="33">
        <v>30</v>
      </c>
      <c r="B165" s="82">
        <v>1898.17</v>
      </c>
      <c r="C165" s="34">
        <f t="shared" si="8"/>
        <v>1.8981700000000001</v>
      </c>
      <c r="D165" s="11">
        <f t="shared" si="9"/>
        <v>0.133820985</v>
      </c>
      <c r="E165" s="11">
        <f t="shared" si="10"/>
        <v>5.974151116071429E-3</v>
      </c>
      <c r="F165" s="11">
        <f>E165/Calculation!K$18*1000</f>
        <v>7.1912208900004838E-3</v>
      </c>
      <c r="G165" s="11">
        <f t="shared" si="11"/>
        <v>97.07155160810143</v>
      </c>
    </row>
    <row r="166" spans="1:7">
      <c r="A166" s="33">
        <v>30.5</v>
      </c>
      <c r="B166" s="82">
        <v>1627.91</v>
      </c>
      <c r="C166" s="34">
        <f t="shared" si="8"/>
        <v>1.6279100000000002</v>
      </c>
      <c r="D166" s="11">
        <f t="shared" si="9"/>
        <v>0.11476765500000001</v>
      </c>
      <c r="E166" s="11">
        <f t="shared" si="10"/>
        <v>5.1235560267857147E-3</v>
      </c>
      <c r="F166" s="11">
        <f>E166/Calculation!K$18*1000</f>
        <v>6.1673403325522413E-3</v>
      </c>
      <c r="G166" s="11">
        <f t="shared" si="11"/>
        <v>97.271930026439719</v>
      </c>
    </row>
    <row r="167" spans="1:7">
      <c r="A167" s="33">
        <v>31</v>
      </c>
      <c r="B167" s="82">
        <v>1399.63</v>
      </c>
      <c r="C167" s="34">
        <f t="shared" si="8"/>
        <v>1.3996300000000002</v>
      </c>
      <c r="D167" s="11">
        <f t="shared" si="9"/>
        <v>9.8673915000000015E-2</v>
      </c>
      <c r="E167" s="11">
        <f t="shared" si="10"/>
        <v>4.4050854910714296E-3</v>
      </c>
      <c r="F167" s="11">
        <f>E167/Calculation!K$18*1000</f>
        <v>5.302501090140176E-3</v>
      </c>
      <c r="G167" s="11">
        <f t="shared" si="11"/>
        <v>97.443977647780102</v>
      </c>
    </row>
    <row r="168" spans="1:7">
      <c r="A168" s="33">
        <v>31.5</v>
      </c>
      <c r="B168" s="82">
        <v>1189.74</v>
      </c>
      <c r="C168" s="34">
        <f t="shared" si="8"/>
        <v>1.18974</v>
      </c>
      <c r="D168" s="11">
        <f t="shared" si="9"/>
        <v>8.3876670000000014E-2</v>
      </c>
      <c r="E168" s="11">
        <f t="shared" si="10"/>
        <v>3.7444941964285723E-3</v>
      </c>
      <c r="F168" s="11">
        <f>E168/Calculation!K$18*1000</f>
        <v>4.5073323999795471E-3</v>
      </c>
      <c r="G168" s="11">
        <f t="shared" si="11"/>
        <v>97.591125150131901</v>
      </c>
    </row>
    <row r="169" spans="1:7">
      <c r="A169" s="33">
        <v>32</v>
      </c>
      <c r="B169" s="82">
        <v>1023.51</v>
      </c>
      <c r="C169" s="34">
        <f t="shared" si="8"/>
        <v>1.0235099999999999</v>
      </c>
      <c r="D169" s="11">
        <f t="shared" si="9"/>
        <v>7.2157454999999981E-2</v>
      </c>
      <c r="E169" s="11">
        <f t="shared" si="10"/>
        <v>3.2213149553571422E-3</v>
      </c>
      <c r="F169" s="11">
        <f>E169/Calculation!K$18*1000</f>
        <v>3.8775697082581609E-3</v>
      </c>
      <c r="G169" s="11">
        <f t="shared" si="11"/>
        <v>97.716898681755467</v>
      </c>
    </row>
    <row r="170" spans="1:7">
      <c r="A170" s="33">
        <v>32.5</v>
      </c>
      <c r="B170" s="82">
        <v>881.19</v>
      </c>
      <c r="C170" s="34">
        <f t="shared" ref="C170:C201" si="12">B170/1000</f>
        <v>0.88119000000000003</v>
      </c>
      <c r="D170" s="11">
        <f t="shared" ref="D170:D201" si="13">C170/1000*$B$1</f>
        <v>6.2123894999999998E-2</v>
      </c>
      <c r="E170" s="11">
        <f t="shared" ref="E170:E201" si="14">D170/22.4</f>
        <v>2.7733881696428574E-3</v>
      </c>
      <c r="F170" s="11">
        <f>E170/Calculation!K$18*1000</f>
        <v>3.3383900999697218E-3</v>
      </c>
      <c r="G170" s="11">
        <f t="shared" si="11"/>
        <v>97.825138078878879</v>
      </c>
    </row>
    <row r="171" spans="1:7">
      <c r="A171" s="33">
        <v>33</v>
      </c>
      <c r="B171" s="82">
        <v>779.67</v>
      </c>
      <c r="C171" s="34">
        <f t="shared" si="12"/>
        <v>0.77966999999999997</v>
      </c>
      <c r="D171" s="11">
        <f t="shared" si="13"/>
        <v>5.4966735000000003E-2</v>
      </c>
      <c r="E171" s="11">
        <f t="shared" si="14"/>
        <v>2.4538720982142858E-3</v>
      </c>
      <c r="F171" s="11">
        <f>E171/Calculation!K$18*1000</f>
        <v>2.9537813743272085E-3</v>
      </c>
      <c r="G171" s="11">
        <f t="shared" si="11"/>
        <v>97.919520650993334</v>
      </c>
    </row>
    <row r="172" spans="1:7">
      <c r="A172" s="33">
        <v>33.5</v>
      </c>
      <c r="B172" s="82">
        <v>683.01</v>
      </c>
      <c r="C172" s="34">
        <f t="shared" si="12"/>
        <v>0.68301000000000001</v>
      </c>
      <c r="D172" s="11">
        <f t="shared" si="13"/>
        <v>4.8152204999999997E-2</v>
      </c>
      <c r="E172" s="11">
        <f t="shared" si="14"/>
        <v>2.1496520089285716E-3</v>
      </c>
      <c r="F172" s="11">
        <f>E172/Calculation!K$18*1000</f>
        <v>2.5875847685292836E-3</v>
      </c>
      <c r="G172" s="11">
        <f t="shared" ref="G172:G201" si="15">G171+(F172+F171)/2*30</f>
        <v>98.002641143136188</v>
      </c>
    </row>
    <row r="173" spans="1:7">
      <c r="A173" s="33">
        <v>34</v>
      </c>
      <c r="B173" s="82">
        <v>626.48</v>
      </c>
      <c r="C173" s="34">
        <f t="shared" si="12"/>
        <v>0.62648000000000004</v>
      </c>
      <c r="D173" s="11">
        <f t="shared" si="13"/>
        <v>4.4166839999999999E-2</v>
      </c>
      <c r="E173" s="11">
        <f t="shared" si="14"/>
        <v>1.9717339285714288E-3</v>
      </c>
      <c r="F173" s="11">
        <f>E173/Calculation!K$18*1000</f>
        <v>2.3734207490201105E-3</v>
      </c>
      <c r="G173" s="11">
        <f t="shared" si="15"/>
        <v>98.077056225899426</v>
      </c>
    </row>
    <row r="174" spans="1:7">
      <c r="A174" s="33">
        <v>34.5</v>
      </c>
      <c r="B174" s="82">
        <v>575.64</v>
      </c>
      <c r="C174" s="34">
        <f t="shared" si="12"/>
        <v>0.57564000000000004</v>
      </c>
      <c r="D174" s="11">
        <f t="shared" si="13"/>
        <v>4.0582620000000007E-2</v>
      </c>
      <c r="E174" s="11">
        <f t="shared" si="14"/>
        <v>1.8117241071428575E-3</v>
      </c>
      <c r="F174" s="11">
        <f>E174/Calculation!K$18*1000</f>
        <v>2.1808133060368033E-3</v>
      </c>
      <c r="G174" s="11">
        <f t="shared" si="15"/>
        <v>98.145369736725286</v>
      </c>
    </row>
    <row r="175" spans="1:7">
      <c r="A175" s="33">
        <v>35</v>
      </c>
      <c r="B175" s="82">
        <v>512.91999999999996</v>
      </c>
      <c r="C175" s="34">
        <f t="shared" si="12"/>
        <v>0.51291999999999993</v>
      </c>
      <c r="D175" s="11">
        <f t="shared" si="13"/>
        <v>3.6160859999999996E-2</v>
      </c>
      <c r="E175" s="11">
        <f t="shared" si="14"/>
        <v>1.614324107142857E-3</v>
      </c>
      <c r="F175" s="11">
        <f>E175/Calculation!K$18*1000</f>
        <v>1.9431984589889462E-3</v>
      </c>
      <c r="G175" s="11">
        <f t="shared" si="15"/>
        <v>98.207229913200678</v>
      </c>
    </row>
    <row r="176" spans="1:7">
      <c r="A176" s="33">
        <v>35.5</v>
      </c>
      <c r="B176" s="82">
        <v>455.06</v>
      </c>
      <c r="C176" s="34">
        <f t="shared" si="12"/>
        <v>0.45506000000000002</v>
      </c>
      <c r="D176" s="11">
        <f t="shared" si="13"/>
        <v>3.2081730000000003E-2</v>
      </c>
      <c r="E176" s="11">
        <f t="shared" si="14"/>
        <v>1.4322200892857146E-3</v>
      </c>
      <c r="F176" s="11">
        <f>E176/Calculation!K$18*1000</f>
        <v>1.7239957317856781E-3</v>
      </c>
      <c r="G176" s="11">
        <f t="shared" si="15"/>
        <v>98.262237826062304</v>
      </c>
    </row>
    <row r="177" spans="1:7">
      <c r="A177" s="33">
        <v>36</v>
      </c>
      <c r="B177" s="82">
        <v>404.55</v>
      </c>
      <c r="C177" s="34">
        <f t="shared" si="12"/>
        <v>0.40455000000000002</v>
      </c>
      <c r="D177" s="11">
        <f t="shared" si="13"/>
        <v>2.8520774999999998E-2</v>
      </c>
      <c r="E177" s="11">
        <f t="shared" si="14"/>
        <v>1.2732488839285714E-3</v>
      </c>
      <c r="F177" s="11">
        <f>E177/Calculation!K$18*1000</f>
        <v>1.5326384944708302E-3</v>
      </c>
      <c r="G177" s="11">
        <f t="shared" si="15"/>
        <v>98.311087339456151</v>
      </c>
    </row>
    <row r="178" spans="1:7">
      <c r="A178" s="33">
        <v>36.5</v>
      </c>
      <c r="B178" s="82">
        <v>375.45</v>
      </c>
      <c r="C178" s="34">
        <f t="shared" si="12"/>
        <v>0.37545000000000001</v>
      </c>
      <c r="D178" s="11">
        <f t="shared" si="13"/>
        <v>2.6469224999999999E-2</v>
      </c>
      <c r="E178" s="11">
        <f t="shared" si="14"/>
        <v>1.1816618303571429E-3</v>
      </c>
      <c r="F178" s="11">
        <f>E178/Calculation!K$18*1000</f>
        <v>1.4223930855248382E-3</v>
      </c>
      <c r="G178" s="11">
        <f t="shared" si="15"/>
        <v>98.355412813156093</v>
      </c>
    </row>
    <row r="179" spans="1:7">
      <c r="A179" s="33">
        <v>37</v>
      </c>
      <c r="B179" s="82">
        <v>400.04</v>
      </c>
      <c r="C179" s="34">
        <f t="shared" si="12"/>
        <v>0.40004000000000001</v>
      </c>
      <c r="D179" s="11">
        <f t="shared" si="13"/>
        <v>2.820282E-2</v>
      </c>
      <c r="E179" s="11">
        <f t="shared" si="14"/>
        <v>1.2590544642857144E-3</v>
      </c>
      <c r="F179" s="11">
        <f>E179/Calculation!K$18*1000</f>
        <v>1.5155523503352143E-3</v>
      </c>
      <c r="G179" s="11">
        <f t="shared" si="15"/>
        <v>98.399481994694</v>
      </c>
    </row>
    <row r="180" spans="1:7">
      <c r="A180" s="33">
        <v>37.5</v>
      </c>
      <c r="B180" s="82">
        <v>378.63</v>
      </c>
      <c r="C180" s="34">
        <f t="shared" si="12"/>
        <v>0.37863000000000002</v>
      </c>
      <c r="D180" s="11">
        <f t="shared" si="13"/>
        <v>2.6693415000000002E-2</v>
      </c>
      <c r="E180" s="11">
        <f t="shared" si="14"/>
        <v>1.1916703125000002E-3</v>
      </c>
      <c r="F180" s="11">
        <f>E180/Calculation!K$18*1000</f>
        <v>1.4344405219663587E-3</v>
      </c>
      <c r="G180" s="11">
        <f t="shared" si="15"/>
        <v>98.443731887778526</v>
      </c>
    </row>
    <row r="181" spans="1:7">
      <c r="A181" s="33">
        <v>38</v>
      </c>
      <c r="B181" s="82">
        <v>341.34</v>
      </c>
      <c r="C181" s="34">
        <f t="shared" si="12"/>
        <v>0.34133999999999998</v>
      </c>
      <c r="D181" s="11">
        <f t="shared" si="13"/>
        <v>2.4064469999999998E-2</v>
      </c>
      <c r="E181" s="11">
        <f t="shared" si="14"/>
        <v>1.0743066964285714E-3</v>
      </c>
      <c r="F181" s="11">
        <f>E181/Calculation!K$18*1000</f>
        <v>1.293167281430412E-3</v>
      </c>
      <c r="G181" s="11">
        <f t="shared" si="15"/>
        <v>98.484646004829472</v>
      </c>
    </row>
    <row r="182" spans="1:7">
      <c r="A182" s="33">
        <v>38.5</v>
      </c>
      <c r="B182" s="82">
        <v>309.06</v>
      </c>
      <c r="C182" s="34">
        <f t="shared" si="12"/>
        <v>0.30906</v>
      </c>
      <c r="D182" s="11">
        <f t="shared" si="13"/>
        <v>2.1788729999999999E-2</v>
      </c>
      <c r="E182" s="11">
        <f t="shared" si="14"/>
        <v>9.7271116071428576E-4</v>
      </c>
      <c r="F182" s="11">
        <f>E182/Calculation!K$18*1000</f>
        <v>1.170874436042899E-3</v>
      </c>
      <c r="G182" s="11">
        <f t="shared" si="15"/>
        <v>98.521606630591577</v>
      </c>
    </row>
    <row r="183" spans="1:7">
      <c r="A183" s="33">
        <v>39</v>
      </c>
      <c r="B183" s="82">
        <v>286.14999999999998</v>
      </c>
      <c r="C183" s="34">
        <f t="shared" si="12"/>
        <v>0.28614999999999996</v>
      </c>
      <c r="D183" s="11">
        <f t="shared" si="13"/>
        <v>2.0173574999999996E-2</v>
      </c>
      <c r="E183" s="11">
        <f t="shared" si="14"/>
        <v>9.0060602678571414E-4</v>
      </c>
      <c r="F183" s="11">
        <f>E183/Calculation!K$18*1000</f>
        <v>1.0840798546355901E-3</v>
      </c>
      <c r="G183" s="11">
        <f t="shared" si="15"/>
        <v>98.555430944951752</v>
      </c>
    </row>
    <row r="184" spans="1:7">
      <c r="A184" s="33">
        <v>39.5</v>
      </c>
      <c r="B184" s="82">
        <v>275.61</v>
      </c>
      <c r="C184" s="34">
        <f t="shared" si="12"/>
        <v>0.27561000000000002</v>
      </c>
      <c r="D184" s="11">
        <f t="shared" si="13"/>
        <v>1.9430505000000001E-2</v>
      </c>
      <c r="E184" s="11">
        <f t="shared" si="14"/>
        <v>8.6743325892857154E-4</v>
      </c>
      <c r="F184" s="11">
        <f>E184/Calculation!K$18*1000</f>
        <v>1.0441490432853925E-3</v>
      </c>
      <c r="G184" s="11">
        <f t="shared" si="15"/>
        <v>98.587354378420571</v>
      </c>
    </row>
    <row r="185" spans="1:7">
      <c r="A185" s="33">
        <v>40</v>
      </c>
      <c r="B185" s="82">
        <v>256.38</v>
      </c>
      <c r="C185" s="34">
        <f t="shared" si="12"/>
        <v>0.25638</v>
      </c>
      <c r="D185" s="11">
        <f t="shared" si="13"/>
        <v>1.807479E-2</v>
      </c>
      <c r="E185" s="11">
        <f t="shared" si="14"/>
        <v>8.0691026785714292E-4</v>
      </c>
      <c r="F185" s="11">
        <f>E185/Calculation!K$18*1000</f>
        <v>9.7129614933242237E-4</v>
      </c>
      <c r="G185" s="11">
        <f t="shared" si="15"/>
        <v>98.617586056309833</v>
      </c>
    </row>
    <row r="186" spans="1:7">
      <c r="A186" s="33">
        <v>40.5</v>
      </c>
      <c r="B186" s="82">
        <v>268.92</v>
      </c>
      <c r="C186" s="34">
        <f t="shared" si="12"/>
        <v>0.26891999999999999</v>
      </c>
      <c r="D186" s="11">
        <f t="shared" si="13"/>
        <v>1.8958859999999998E-2</v>
      </c>
      <c r="E186" s="11">
        <f t="shared" si="14"/>
        <v>8.4637767857142848E-4</v>
      </c>
      <c r="F186" s="11">
        <f>E186/Calculation!K$18*1000</f>
        <v>1.0188039647338911E-3</v>
      </c>
      <c r="G186" s="11">
        <f t="shared" si="15"/>
        <v>98.647437558020826</v>
      </c>
    </row>
    <row r="187" spans="1:7">
      <c r="A187" s="33">
        <v>41</v>
      </c>
      <c r="B187" s="82">
        <v>258.55</v>
      </c>
      <c r="C187" s="34">
        <f t="shared" si="12"/>
        <v>0.25855</v>
      </c>
      <c r="D187" s="11">
        <f t="shared" si="13"/>
        <v>1.8227775000000002E-2</v>
      </c>
      <c r="E187" s="11">
        <f t="shared" si="14"/>
        <v>8.1373995535714296E-4</v>
      </c>
      <c r="F187" s="11">
        <f>E187/Calculation!K$18*1000</f>
        <v>9.7951719872805122E-4</v>
      </c>
      <c r="G187" s="11">
        <f t="shared" si="15"/>
        <v>98.677412375472755</v>
      </c>
    </row>
    <row r="188" spans="1:7">
      <c r="A188" s="33">
        <v>41.5</v>
      </c>
      <c r="B188" s="82">
        <v>240.49</v>
      </c>
      <c r="C188" s="34">
        <f t="shared" si="12"/>
        <v>0.24049000000000001</v>
      </c>
      <c r="D188" s="11">
        <f t="shared" si="13"/>
        <v>1.6954545000000001E-2</v>
      </c>
      <c r="E188" s="11">
        <f t="shared" si="14"/>
        <v>7.5689933035714301E-4</v>
      </c>
      <c r="F188" s="11">
        <f>E188/Calculation!K$18*1000</f>
        <v>9.1109685214507479E-4</v>
      </c>
      <c r="G188" s="11">
        <f t="shared" si="15"/>
        <v>98.705771586235855</v>
      </c>
    </row>
    <row r="189" spans="1:7">
      <c r="A189" s="33">
        <v>42</v>
      </c>
      <c r="B189" s="82">
        <v>212.06</v>
      </c>
      <c r="C189" s="34">
        <f t="shared" si="12"/>
        <v>0.21206</v>
      </c>
      <c r="D189" s="11">
        <f t="shared" si="13"/>
        <v>1.495023E-2</v>
      </c>
      <c r="E189" s="11">
        <f t="shared" si="14"/>
        <v>6.6742098214285723E-4</v>
      </c>
      <c r="F189" s="11">
        <f>E189/Calculation!K$18*1000</f>
        <v>8.033897395562582E-4</v>
      </c>
      <c r="G189" s="11">
        <f t="shared" si="15"/>
        <v>98.731488885111375</v>
      </c>
    </row>
    <row r="190" spans="1:7">
      <c r="A190" s="33">
        <v>42.5</v>
      </c>
      <c r="B190" s="82">
        <v>203.2</v>
      </c>
      <c r="C190" s="34">
        <f t="shared" si="12"/>
        <v>0.20319999999999999</v>
      </c>
      <c r="D190" s="11">
        <f t="shared" si="13"/>
        <v>1.4325599999999999E-2</v>
      </c>
      <c r="E190" s="11">
        <f t="shared" si="14"/>
        <v>6.3953571428571434E-4</v>
      </c>
      <c r="F190" s="11">
        <f>E190/Calculation!K$18*1000</f>
        <v>7.6982361160912803E-4</v>
      </c>
      <c r="G190" s="11">
        <f t="shared" si="15"/>
        <v>98.755087085378861</v>
      </c>
    </row>
    <row r="191" spans="1:7">
      <c r="A191" s="33">
        <v>43</v>
      </c>
      <c r="B191" s="82">
        <v>185.64</v>
      </c>
      <c r="C191" s="34">
        <f t="shared" si="12"/>
        <v>0.18564</v>
      </c>
      <c r="D191" s="11">
        <f t="shared" si="13"/>
        <v>1.3087619999999999E-2</v>
      </c>
      <c r="E191" s="11">
        <f t="shared" si="14"/>
        <v>5.8426875000000002E-4</v>
      </c>
      <c r="F191" s="11">
        <f>E191/Calculation!K$18*1000</f>
        <v>7.0329751603896901E-4</v>
      </c>
      <c r="G191" s="11">
        <f t="shared" si="15"/>
        <v>98.777183902293586</v>
      </c>
    </row>
    <row r="192" spans="1:7">
      <c r="A192" s="33">
        <v>43.5</v>
      </c>
      <c r="B192" s="82">
        <v>174.43</v>
      </c>
      <c r="C192" s="34">
        <f t="shared" si="12"/>
        <v>0.17443</v>
      </c>
      <c r="D192" s="11">
        <f t="shared" si="13"/>
        <v>1.2297315E-2</v>
      </c>
      <c r="E192" s="11">
        <f t="shared" si="14"/>
        <v>5.4898727678571427E-4</v>
      </c>
      <c r="F192" s="11">
        <f>E192/Calculation!K$18*1000</f>
        <v>6.6082840833159534E-4</v>
      </c>
      <c r="G192" s="11">
        <f t="shared" si="15"/>
        <v>98.797645791159141</v>
      </c>
    </row>
    <row r="193" spans="1:7">
      <c r="A193" s="33">
        <v>44</v>
      </c>
      <c r="B193" s="82">
        <v>161.38999999999999</v>
      </c>
      <c r="C193" s="34">
        <f t="shared" si="12"/>
        <v>0.16138999999999998</v>
      </c>
      <c r="D193" s="11">
        <f t="shared" si="13"/>
        <v>1.1377994999999998E-2</v>
      </c>
      <c r="E193" s="11">
        <f t="shared" si="14"/>
        <v>5.0794620535714286E-4</v>
      </c>
      <c r="F193" s="11">
        <f>E193/Calculation!K$18*1000</f>
        <v>6.1142634191730879E-4</v>
      </c>
      <c r="G193" s="11">
        <f t="shared" si="15"/>
        <v>98.816729612412871</v>
      </c>
    </row>
    <row r="194" spans="1:7">
      <c r="A194" s="33">
        <v>44.5</v>
      </c>
      <c r="B194" s="82">
        <v>0</v>
      </c>
      <c r="C194" s="34">
        <f t="shared" si="12"/>
        <v>0</v>
      </c>
      <c r="D194" s="11">
        <f t="shared" si="13"/>
        <v>0</v>
      </c>
      <c r="E194" s="11">
        <f t="shared" si="14"/>
        <v>0</v>
      </c>
      <c r="F194" s="11">
        <f>E194/Calculation!K$18*1000</f>
        <v>0</v>
      </c>
      <c r="G194" s="11">
        <f t="shared" si="15"/>
        <v>98.825901007541631</v>
      </c>
    </row>
    <row r="195" spans="1:7">
      <c r="A195" s="33">
        <v>45</v>
      </c>
      <c r="B195" s="82">
        <v>160.72</v>
      </c>
      <c r="C195" s="34">
        <f t="shared" si="12"/>
        <v>0.16072</v>
      </c>
      <c r="D195" s="11">
        <f t="shared" si="13"/>
        <v>1.1330759999999999E-2</v>
      </c>
      <c r="E195" s="11">
        <f t="shared" si="14"/>
        <v>5.0583749999999993E-4</v>
      </c>
      <c r="F195" s="11">
        <f>E195/Calculation!K$18*1000</f>
        <v>6.0888804556013295E-4</v>
      </c>
      <c r="G195" s="11">
        <f t="shared" si="15"/>
        <v>98.835034328225035</v>
      </c>
    </row>
    <row r="196" spans="1:7">
      <c r="A196" s="33">
        <v>45.5</v>
      </c>
      <c r="B196" s="82">
        <v>145.83000000000001</v>
      </c>
      <c r="C196" s="34">
        <f t="shared" si="12"/>
        <v>0.14583000000000002</v>
      </c>
      <c r="D196" s="11">
        <f t="shared" si="13"/>
        <v>1.0281015000000001E-2</v>
      </c>
      <c r="E196" s="11">
        <f t="shared" si="14"/>
        <v>4.589738839285715E-4</v>
      </c>
      <c r="F196" s="11">
        <f>E196/Calculation!K$18*1000</f>
        <v>5.5247725039842097E-4</v>
      </c>
      <c r="G196" s="11">
        <f t="shared" si="15"/>
        <v>98.852454807664415</v>
      </c>
    </row>
    <row r="197" spans="1:7">
      <c r="A197" s="33">
        <v>46</v>
      </c>
      <c r="B197" s="82">
        <v>0</v>
      </c>
      <c r="C197" s="34">
        <f t="shared" si="12"/>
        <v>0</v>
      </c>
      <c r="D197" s="11">
        <f t="shared" si="13"/>
        <v>0</v>
      </c>
      <c r="E197" s="11">
        <f t="shared" si="14"/>
        <v>0</v>
      </c>
      <c r="F197" s="11">
        <f>E197/Calculation!K$18*1000</f>
        <v>0</v>
      </c>
      <c r="G197" s="11">
        <f t="shared" si="15"/>
        <v>98.860741966420392</v>
      </c>
    </row>
    <row r="198" spans="1:7">
      <c r="A198" s="33">
        <v>46.5</v>
      </c>
      <c r="B198" s="82">
        <v>0</v>
      </c>
      <c r="C198" s="34">
        <f t="shared" si="12"/>
        <v>0</v>
      </c>
      <c r="D198" s="11">
        <f t="shared" si="13"/>
        <v>0</v>
      </c>
      <c r="E198" s="11">
        <f t="shared" si="14"/>
        <v>0</v>
      </c>
      <c r="F198" s="11">
        <f>E198/Calculation!K$18*1000</f>
        <v>0</v>
      </c>
      <c r="G198" s="11">
        <f t="shared" si="15"/>
        <v>98.860741966420392</v>
      </c>
    </row>
    <row r="199" spans="1:7">
      <c r="A199" s="33">
        <v>47</v>
      </c>
      <c r="B199" s="82">
        <v>0</v>
      </c>
      <c r="C199" s="34">
        <f t="shared" si="12"/>
        <v>0</v>
      </c>
      <c r="D199" s="11">
        <f t="shared" si="13"/>
        <v>0</v>
      </c>
      <c r="E199" s="11">
        <f t="shared" si="14"/>
        <v>0</v>
      </c>
      <c r="F199" s="11">
        <f>E199/Calculation!K$18*1000</f>
        <v>0</v>
      </c>
      <c r="G199" s="11">
        <f t="shared" si="15"/>
        <v>98.860741966420392</v>
      </c>
    </row>
    <row r="200" spans="1:7">
      <c r="A200" s="33">
        <v>47.5</v>
      </c>
      <c r="B200" s="82">
        <v>0</v>
      </c>
      <c r="C200" s="34">
        <f t="shared" si="12"/>
        <v>0</v>
      </c>
      <c r="D200" s="11">
        <f t="shared" si="13"/>
        <v>0</v>
      </c>
      <c r="E200" s="11">
        <f t="shared" si="14"/>
        <v>0</v>
      </c>
      <c r="F200" s="11">
        <f>E200/Calculation!K$18*1000</f>
        <v>0</v>
      </c>
      <c r="G200" s="11">
        <f t="shared" si="15"/>
        <v>98.860741966420392</v>
      </c>
    </row>
    <row r="201" spans="1:7">
      <c r="A201" s="33">
        <v>48</v>
      </c>
      <c r="B201" s="82">
        <v>0</v>
      </c>
      <c r="C201" s="34">
        <f t="shared" si="12"/>
        <v>0</v>
      </c>
      <c r="D201" s="11">
        <f t="shared" si="13"/>
        <v>0</v>
      </c>
      <c r="E201" s="11">
        <f t="shared" si="14"/>
        <v>0</v>
      </c>
      <c r="F201" s="11">
        <f>E201/Calculation!K$19*1000</f>
        <v>0</v>
      </c>
      <c r="G201" s="11">
        <f t="shared" si="15"/>
        <v>98.860741966420392</v>
      </c>
    </row>
  </sheetData>
  <mergeCells count="6">
    <mergeCell ref="D103:F103"/>
    <mergeCell ref="A3:A4"/>
    <mergeCell ref="B3:C3"/>
    <mergeCell ref="D3:F3"/>
    <mergeCell ref="A103:A104"/>
    <mergeCell ref="B103:C10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J23" sqref="J23:K39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94" t="s">
        <v>40</v>
      </c>
      <c r="B1" s="94"/>
      <c r="D1" s="105" t="s">
        <v>4</v>
      </c>
      <c r="E1" s="105" t="s">
        <v>5</v>
      </c>
      <c r="F1" s="94" t="s">
        <v>150</v>
      </c>
      <c r="G1" s="94"/>
      <c r="H1" s="94"/>
      <c r="I1" s="94"/>
      <c r="J1" s="94" t="s">
        <v>41</v>
      </c>
      <c r="K1" s="94"/>
      <c r="L1" s="94"/>
      <c r="M1" s="94"/>
      <c r="N1" s="85" t="s">
        <v>42</v>
      </c>
      <c r="O1" s="86"/>
      <c r="P1" s="86"/>
      <c r="Q1" s="87"/>
      <c r="R1" s="94" t="s">
        <v>64</v>
      </c>
      <c r="S1" s="94"/>
      <c r="T1" s="94"/>
      <c r="U1" s="94"/>
    </row>
    <row r="2" spans="1:21">
      <c r="A2" s="94" t="s">
        <v>34</v>
      </c>
      <c r="B2" s="94"/>
      <c r="D2" s="105"/>
      <c r="E2" s="105"/>
      <c r="F2" s="13" t="s">
        <v>47</v>
      </c>
      <c r="G2" s="13" t="s">
        <v>23</v>
      </c>
      <c r="H2" s="13" t="s">
        <v>47</v>
      </c>
      <c r="I2" s="13" t="s">
        <v>23</v>
      </c>
      <c r="J2" s="13" t="s">
        <v>47</v>
      </c>
      <c r="K2" s="13" t="s">
        <v>23</v>
      </c>
      <c r="L2" s="13" t="s">
        <v>47</v>
      </c>
      <c r="M2" s="13" t="s">
        <v>23</v>
      </c>
      <c r="N2" s="13" t="s">
        <v>47</v>
      </c>
      <c r="O2" s="13" t="s">
        <v>23</v>
      </c>
      <c r="P2" s="13" t="s">
        <v>47</v>
      </c>
      <c r="Q2" s="13" t="s">
        <v>23</v>
      </c>
      <c r="R2" s="13" t="s">
        <v>47</v>
      </c>
      <c r="S2" s="13" t="s">
        <v>23</v>
      </c>
      <c r="T2" s="13" t="s">
        <v>47</v>
      </c>
      <c r="U2" s="13" t="s">
        <v>23</v>
      </c>
    </row>
    <row r="3" spans="1:21">
      <c r="A3" s="94" t="s">
        <v>35</v>
      </c>
      <c r="B3" s="13" t="s">
        <v>37</v>
      </c>
      <c r="D3" s="15">
        <v>0</v>
      </c>
      <c r="E3" s="65">
        <v>-0.16666666666666666</v>
      </c>
      <c r="F3" s="76">
        <v>83.292628774422738</v>
      </c>
      <c r="G3" s="67">
        <v>0.45107126229817923</v>
      </c>
      <c r="H3" s="12">
        <f>F3*Calculation!I3/Calculation!F21</f>
        <v>83.292628774422738</v>
      </c>
      <c r="I3" s="12">
        <f>G3*Calculation!I3/Calculation!F21</f>
        <v>0.45107126229817923</v>
      </c>
      <c r="J3" s="12">
        <v>0.57726465364120794</v>
      </c>
      <c r="K3" s="12">
        <v>3.8455834981546998E-2</v>
      </c>
      <c r="L3" s="12">
        <f>J3*Calculation!I3/Calculation!F21</f>
        <v>0.57726465364120794</v>
      </c>
      <c r="M3" s="12">
        <f>K3*Calculation!I3/Calculation!F21</f>
        <v>3.8455834981546998E-2</v>
      </c>
      <c r="N3" s="12">
        <v>84.185401054676646</v>
      </c>
      <c r="O3" s="12">
        <v>0.33361041801424851</v>
      </c>
      <c r="P3" s="12">
        <f>N3*Calculation!I3/Calculation!F21</f>
        <v>84.185401054676646</v>
      </c>
      <c r="Q3" s="12">
        <f>O3*Calculation!I3/Calculation!F21</f>
        <v>0.33361041801424851</v>
      </c>
      <c r="R3" s="12">
        <v>0</v>
      </c>
      <c r="S3" s="12">
        <v>0</v>
      </c>
      <c r="T3" s="12">
        <f>R3*Calculation!I3/Calculation!F21</f>
        <v>0</v>
      </c>
      <c r="U3" s="12">
        <f>S3*Calculation!I3/Calculation!F21</f>
        <v>0</v>
      </c>
    </row>
    <row r="4" spans="1:21">
      <c r="A4" s="94"/>
      <c r="B4" s="13" t="s">
        <v>38</v>
      </c>
      <c r="D4" s="15">
        <v>0</v>
      </c>
      <c r="E4" s="65">
        <v>0.16666666666666666</v>
      </c>
      <c r="F4" s="77">
        <v>80.735642391947891</v>
      </c>
      <c r="G4" s="78">
        <v>0.12177681077489848</v>
      </c>
      <c r="H4" s="12">
        <f>F4*Calculation!I4/Calculation!K3</f>
        <v>80.788445297371013</v>
      </c>
      <c r="I4" s="12">
        <f>G4*Calculation!I4/Calculation!K3</f>
        <v>0.12185645551706649</v>
      </c>
      <c r="J4" s="12">
        <v>0.79928952042628776</v>
      </c>
      <c r="K4" s="12">
        <v>6.6607460035523966E-2</v>
      </c>
      <c r="L4" s="12">
        <f>J4*Calculation!I4/Calculation!K3</f>
        <v>0.79981227354625262</v>
      </c>
      <c r="M4" s="12">
        <f>K4*Calculation!I4/Calculation!K3</f>
        <v>6.6651022795521042E-2</v>
      </c>
      <c r="N4" s="12">
        <v>80.333055786844284</v>
      </c>
      <c r="O4" s="12">
        <v>0.1526253353857043</v>
      </c>
      <c r="P4" s="12">
        <f>N4*Calculation!I4/Calculation!K3</f>
        <v>80.385595391675437</v>
      </c>
      <c r="Q4" s="12">
        <f>O4*Calculation!I4/Calculation!K3</f>
        <v>0.15272515574893891</v>
      </c>
      <c r="R4" s="12">
        <v>0</v>
      </c>
      <c r="S4" s="12">
        <v>0</v>
      </c>
      <c r="T4" s="12">
        <f>R4*Calculation!I4/Calculation!K3</f>
        <v>0</v>
      </c>
      <c r="U4" s="12">
        <f>S4*Calculation!I4/Calculation!K3</f>
        <v>0</v>
      </c>
    </row>
    <row r="5" spans="1:21">
      <c r="A5" s="14" t="s">
        <v>39</v>
      </c>
      <c r="B5" s="14">
        <v>180.16</v>
      </c>
      <c r="D5" s="15">
        <v>1</v>
      </c>
      <c r="E5" s="65">
        <v>2</v>
      </c>
      <c r="F5" s="77">
        <v>80.147276494967429</v>
      </c>
      <c r="G5" s="78">
        <v>0.73573136031575159</v>
      </c>
      <c r="H5" s="12">
        <f>F5*Calculation!I5/Calculation!K4</f>
        <v>80.199694596010573</v>
      </c>
      <c r="I5" s="12">
        <f>G5*Calculation!I5/Calculation!K4</f>
        <v>0.73621254498567679</v>
      </c>
      <c r="J5" s="12">
        <v>0.85109532267613963</v>
      </c>
      <c r="K5" s="12">
        <v>2.5637223321031362E-2</v>
      </c>
      <c r="L5" s="12">
        <f>J5*Calculation!I5/Calculation!K4</f>
        <v>0.85165195794276893</v>
      </c>
      <c r="M5" s="12">
        <f>K5*Calculation!I5/Calculation!K4</f>
        <v>2.5653990635171996E-2</v>
      </c>
      <c r="N5" s="12">
        <v>79.866777685262292</v>
      </c>
      <c r="O5" s="12">
        <v>0.57783019393496604</v>
      </c>
      <c r="P5" s="12">
        <f>N5*Calculation!I5/Calculation!K4</f>
        <v>79.91901233384651</v>
      </c>
      <c r="Q5" s="12">
        <f>O5*Calculation!I5/Calculation!K4</f>
        <v>0.57820810773086861</v>
      </c>
      <c r="R5" s="12">
        <v>0</v>
      </c>
      <c r="S5" s="12">
        <v>0</v>
      </c>
      <c r="T5" s="12">
        <f>R5*Calculation!I5/Calculation!K4</f>
        <v>0</v>
      </c>
      <c r="U5" s="12">
        <f>S5*Calculation!I5/Calculation!K4</f>
        <v>0</v>
      </c>
    </row>
    <row r="6" spans="1:21">
      <c r="A6" s="14" t="s">
        <v>39</v>
      </c>
      <c r="B6" s="14">
        <v>180.16</v>
      </c>
      <c r="D6" s="15">
        <v>2</v>
      </c>
      <c r="E6" s="65">
        <v>3.3333333333333335</v>
      </c>
      <c r="F6" s="77">
        <v>80.74674363528716</v>
      </c>
      <c r="G6" s="78">
        <v>0.31248241760725104</v>
      </c>
      <c r="H6" s="12">
        <f>F6*Calculation!I6/Calculation!K5</f>
        <v>80.85562566362772</v>
      </c>
      <c r="I6" s="12">
        <f>G6*Calculation!I6/Calculation!K5</f>
        <v>0.31290378097025567</v>
      </c>
      <c r="J6" s="12">
        <v>0.88069863824748373</v>
      </c>
      <c r="K6" s="12">
        <v>3.3914858606837212E-2</v>
      </c>
      <c r="L6" s="12">
        <f>J6*Calculation!I6/Calculation!K5</f>
        <v>0.88188620631242365</v>
      </c>
      <c r="M6" s="12">
        <f>K6*Calculation!I6/Calculation!K5</f>
        <v>3.396059071230359E-2</v>
      </c>
      <c r="N6" s="12">
        <v>80.410768803774644</v>
      </c>
      <c r="O6" s="12">
        <v>0.24549924382454139</v>
      </c>
      <c r="P6" s="12">
        <f>N6*Calculation!I6/Calculation!K5</f>
        <v>80.519197790673786</v>
      </c>
      <c r="Q6" s="12">
        <f>O6*Calculation!I6/Calculation!K5</f>
        <v>0.24583028448847732</v>
      </c>
      <c r="R6" s="12">
        <v>0</v>
      </c>
      <c r="S6" s="12">
        <v>0</v>
      </c>
      <c r="T6" s="12">
        <f>R6*Calculation!I6/Calculation!K5</f>
        <v>0</v>
      </c>
      <c r="U6" s="12">
        <f>S6*Calculation!I6/Calculation!K5</f>
        <v>0</v>
      </c>
    </row>
    <row r="7" spans="1:21">
      <c r="A7" s="31" t="s">
        <v>102</v>
      </c>
      <c r="B7" s="31">
        <v>46.03</v>
      </c>
      <c r="D7" s="15">
        <v>3</v>
      </c>
      <c r="E7" s="65">
        <v>4.666666666666667</v>
      </c>
      <c r="F7" s="77">
        <v>79.514505624629948</v>
      </c>
      <c r="G7" s="78">
        <v>0.66276685094174137</v>
      </c>
      <c r="H7" s="12">
        <f>F7*Calculation!I7/Calculation!K6</f>
        <v>79.678720848803906</v>
      </c>
      <c r="I7" s="12">
        <f>G7*Calculation!I7/Calculation!K6</f>
        <v>0.66413561260538367</v>
      </c>
      <c r="J7" s="12">
        <v>0.79188869153345176</v>
      </c>
      <c r="K7" s="12">
        <v>5.5875032824679878E-2</v>
      </c>
      <c r="L7" s="12">
        <f>J7*Calculation!I7/Calculation!K6</f>
        <v>0.79352411865432049</v>
      </c>
      <c r="M7" s="12">
        <f>K7*Calculation!I7/Calculation!K6</f>
        <v>5.5990427254525771E-2</v>
      </c>
      <c r="N7" s="12">
        <v>79.322786566749926</v>
      </c>
      <c r="O7" s="12">
        <v>0.78132171234694925</v>
      </c>
      <c r="P7" s="12">
        <f>N7*Calculation!I7/Calculation!K6</f>
        <v>79.486605848223604</v>
      </c>
      <c r="Q7" s="12">
        <f>O7*Calculation!I7/Calculation!K6</f>
        <v>0.78293531629426838</v>
      </c>
      <c r="R7" s="12">
        <v>0</v>
      </c>
      <c r="S7" s="12">
        <v>0</v>
      </c>
      <c r="T7" s="12">
        <f>R7*Calculation!I7/Calculation!K6</f>
        <v>0</v>
      </c>
      <c r="U7" s="12">
        <f>S7*Calculation!I7/Calculation!K6</f>
        <v>0</v>
      </c>
    </row>
    <row r="8" spans="1:21">
      <c r="A8" s="14" t="s">
        <v>42</v>
      </c>
      <c r="B8" s="14">
        <v>60.05</v>
      </c>
      <c r="D8" s="15">
        <v>4</v>
      </c>
      <c r="E8" s="65">
        <v>6</v>
      </c>
      <c r="F8" s="77">
        <v>78.84103019538189</v>
      </c>
      <c r="G8" s="78">
        <v>0.43691537864463875</v>
      </c>
      <c r="H8" s="12">
        <f>F8*Calculation!I8/Calculation!K7</f>
        <v>79.121070943682867</v>
      </c>
      <c r="I8" s="12">
        <f>G8*Calculation!I8/Calculation!K7</f>
        <v>0.43846728771123311</v>
      </c>
      <c r="J8" s="12">
        <v>0.83629366489046775</v>
      </c>
      <c r="K8" s="12">
        <v>2.5637223321031362E-2</v>
      </c>
      <c r="L8" s="12">
        <f>J8*Calculation!I8/Calculation!K7</f>
        <v>0.83926415250503739</v>
      </c>
      <c r="M8" s="12">
        <f>K8*Calculation!I8/Calculation!K7</f>
        <v>2.5728285895751518E-2</v>
      </c>
      <c r="N8" s="12">
        <v>79.078545656397466</v>
      </c>
      <c r="O8" s="12">
        <v>0.50875111795235262</v>
      </c>
      <c r="P8" s="12">
        <f>N8*Calculation!I8/Calculation!K7</f>
        <v>79.359430051810506</v>
      </c>
      <c r="Q8" s="12">
        <f>O8*Calculation!I8/Calculation!K7</f>
        <v>0.5105581852042298</v>
      </c>
      <c r="R8" s="12">
        <v>0</v>
      </c>
      <c r="S8" s="12">
        <v>0</v>
      </c>
      <c r="T8" s="12">
        <f>R8*Calculation!I8/Calculation!K7</f>
        <v>0</v>
      </c>
      <c r="U8" s="12">
        <f>S8*Calculation!I8/Calculation!K7</f>
        <v>0</v>
      </c>
    </row>
    <row r="9" spans="1:21">
      <c r="A9" s="31" t="s">
        <v>66</v>
      </c>
      <c r="B9" s="31">
        <v>74.08</v>
      </c>
      <c r="D9" s="15">
        <v>5</v>
      </c>
      <c r="E9" s="65">
        <v>7.333333333333333</v>
      </c>
      <c r="F9" s="77">
        <v>77.01672587329783</v>
      </c>
      <c r="G9" s="78">
        <v>0.22867842740497624</v>
      </c>
      <c r="H9" s="12">
        <f>F9*Calculation!I9/Calculation!K8</f>
        <v>77.4681018294837</v>
      </c>
      <c r="I9" s="12">
        <f>G9*Calculation!I9/Calculation!K8</f>
        <v>0.23001865503291788</v>
      </c>
      <c r="J9" s="12">
        <v>0.85849615156897574</v>
      </c>
      <c r="K9" s="12">
        <v>3.3914858606837212E-2</v>
      </c>
      <c r="L9" s="12">
        <f>J9*Calculation!I9/Calculation!K8</f>
        <v>0.8635275848959888</v>
      </c>
      <c r="M9" s="12">
        <f>K9*Calculation!I9/Calculation!K8</f>
        <v>3.4113625193692043E-2</v>
      </c>
      <c r="N9" s="12">
        <v>78.556758257008042</v>
      </c>
      <c r="O9" s="12">
        <v>0.19228984818972158</v>
      </c>
      <c r="P9" s="12">
        <f>N9*Calculation!I9/Calculation!K8</f>
        <v>79.017159961586515</v>
      </c>
      <c r="Q9" s="12">
        <f>O9*Calculation!I9/Calculation!K8</f>
        <v>0.19341681136697039</v>
      </c>
      <c r="R9" s="12">
        <v>0</v>
      </c>
      <c r="S9" s="12">
        <v>0</v>
      </c>
      <c r="T9" s="12">
        <f>R9*Calculation!I9/Calculation!K8</f>
        <v>0</v>
      </c>
      <c r="U9" s="12">
        <f>S9*Calculation!I9/Calculation!K8</f>
        <v>0</v>
      </c>
    </row>
    <row r="10" spans="1:21">
      <c r="A10" s="31" t="s">
        <v>65</v>
      </c>
      <c r="B10" s="31">
        <v>88.11</v>
      </c>
      <c r="D10" s="15">
        <v>6</v>
      </c>
      <c r="E10" s="65">
        <v>10.333333333333334</v>
      </c>
      <c r="F10" s="77">
        <v>65.138395500296042</v>
      </c>
      <c r="G10" s="78">
        <v>0.21706645020814919</v>
      </c>
      <c r="H10" s="12">
        <f>F10*Calculation!I10/Calculation!K9</f>
        <v>66.299538797051952</v>
      </c>
      <c r="I10" s="12">
        <f>G10*Calculation!I10/Calculation!K9</f>
        <v>0.22093583095776631</v>
      </c>
      <c r="J10" s="12">
        <v>0.85109532267613963</v>
      </c>
      <c r="K10" s="12">
        <v>2.5637223321031362E-2</v>
      </c>
      <c r="L10" s="12">
        <f>J10*Calculation!I10/Calculation!K9</f>
        <v>0.86626676835323202</v>
      </c>
      <c r="M10" s="12">
        <f>K10*Calculation!I10/Calculation!K9</f>
        <v>2.6094227055587803E-2</v>
      </c>
      <c r="N10" s="12">
        <v>73.572023313905063</v>
      </c>
      <c r="O10" s="12">
        <v>0.26435483541028548</v>
      </c>
      <c r="P10" s="12">
        <f>N10*Calculation!I10/Calculation!K9</f>
        <v>74.883502680929425</v>
      </c>
      <c r="Q10" s="12">
        <f>O10*Calculation!I10/Calculation!K9</f>
        <v>0.26906716893867688</v>
      </c>
      <c r="R10" s="12">
        <v>1.2310811789412701</v>
      </c>
      <c r="S10" s="12">
        <v>9.0448229392402046E-2</v>
      </c>
      <c r="T10" s="12">
        <f>R10*Calculation!I10/Calculation!K9</f>
        <v>1.2530261723312826</v>
      </c>
      <c r="U10" s="12">
        <f>S10*Calculation!I10/Calculation!K9</f>
        <v>9.206054044881963E-2</v>
      </c>
    </row>
    <row r="11" spans="1:21">
      <c r="A11" s="14" t="s">
        <v>41</v>
      </c>
      <c r="B11" s="14">
        <v>90.08</v>
      </c>
      <c r="D11" s="15">
        <v>7</v>
      </c>
      <c r="E11" s="65">
        <v>11.666666666666666</v>
      </c>
      <c r="F11" s="77">
        <v>56.923475429248079</v>
      </c>
      <c r="G11" s="78">
        <v>6.3124341730432701E-2</v>
      </c>
      <c r="H11" s="12">
        <f>F11*Calculation!I11/Calculation!K10</f>
        <v>58.362119205722372</v>
      </c>
      <c r="I11" s="12">
        <f>G11*Calculation!I11/Calculation!K10</f>
        <v>6.4719701829051388E-2</v>
      </c>
      <c r="J11" s="12">
        <v>0.91030195381882772</v>
      </c>
      <c r="K11" s="12">
        <v>0</v>
      </c>
      <c r="L11" s="12">
        <f>J11*Calculation!I11/Calculation!K10</f>
        <v>0.93330828346926509</v>
      </c>
      <c r="M11" s="12">
        <f>K11*Calculation!I11/Calculation!K10</f>
        <v>0</v>
      </c>
      <c r="N11" s="12">
        <v>70.019428254232594</v>
      </c>
      <c r="O11" s="12">
        <v>6.9331090739921816E-2</v>
      </c>
      <c r="P11" s="12">
        <f>N11*Calculation!I11/Calculation!K10</f>
        <v>71.789049907349053</v>
      </c>
      <c r="Q11" s="12">
        <f>O11*Calculation!I11/Calculation!K10</f>
        <v>7.1083315836106192E-2</v>
      </c>
      <c r="R11" s="12">
        <v>2.8532116735462383</v>
      </c>
      <c r="S11" s="12">
        <v>2.5085825296094995E-2</v>
      </c>
      <c r="T11" s="12">
        <f>R11*Calculation!I11/Calculation!K10</f>
        <v>2.9253217333442039</v>
      </c>
      <c r="U11" s="12">
        <f>S11*Calculation!I11/Calculation!K10</f>
        <v>2.5719826754505688E-2</v>
      </c>
    </row>
    <row r="12" spans="1:21">
      <c r="A12" s="14" t="s">
        <v>43</v>
      </c>
      <c r="B12" s="14">
        <v>46.07</v>
      </c>
      <c r="D12" s="15">
        <v>8</v>
      </c>
      <c r="E12" s="65">
        <v>13</v>
      </c>
      <c r="F12" s="77">
        <v>49.419034931912378</v>
      </c>
      <c r="G12" s="78">
        <v>0.40092756751870323</v>
      </c>
      <c r="H12" s="12">
        <f>F12*Calculation!I12/Calculation!K11</f>
        <v>51.007216883544707</v>
      </c>
      <c r="I12" s="12">
        <f>G12*Calculation!I12/Calculation!K11</f>
        <v>0.41381219643795147</v>
      </c>
      <c r="J12" s="12">
        <v>1.1767317939609236</v>
      </c>
      <c r="K12" s="12">
        <v>0</v>
      </c>
      <c r="L12" s="12">
        <f>J12*Calculation!I12/Calculation!K11</f>
        <v>1.214548481390282</v>
      </c>
      <c r="M12" s="12">
        <f>K12*Calculation!I12/Calculation!K11</f>
        <v>0</v>
      </c>
      <c r="N12" s="12">
        <v>67.110741049125735</v>
      </c>
      <c r="O12" s="12">
        <v>0.54523582160682404</v>
      </c>
      <c r="P12" s="12">
        <f>N12*Calculation!I12/Calculation!K11</f>
        <v>69.267482228748932</v>
      </c>
      <c r="Q12" s="12">
        <f>O12*Calculation!I12/Calculation!K11</f>
        <v>0.56275809197192594</v>
      </c>
      <c r="R12" s="12">
        <v>4.6636251719892829</v>
      </c>
      <c r="S12" s="12">
        <v>0.1808964587848042</v>
      </c>
      <c r="T12" s="12">
        <f>R12*Calculation!I12/Calculation!K11</f>
        <v>4.8135003230831126</v>
      </c>
      <c r="U12" s="12">
        <f>S12*Calculation!I12/Calculation!K11</f>
        <v>0.18670993716114348</v>
      </c>
    </row>
    <row r="13" spans="1:21">
      <c r="D13" s="15">
        <v>9</v>
      </c>
      <c r="E13" s="65">
        <v>14.333333333333334</v>
      </c>
      <c r="F13" s="77">
        <v>41.111604499703965</v>
      </c>
      <c r="G13" s="78">
        <v>0.23558013680279877</v>
      </c>
      <c r="H13" s="12">
        <f>F13*Calculation!I13/Calculation!K12</f>
        <v>42.726462817126894</v>
      </c>
      <c r="I13" s="12">
        <f>G13*Calculation!I13/Calculation!K12</f>
        <v>0.24483369301801217</v>
      </c>
      <c r="J13" s="12">
        <v>1.6725873297809355</v>
      </c>
      <c r="K13" s="12">
        <v>1.2818611660515681E-2</v>
      </c>
      <c r="L13" s="12">
        <f>J13*Calculation!I13/Calculation!K12</f>
        <v>1.7382863360343257</v>
      </c>
      <c r="M13" s="12">
        <f>K13*Calculation!I13/Calculation!K12</f>
        <v>1.3322125009354873E-2</v>
      </c>
      <c r="N13" s="12">
        <v>63.613655287260627</v>
      </c>
      <c r="O13" s="12">
        <v>0.38409867092991795</v>
      </c>
      <c r="P13" s="12">
        <f>N13*Calculation!I13/Calculation!K12</f>
        <v>66.112391145235904</v>
      </c>
      <c r="Q13" s="12">
        <f>O13*Calculation!I13/Calculation!K12</f>
        <v>0.39918601527004793</v>
      </c>
      <c r="R13" s="12">
        <v>6.3147222825693374</v>
      </c>
      <c r="S13" s="12">
        <v>5.017165059218999E-2</v>
      </c>
      <c r="T13" s="12">
        <f>R13*Calculation!I13/Calculation!K12</f>
        <v>6.5627637279061757</v>
      </c>
      <c r="U13" s="12">
        <f>S13*Calculation!I13/Calculation!K12</f>
        <v>5.2142386306438714E-2</v>
      </c>
    </row>
    <row r="14" spans="1:21">
      <c r="D14" s="15">
        <v>10</v>
      </c>
      <c r="E14" s="65">
        <v>15.666666666666666</v>
      </c>
      <c r="F14" s="77">
        <v>31.64964476021315</v>
      </c>
      <c r="G14" s="78">
        <v>8.8113387357833625E-2</v>
      </c>
      <c r="H14" s="12">
        <f>F14*Calculation!I14/Calculation!K13</f>
        <v>33.129904069779116</v>
      </c>
      <c r="I14" s="12">
        <f>G14*Calculation!I14/Calculation!K13</f>
        <v>9.22344655854727E-2</v>
      </c>
      <c r="J14" s="12">
        <v>3.3969804618117232</v>
      </c>
      <c r="K14" s="12">
        <v>0</v>
      </c>
      <c r="L14" s="12">
        <f>J14*Calculation!I14/Calculation!K13</f>
        <v>3.5558578201867448</v>
      </c>
      <c r="M14" s="12">
        <f>K14*Calculation!I14/Calculation!K13</f>
        <v>0</v>
      </c>
      <c r="N14" s="12">
        <v>61.215653621981687</v>
      </c>
      <c r="O14" s="12">
        <v>0.1332223147377187</v>
      </c>
      <c r="P14" s="12">
        <f>N14*Calculation!I14/Calculation!K13</f>
        <v>64.078720233048884</v>
      </c>
      <c r="Q14" s="12">
        <f>O14*Calculation!I14/Calculation!K13</f>
        <v>0.1394531452297039</v>
      </c>
      <c r="R14" s="12">
        <v>8.0672025490622055</v>
      </c>
      <c r="S14" s="12">
        <v>0.13967196409577759</v>
      </c>
      <c r="T14" s="12">
        <f>R14*Calculation!I14/Calculation!K13</f>
        <v>8.4445069948427598</v>
      </c>
      <c r="U14" s="12">
        <f>S14*Calculation!I14/Calculation!K13</f>
        <v>0.14620444579358308</v>
      </c>
    </row>
    <row r="15" spans="1:21">
      <c r="D15" s="15">
        <v>11</v>
      </c>
      <c r="E15" s="65">
        <v>17</v>
      </c>
      <c r="F15" s="77">
        <v>22.9647720544701</v>
      </c>
      <c r="G15" s="78">
        <v>8.9730281623609576E-2</v>
      </c>
      <c r="H15" s="12">
        <f>F15*Calculation!I15/Calculation!K14</f>
        <v>24.218568011912417</v>
      </c>
      <c r="I15" s="12">
        <f>G15*Calculation!I15/Calculation!K14</f>
        <v>9.4629240084551217E-2</v>
      </c>
      <c r="J15" s="12">
        <v>5.6246299585553583</v>
      </c>
      <c r="K15" s="12">
        <v>5.5875032824679961E-2</v>
      </c>
      <c r="L15" s="12">
        <f>J15*Calculation!I15/Calculation!K14</f>
        <v>5.9317150141970476</v>
      </c>
      <c r="M15" s="12">
        <f>K15*Calculation!I15/Calculation!K14</f>
        <v>5.8925613518943987E-2</v>
      </c>
      <c r="N15" s="12">
        <v>60.738273660838196</v>
      </c>
      <c r="O15" s="12">
        <v>0.23393069670502914</v>
      </c>
      <c r="P15" s="12">
        <f>N15*Calculation!I15/Calculation!K14</f>
        <v>64.054370236817959</v>
      </c>
      <c r="Q15" s="12">
        <f>O15*Calculation!I15/Calculation!K14</f>
        <v>0.24670249174635372</v>
      </c>
      <c r="R15" s="12">
        <v>9.5300166558041859</v>
      </c>
      <c r="S15" s="12">
        <v>5.017165059218999E-2</v>
      </c>
      <c r="T15" s="12">
        <f>R15*Calculation!I15/Calculation!K14</f>
        <v>10.050322118844019</v>
      </c>
      <c r="U15" s="12">
        <f>S15*Calculation!I15/Calculation!K14</f>
        <v>5.2910846633042997E-2</v>
      </c>
    </row>
    <row r="16" spans="1:21">
      <c r="D16" s="15">
        <v>12</v>
      </c>
      <c r="E16" s="65">
        <v>18.333333333333332</v>
      </c>
      <c r="F16" s="77">
        <v>14.568531675547661</v>
      </c>
      <c r="G16" s="78">
        <v>2.7937516412339328E-2</v>
      </c>
      <c r="H16" s="12">
        <f>F16*Calculation!I16/Calculation!K15</f>
        <v>15.467732661909549</v>
      </c>
      <c r="I16" s="12">
        <f>G16*Calculation!I16/Calculation!K15</f>
        <v>2.9661879778116382E-2</v>
      </c>
      <c r="J16" s="12">
        <v>7.5858496151568993</v>
      </c>
      <c r="K16" s="12">
        <v>2.5637223321031362E-2</v>
      </c>
      <c r="L16" s="12">
        <f>J16*Calculation!I16/Calculation!K15</f>
        <v>8.0540645051853161</v>
      </c>
      <c r="M16" s="12">
        <f>K16*Calculation!I16/Calculation!K15</f>
        <v>2.7219607669108421E-2</v>
      </c>
      <c r="N16" s="12">
        <v>60.960310852067721</v>
      </c>
      <c r="O16" s="12">
        <v>0.16429251831194969</v>
      </c>
      <c r="P16" s="12">
        <f>N16*Calculation!I16/Calculation!K15</f>
        <v>64.722911838075873</v>
      </c>
      <c r="Q16" s="12">
        <f>O16*Calculation!I16/Calculation!K15</f>
        <v>0.17443300451935126</v>
      </c>
      <c r="R16" s="12">
        <v>10.645231370845101</v>
      </c>
      <c r="S16" s="12">
        <v>4.34499239626331E-2</v>
      </c>
      <c r="T16" s="12">
        <f>R16*Calculation!I16/Calculation!K15</f>
        <v>11.30227785719628</v>
      </c>
      <c r="U16" s="12">
        <f>S16*Calculation!I16/Calculation!K15</f>
        <v>4.6131746355903218E-2</v>
      </c>
    </row>
    <row r="17" spans="4:21">
      <c r="D17" s="15">
        <v>13</v>
      </c>
      <c r="E17" s="65">
        <v>24</v>
      </c>
      <c r="F17" s="77">
        <v>0</v>
      </c>
      <c r="G17" s="78">
        <v>0</v>
      </c>
      <c r="H17" s="12">
        <f>F17*Calculation!I17/Calculation!K16</f>
        <v>0</v>
      </c>
      <c r="I17" s="12">
        <f>G17*Calculation!I17/Calculation!K16</f>
        <v>0</v>
      </c>
      <c r="J17" s="12">
        <v>10.775606867969213</v>
      </c>
      <c r="K17" s="12">
        <v>1.2818611660515681E-2</v>
      </c>
      <c r="L17" s="12">
        <f>J17*Calculation!I17/Calculation!K16</f>
        <v>11.636366311689518</v>
      </c>
      <c r="M17" s="12">
        <f>K17*Calculation!I17/Calculation!K16</f>
        <v>1.3842567079209564E-2</v>
      </c>
      <c r="N17" s="12">
        <v>64.113238967527067</v>
      </c>
      <c r="O17" s="12">
        <v>0.12008497170570961</v>
      </c>
      <c r="P17" s="12">
        <f>N17*Calculation!I17/Calculation!K16</f>
        <v>69.234628099942213</v>
      </c>
      <c r="Q17" s="12">
        <f>O17*Calculation!I17/Calculation!K16</f>
        <v>0.12967740345559353</v>
      </c>
      <c r="R17" s="12">
        <v>12.614961257151132</v>
      </c>
      <c r="S17" s="12">
        <v>2.5085825296094995E-2</v>
      </c>
      <c r="T17" s="12">
        <f>R17*Calculation!I17/Calculation!K16</f>
        <v>13.622649006649086</v>
      </c>
      <c r="U17" s="12">
        <f>S17*Calculation!I17/Calculation!K16</f>
        <v>2.7089690256250219E-2</v>
      </c>
    </row>
    <row r="18" spans="4:21">
      <c r="D18" s="15">
        <v>14</v>
      </c>
      <c r="E18" s="65">
        <v>30</v>
      </c>
      <c r="F18" s="77">
        <v>0</v>
      </c>
      <c r="G18" s="78">
        <v>0</v>
      </c>
      <c r="H18" s="12">
        <f>F18*Calculation!I18/Calculation!K17</f>
        <v>0</v>
      </c>
      <c r="I18" s="12">
        <f>G18*Calculation!I18/Calculation!K17</f>
        <v>0</v>
      </c>
      <c r="J18" s="12">
        <v>11.190053285968029</v>
      </c>
      <c r="K18" s="12">
        <v>4.4404973357016028E-2</v>
      </c>
      <c r="L18" s="12">
        <f>J18*Calculation!I18/Calculation!K17</f>
        <v>12.109278607914851</v>
      </c>
      <c r="M18" s="12">
        <f>K18*Calculation!I18/Calculation!K17</f>
        <v>4.8052692888551039E-2</v>
      </c>
      <c r="N18" s="12">
        <v>64.002220371912301</v>
      </c>
      <c r="O18" s="12">
        <v>0.33361041801424873</v>
      </c>
      <c r="P18" s="12">
        <f>N18*Calculation!I18/Calculation!K17</f>
        <v>69.259787974423773</v>
      </c>
      <c r="Q18" s="12">
        <f>O18*Calculation!I18/Calculation!K17</f>
        <v>0.36101539420757101</v>
      </c>
      <c r="R18" s="12">
        <v>12.672894489101312</v>
      </c>
      <c r="S18" s="12">
        <v>6.6370855166280593E-2</v>
      </c>
      <c r="T18" s="12">
        <f>R18*Calculation!I18/Calculation!K17</f>
        <v>13.713930239248281</v>
      </c>
      <c r="U18" s="12">
        <f>S18*Calculation!I18/Calculation!K17</f>
        <v>7.1822998167656152E-2</v>
      </c>
    </row>
    <row r="19" spans="4:21">
      <c r="D19" s="15">
        <v>15</v>
      </c>
      <c r="E19" s="65">
        <v>48</v>
      </c>
      <c r="F19" s="77">
        <v>0</v>
      </c>
      <c r="G19" s="78">
        <v>0</v>
      </c>
      <c r="H19" s="12">
        <f>F19*Calculation!I19/Calculation!K18</f>
        <v>0</v>
      </c>
      <c r="I19" s="12">
        <f>G19*Calculation!I19/Calculation!K18</f>
        <v>0</v>
      </c>
      <c r="J19" s="12">
        <v>11.434280639431616</v>
      </c>
      <c r="K19" s="12">
        <v>3.8455834981547053E-2</v>
      </c>
      <c r="L19" s="12">
        <f>J19*Calculation!I19/Calculation!K18</f>
        <v>12.387332121158725</v>
      </c>
      <c r="M19" s="12">
        <f>K19*Calculation!I19/Calculation!K18</f>
        <v>4.1661142920537644E-2</v>
      </c>
      <c r="N19" s="12">
        <v>63.169580904801549</v>
      </c>
      <c r="O19" s="12">
        <v>0.32348159387918002</v>
      </c>
      <c r="P19" s="12">
        <f>N19*Calculation!I19/Calculation!K18</f>
        <v>68.434788623578882</v>
      </c>
      <c r="Q19" s="12">
        <f>O19*Calculation!I19/Calculation!K18</f>
        <v>0.35044390327841163</v>
      </c>
      <c r="R19" s="12">
        <v>12.643927873126222</v>
      </c>
      <c r="S19" s="12">
        <v>7.5257475888284991E-2</v>
      </c>
      <c r="T19" s="12">
        <f>R19*Calculation!I19/Calculation!K18</f>
        <v>13.697803895092797</v>
      </c>
      <c r="U19" s="12">
        <f>S19*Calculation!I19/Calculation!K18</f>
        <v>8.1530214083902472E-2</v>
      </c>
    </row>
    <row r="21" spans="4:21">
      <c r="D21" s="105" t="s">
        <v>4</v>
      </c>
      <c r="E21" s="105" t="s">
        <v>59</v>
      </c>
      <c r="F21" s="94" t="s">
        <v>43</v>
      </c>
      <c r="G21" s="94"/>
      <c r="H21" s="94"/>
      <c r="I21" s="94"/>
      <c r="J21" s="94" t="s">
        <v>65</v>
      </c>
      <c r="K21" s="94"/>
      <c r="L21" s="94"/>
      <c r="M21" s="94"/>
      <c r="N21" s="85" t="s">
        <v>66</v>
      </c>
      <c r="O21" s="86"/>
      <c r="P21" s="86"/>
      <c r="Q21" s="87"/>
    </row>
    <row r="22" spans="4:21">
      <c r="D22" s="105"/>
      <c r="E22" s="105"/>
      <c r="F22" s="19" t="s">
        <v>47</v>
      </c>
      <c r="G22" s="19" t="s">
        <v>23</v>
      </c>
      <c r="H22" s="19" t="s">
        <v>47</v>
      </c>
      <c r="I22" s="19" t="s">
        <v>23</v>
      </c>
      <c r="J22" s="19" t="s">
        <v>47</v>
      </c>
      <c r="K22" s="19" t="s">
        <v>23</v>
      </c>
      <c r="L22" s="19" t="s">
        <v>47</v>
      </c>
      <c r="M22" s="19" t="s">
        <v>23</v>
      </c>
      <c r="N22" s="19" t="s">
        <v>47</v>
      </c>
      <c r="O22" s="19" t="s">
        <v>23</v>
      </c>
      <c r="P22" s="19" t="s">
        <v>47</v>
      </c>
      <c r="Q22" s="19" t="s">
        <v>23</v>
      </c>
    </row>
    <row r="23" spans="4:21">
      <c r="D23" s="15">
        <v>0</v>
      </c>
      <c r="E23" s="65">
        <v>-0.16666666666666666</v>
      </c>
      <c r="F23" s="12">
        <v>0</v>
      </c>
      <c r="G23" s="12">
        <v>0</v>
      </c>
      <c r="H23" s="12">
        <f>F23*Calculation!I3/Calculation!F21</f>
        <v>0</v>
      </c>
      <c r="I23" s="12">
        <f>G23*Calculation!I3/Calculation!F21</f>
        <v>0</v>
      </c>
      <c r="J23" s="12">
        <v>0</v>
      </c>
      <c r="K23" s="12">
        <v>0</v>
      </c>
      <c r="L23" s="12">
        <f>J23*Calculation!I3/Calculation!F21</f>
        <v>0</v>
      </c>
      <c r="M23" s="12">
        <f>K23*Calculation!I3/Calculation!F21</f>
        <v>0</v>
      </c>
      <c r="N23" s="12">
        <v>0</v>
      </c>
      <c r="O23" s="12">
        <v>0</v>
      </c>
      <c r="P23" s="12">
        <f>N23*Calculation!I3/Calculation!F21</f>
        <v>0</v>
      </c>
      <c r="Q23" s="12">
        <f>O23*Calculation!I3/Calculation!F21</f>
        <v>0</v>
      </c>
    </row>
    <row r="24" spans="4:21">
      <c r="D24" s="15">
        <v>0</v>
      </c>
      <c r="E24" s="65">
        <v>0.16666666666666666</v>
      </c>
      <c r="F24" s="12">
        <v>0</v>
      </c>
      <c r="G24" s="12">
        <v>0</v>
      </c>
      <c r="H24" s="12">
        <f>F24*Calculation!I4/Calculation!K3</f>
        <v>0</v>
      </c>
      <c r="I24" s="12">
        <f>G24*Calculation!I4/Calculation!K3</f>
        <v>0</v>
      </c>
      <c r="J24" s="12">
        <v>1.9521053228918397</v>
      </c>
      <c r="K24" s="12">
        <v>0.2976932708796734</v>
      </c>
      <c r="L24" s="12">
        <f>J24*Calculation!I4/Calculation!K3</f>
        <v>1.9533820431815008</v>
      </c>
      <c r="M24" s="12">
        <f>K24*Calculation!I4/Calculation!K3</f>
        <v>0.29788796889856134</v>
      </c>
      <c r="N24" s="12">
        <v>0</v>
      </c>
      <c r="O24" s="12">
        <v>0</v>
      </c>
      <c r="P24" s="12">
        <f>N24*Calculation!I4/Calculation!K3</f>
        <v>0</v>
      </c>
      <c r="Q24" s="12">
        <f>O24*Calculation!I4/Calculation!K3</f>
        <v>0</v>
      </c>
    </row>
    <row r="25" spans="4:21">
      <c r="D25" s="15">
        <v>1</v>
      </c>
      <c r="E25" s="65">
        <v>2</v>
      </c>
      <c r="F25" s="12">
        <v>0</v>
      </c>
      <c r="G25" s="12">
        <v>0</v>
      </c>
      <c r="H25" s="12">
        <f>F25*Calculation!I5/Calculation!K4</f>
        <v>0</v>
      </c>
      <c r="I25" s="12">
        <f>G25*Calculation!I5/Calculation!K4</f>
        <v>0</v>
      </c>
      <c r="J25" s="12">
        <v>2.3682518064540536</v>
      </c>
      <c r="K25" s="12">
        <v>0.18206347240972975</v>
      </c>
      <c r="L25" s="12">
        <f>J25*Calculation!I5/Calculation!K4</f>
        <v>2.3698006957977125</v>
      </c>
      <c r="M25" s="12">
        <f>K25*Calculation!I5/Calculation!K4</f>
        <v>0.18218254596918673</v>
      </c>
      <c r="N25" s="12">
        <v>0</v>
      </c>
      <c r="O25" s="12">
        <v>0</v>
      </c>
      <c r="P25" s="12">
        <f>N25*Calculation!I5/Calculation!K4</f>
        <v>0</v>
      </c>
      <c r="Q25" s="12">
        <f>O25*Calculation!I5/Calculation!K4</f>
        <v>0</v>
      </c>
    </row>
    <row r="26" spans="4:21">
      <c r="D26" s="15">
        <v>2</v>
      </c>
      <c r="E26" s="65">
        <v>3.3333333333333335</v>
      </c>
      <c r="F26" s="12">
        <v>0</v>
      </c>
      <c r="G26" s="12">
        <v>0</v>
      </c>
      <c r="H26" s="12">
        <f>F26*Calculation!I6/Calculation!K5</f>
        <v>0</v>
      </c>
      <c r="I26" s="12">
        <f>G26*Calculation!I6/Calculation!K5</f>
        <v>0</v>
      </c>
      <c r="J26" s="12">
        <v>3.0567850792569899</v>
      </c>
      <c r="K26" s="12">
        <v>0.15113671815865132</v>
      </c>
      <c r="L26" s="12">
        <f>J26*Calculation!I6/Calculation!K5</f>
        <v>3.0609069663405601</v>
      </c>
      <c r="M26" s="12">
        <f>K26*Calculation!I6/Calculation!K5</f>
        <v>0.15134051674778301</v>
      </c>
      <c r="N26" s="12">
        <v>0</v>
      </c>
      <c r="O26" s="12">
        <v>0</v>
      </c>
      <c r="P26" s="12">
        <f>N26*Calculation!I6/Calculation!K5</f>
        <v>0</v>
      </c>
      <c r="Q26" s="12">
        <f>O26*Calculation!I6/Calculation!K5</f>
        <v>0</v>
      </c>
    </row>
    <row r="27" spans="4:21">
      <c r="D27" s="15">
        <v>3</v>
      </c>
      <c r="E27" s="65">
        <v>4.666666666666667</v>
      </c>
      <c r="F27" s="12">
        <v>0</v>
      </c>
      <c r="G27" s="12">
        <v>0</v>
      </c>
      <c r="H27" s="12">
        <f>F27*Calculation!I7/Calculation!K6</f>
        <v>0</v>
      </c>
      <c r="I27" s="12">
        <f>G27*Calculation!I7/Calculation!K6</f>
        <v>0</v>
      </c>
      <c r="J27" s="12">
        <v>3.7680172511633185</v>
      </c>
      <c r="K27" s="12">
        <v>0.20175222828999173</v>
      </c>
      <c r="L27" s="12">
        <f>J27*Calculation!I7/Calculation!K6</f>
        <v>3.7757990488709239</v>
      </c>
      <c r="M27" s="12">
        <f>K27*Calculation!I7/Calculation!K6</f>
        <v>0.20216889172939786</v>
      </c>
      <c r="N27" s="12">
        <v>0</v>
      </c>
      <c r="O27" s="12">
        <v>0</v>
      </c>
      <c r="P27" s="12">
        <f>N27*Calculation!I7/Calculation!K6</f>
        <v>0</v>
      </c>
      <c r="Q27" s="12">
        <f>O27*Calculation!I7/Calculation!K6</f>
        <v>0</v>
      </c>
    </row>
    <row r="28" spans="4:21">
      <c r="D28" s="15">
        <v>4</v>
      </c>
      <c r="E28" s="65">
        <v>6</v>
      </c>
      <c r="F28" s="12">
        <v>0</v>
      </c>
      <c r="G28" s="12">
        <v>0</v>
      </c>
      <c r="H28" s="12">
        <f>F28*Calculation!I8/Calculation!K7</f>
        <v>0</v>
      </c>
      <c r="I28" s="12">
        <f>G28*Calculation!I8/Calculation!K7</f>
        <v>0</v>
      </c>
      <c r="J28" s="12">
        <v>5.1980478946771083</v>
      </c>
      <c r="K28" s="12">
        <v>6.0055642062526227E-2</v>
      </c>
      <c r="L28" s="12">
        <f>J28*Calculation!I8/Calculation!K7</f>
        <v>5.2165111899755372</v>
      </c>
      <c r="M28" s="12">
        <f>K28*Calculation!I8/Calculation!K7</f>
        <v>6.0268957729523578E-2</v>
      </c>
      <c r="N28" s="12">
        <v>0</v>
      </c>
      <c r="O28" s="12">
        <v>0</v>
      </c>
      <c r="P28" s="12">
        <f>N28*Calculation!I8/Calculation!K7</f>
        <v>0</v>
      </c>
      <c r="Q28" s="12">
        <f>O28*Calculation!I8/Calculation!K7</f>
        <v>0</v>
      </c>
    </row>
    <row r="29" spans="4:21">
      <c r="D29" s="15">
        <v>5</v>
      </c>
      <c r="E29" s="65">
        <v>7.333333333333333</v>
      </c>
      <c r="F29" s="12">
        <v>0</v>
      </c>
      <c r="G29" s="12">
        <v>0</v>
      </c>
      <c r="H29" s="12">
        <f>F29*Calculation!I9/Calculation!K8</f>
        <v>0</v>
      </c>
      <c r="I29" s="12">
        <f>G29*Calculation!I9/Calculation!K8</f>
        <v>0</v>
      </c>
      <c r="J29" s="12">
        <v>6.8777664283282265</v>
      </c>
      <c r="K29" s="12">
        <v>0.36033385237515736</v>
      </c>
      <c r="L29" s="12">
        <f>J29*Calculation!I9/Calculation!K8</f>
        <v>6.9180753139995925</v>
      </c>
      <c r="M29" s="12">
        <f>K29*Calculation!I9/Calculation!K8</f>
        <v>0.36244567984273302</v>
      </c>
      <c r="N29" s="12">
        <v>0</v>
      </c>
      <c r="O29" s="12">
        <v>0</v>
      </c>
      <c r="P29" s="12">
        <f>N29*Calculation!I9/Calculation!K8</f>
        <v>0</v>
      </c>
      <c r="Q29" s="12">
        <f>O29*Calculation!I9/Calculation!K8</f>
        <v>0</v>
      </c>
    </row>
    <row r="30" spans="4:21">
      <c r="D30" s="15">
        <v>6</v>
      </c>
      <c r="E30" s="65">
        <v>10.333333333333334</v>
      </c>
      <c r="F30" s="12">
        <v>0</v>
      </c>
      <c r="G30" s="12">
        <v>0</v>
      </c>
      <c r="H30" s="12">
        <f>F30*Calculation!I10/Calculation!K9</f>
        <v>0</v>
      </c>
      <c r="I30" s="12">
        <f>G30*Calculation!I10/Calculation!K9</f>
        <v>0</v>
      </c>
      <c r="J30" s="12">
        <v>18.423939772254379</v>
      </c>
      <c r="K30" s="12">
        <v>0.5107672630949992</v>
      </c>
      <c r="L30" s="12">
        <f>J30*Calculation!I10/Calculation!K9</f>
        <v>18.752361035966508</v>
      </c>
      <c r="M30" s="12">
        <f>K30*Calculation!I10/Calculation!K9</f>
        <v>0.51987209257675115</v>
      </c>
      <c r="N30" s="12">
        <v>0</v>
      </c>
      <c r="O30" s="12">
        <v>0</v>
      </c>
      <c r="P30" s="12">
        <f>N30*Calculation!I10/Calculation!K9</f>
        <v>0</v>
      </c>
      <c r="Q30" s="12">
        <f>O30*Calculation!I10/Calculation!K9</f>
        <v>0</v>
      </c>
    </row>
    <row r="31" spans="4:21">
      <c r="D31" s="15">
        <v>7</v>
      </c>
      <c r="E31" s="65">
        <v>11.666666666666666</v>
      </c>
      <c r="F31" s="12">
        <v>0</v>
      </c>
      <c r="G31" s="12">
        <v>0</v>
      </c>
      <c r="H31" s="12">
        <f>F31*Calculation!I11/Calculation!K10</f>
        <v>0</v>
      </c>
      <c r="I31" s="12">
        <f>G31*Calculation!I11/Calculation!K10</f>
        <v>0</v>
      </c>
      <c r="J31" s="12">
        <v>25.763250482351605</v>
      </c>
      <c r="K31" s="12">
        <v>0.13807201294514104</v>
      </c>
      <c r="L31" s="12">
        <f>J31*Calculation!I11/Calculation!K10</f>
        <v>26.41437270721034</v>
      </c>
      <c r="M31" s="12">
        <f>K31*Calculation!I11/Calculation!K10</f>
        <v>0.14156154763414114</v>
      </c>
      <c r="N31" s="12">
        <v>0</v>
      </c>
      <c r="O31" s="12">
        <v>0</v>
      </c>
      <c r="P31" s="12">
        <f>N31*Calculation!I11/Calculation!K10</f>
        <v>0</v>
      </c>
      <c r="Q31" s="12">
        <f>O31*Calculation!I11/Calculation!K10</f>
        <v>0</v>
      </c>
    </row>
    <row r="32" spans="4:21">
      <c r="D32" s="15">
        <v>8</v>
      </c>
      <c r="E32" s="65">
        <v>13</v>
      </c>
      <c r="F32" s="12">
        <v>0</v>
      </c>
      <c r="G32" s="12">
        <v>0</v>
      </c>
      <c r="H32" s="12">
        <f>F32*Calculation!I12/Calculation!K11</f>
        <v>0</v>
      </c>
      <c r="I32" s="12">
        <f>G32*Calculation!I12/Calculation!K11</f>
        <v>0</v>
      </c>
      <c r="J32" s="12">
        <v>33.670033670033668</v>
      </c>
      <c r="K32" s="12">
        <v>0.25814280799352318</v>
      </c>
      <c r="L32" s="12">
        <f>J32*Calculation!I12/Calculation!K11</f>
        <v>34.752089194980179</v>
      </c>
      <c r="M32" s="12">
        <f>K32*Calculation!I12/Calculation!K11</f>
        <v>0.26643875608647671</v>
      </c>
      <c r="N32" s="12">
        <v>0</v>
      </c>
      <c r="O32" s="12">
        <v>0</v>
      </c>
      <c r="P32" s="12">
        <f>N32*Calculation!I12/Calculation!K11</f>
        <v>0</v>
      </c>
      <c r="Q32" s="12">
        <f>O32*Calculation!I12/Calculation!K11</f>
        <v>0</v>
      </c>
    </row>
    <row r="33" spans="4:17">
      <c r="D33" s="15">
        <v>9</v>
      </c>
      <c r="E33" s="65">
        <v>14.333333333333334</v>
      </c>
      <c r="F33" s="12">
        <v>0</v>
      </c>
      <c r="G33" s="12">
        <v>0</v>
      </c>
      <c r="H33" s="12">
        <f>F33*Calculation!I13/Calculation!K12</f>
        <v>0</v>
      </c>
      <c r="I33" s="12">
        <f>G33*Calculation!I13/Calculation!K12</f>
        <v>0</v>
      </c>
      <c r="J33" s="12">
        <v>40.335943706730227</v>
      </c>
      <c r="K33" s="12">
        <v>0.33437566366261057</v>
      </c>
      <c r="L33" s="12">
        <f>J33*Calculation!I13/Calculation!K12</f>
        <v>41.920334172112952</v>
      </c>
      <c r="M33" s="12">
        <f>K33*Calculation!I13/Calculation!K12</f>
        <v>0.34750989493819279</v>
      </c>
      <c r="N33" s="12">
        <v>0</v>
      </c>
      <c r="O33" s="12">
        <v>0</v>
      </c>
      <c r="P33" s="12">
        <f>N33*Calculation!I13/Calculation!K12</f>
        <v>0</v>
      </c>
      <c r="Q33" s="12">
        <f>O33*Calculation!I13/Calculation!K12</f>
        <v>0</v>
      </c>
    </row>
    <row r="34" spans="4:17">
      <c r="D34" s="15">
        <v>10</v>
      </c>
      <c r="E34" s="65">
        <v>15.666666666666666</v>
      </c>
      <c r="F34" s="12">
        <v>0</v>
      </c>
      <c r="G34" s="12">
        <v>0</v>
      </c>
      <c r="H34" s="12">
        <f>F34*Calculation!I14/Calculation!K13</f>
        <v>0</v>
      </c>
      <c r="I34" s="12">
        <f>G34*Calculation!I14/Calculation!K13</f>
        <v>0</v>
      </c>
      <c r="J34" s="12">
        <v>48.265425793515675</v>
      </c>
      <c r="K34" s="12">
        <v>0.15450821213378663</v>
      </c>
      <c r="L34" s="12">
        <f>J34*Calculation!I14/Calculation!K13</f>
        <v>50.522808029629459</v>
      </c>
      <c r="M34" s="12">
        <f>K34*Calculation!I14/Calculation!K13</f>
        <v>0.1617345876949729</v>
      </c>
      <c r="N34" s="12">
        <v>0</v>
      </c>
      <c r="O34" s="12">
        <v>0</v>
      </c>
      <c r="P34" s="12">
        <f>N34*Calculation!I14/Calculation!K13</f>
        <v>0</v>
      </c>
      <c r="Q34" s="12">
        <f>O34*Calculation!I14/Calculation!K13</f>
        <v>0</v>
      </c>
    </row>
    <row r="35" spans="4:17">
      <c r="D35" s="15">
        <v>11</v>
      </c>
      <c r="E35" s="65">
        <v>17</v>
      </c>
      <c r="F35" s="12">
        <v>0</v>
      </c>
      <c r="G35" s="12">
        <v>0</v>
      </c>
      <c r="H35" s="12">
        <f>F35*Calculation!I15/Calculation!K14</f>
        <v>0</v>
      </c>
      <c r="I35" s="12">
        <f>G35*Calculation!I15/Calculation!K14</f>
        <v>0</v>
      </c>
      <c r="J35" s="12">
        <v>54.43196004993758</v>
      </c>
      <c r="K35" s="12">
        <v>1.4334494067730725</v>
      </c>
      <c r="L35" s="12">
        <f>J35*Calculation!I15/Calculation!K14</f>
        <v>57.403754035281722</v>
      </c>
      <c r="M35" s="12">
        <f>K35*Calculation!I15/Calculation!K14</f>
        <v>1.5117107135758252</v>
      </c>
      <c r="N35" s="12">
        <v>0</v>
      </c>
      <c r="O35" s="12">
        <v>0</v>
      </c>
      <c r="P35" s="12">
        <f>N35*Calculation!I15/Calculation!K14</f>
        <v>0</v>
      </c>
      <c r="Q35" s="12">
        <f>O35*Calculation!I15/Calculation!K14</f>
        <v>0</v>
      </c>
    </row>
    <row r="36" spans="4:17">
      <c r="D36" s="15">
        <v>12</v>
      </c>
      <c r="E36" s="65">
        <v>18.333333333333332</v>
      </c>
      <c r="F36" s="12">
        <v>0</v>
      </c>
      <c r="G36" s="12">
        <v>0</v>
      </c>
      <c r="H36" s="12">
        <f>F36*Calculation!I16/Calculation!K15</f>
        <v>0</v>
      </c>
      <c r="I36" s="12">
        <f>G36*Calculation!I16/Calculation!K15</f>
        <v>0</v>
      </c>
      <c r="J36" s="12">
        <v>60.817916997692279</v>
      </c>
      <c r="K36" s="12">
        <v>4.7251526488846958E-2</v>
      </c>
      <c r="L36" s="12">
        <f>J36*Calculation!I16/Calculation!K15</f>
        <v>64.571729129946476</v>
      </c>
      <c r="M36" s="12">
        <f>K36*Calculation!I16/Calculation!K15</f>
        <v>5.0167991934516445E-2</v>
      </c>
      <c r="N36" s="12">
        <v>0</v>
      </c>
      <c r="O36" s="12">
        <v>0</v>
      </c>
      <c r="P36" s="12">
        <f>N36*Calculation!I16/Calculation!K15</f>
        <v>0</v>
      </c>
      <c r="Q36" s="12">
        <f>O36*Calculation!I16/Calculation!K15</f>
        <v>0</v>
      </c>
    </row>
    <row r="37" spans="4:17">
      <c r="D37" s="15">
        <v>13</v>
      </c>
      <c r="E37" s="65">
        <v>24</v>
      </c>
      <c r="F37" s="12">
        <v>0</v>
      </c>
      <c r="G37" s="12">
        <v>0</v>
      </c>
      <c r="H37" s="12">
        <f>F37*Calculation!I17/Calculation!K16</f>
        <v>0</v>
      </c>
      <c r="I37" s="12">
        <f>G37*Calculation!I17/Calculation!K16</f>
        <v>0</v>
      </c>
      <c r="J37" s="12">
        <v>70.374153520220943</v>
      </c>
      <c r="K37" s="12">
        <v>7.2966751870715663E-2</v>
      </c>
      <c r="L37" s="12">
        <f>J37*Calculation!I17/Calculation!K16</f>
        <v>75.99566681210004</v>
      </c>
      <c r="M37" s="12">
        <f>K37*Calculation!I17/Calculation!K16</f>
        <v>7.8795362873313554E-2</v>
      </c>
      <c r="N37" s="12">
        <v>0</v>
      </c>
      <c r="O37" s="12">
        <v>0</v>
      </c>
      <c r="P37" s="12">
        <f>N37*Calculation!I17/Calculation!K16</f>
        <v>0</v>
      </c>
      <c r="Q37" s="12">
        <f>O37*Calculation!I17/Calculation!K16</f>
        <v>0</v>
      </c>
    </row>
    <row r="38" spans="4:17">
      <c r="D38" s="15">
        <v>14</v>
      </c>
      <c r="E38" s="65">
        <v>30</v>
      </c>
      <c r="F38" s="12">
        <v>0</v>
      </c>
      <c r="G38" s="12">
        <v>0</v>
      </c>
      <c r="H38" s="12">
        <f>F38*Calculation!I18/Calculation!K17</f>
        <v>0</v>
      </c>
      <c r="I38" s="12">
        <f>G38*Calculation!I18/Calculation!K17</f>
        <v>0</v>
      </c>
      <c r="J38" s="12">
        <v>71.667990769114382</v>
      </c>
      <c r="K38" s="12">
        <v>0.39987017021825383</v>
      </c>
      <c r="L38" s="12">
        <f>J38*Calculation!I18/Calculation!K17</f>
        <v>77.555275682281987</v>
      </c>
      <c r="M38" s="12">
        <f>K38*Calculation!I18/Calculation!K17</f>
        <v>0.43271816267747898</v>
      </c>
      <c r="N38" s="12">
        <v>0</v>
      </c>
      <c r="O38" s="12">
        <v>0</v>
      </c>
      <c r="P38" s="12">
        <f>N38*Calculation!I18/Calculation!K17</f>
        <v>0</v>
      </c>
      <c r="Q38" s="12">
        <f>O38*Calculation!I18/Calculation!K17</f>
        <v>0</v>
      </c>
    </row>
    <row r="39" spans="4:17">
      <c r="D39" s="15">
        <v>15</v>
      </c>
      <c r="E39" s="65">
        <v>48</v>
      </c>
      <c r="F39" s="12">
        <v>0</v>
      </c>
      <c r="G39" s="12">
        <v>0</v>
      </c>
      <c r="H39" s="12">
        <f>F39*Calculation!I19/Calculation!K18</f>
        <v>0</v>
      </c>
      <c r="I39" s="12">
        <f>G39*Calculation!I19/Calculation!K18</f>
        <v>0</v>
      </c>
      <c r="J39" s="12">
        <v>73.143419210834949</v>
      </c>
      <c r="K39" s="12">
        <v>0.22046384873958355</v>
      </c>
      <c r="L39" s="12">
        <f>J39*Calculation!I19/Calculation!K18</f>
        <v>79.239950007628337</v>
      </c>
      <c r="M39" s="12">
        <f>K39*Calculation!I19/Calculation!K18</f>
        <v>0.2388395913275288</v>
      </c>
      <c r="N39" s="12">
        <v>0</v>
      </c>
      <c r="O39" s="12">
        <v>0</v>
      </c>
      <c r="P39" s="12">
        <f>N39*Calculation!I19/Calculation!K18</f>
        <v>0</v>
      </c>
      <c r="Q39" s="12">
        <f>O39*Calculation!I19/Calculation!K18</f>
        <v>0</v>
      </c>
    </row>
  </sheetData>
  <mergeCells count="14">
    <mergeCell ref="R1:U1"/>
    <mergeCell ref="D1:D2"/>
    <mergeCell ref="E1:E2"/>
    <mergeCell ref="F1:I1"/>
    <mergeCell ref="J1:M1"/>
    <mergeCell ref="F21:I21"/>
    <mergeCell ref="J21:M21"/>
    <mergeCell ref="N21:Q21"/>
    <mergeCell ref="N1:Q1"/>
    <mergeCell ref="A1:B1"/>
    <mergeCell ref="A2:B2"/>
    <mergeCell ref="A3:A4"/>
    <mergeCell ref="D21:D22"/>
    <mergeCell ref="E21:E2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Fermentation</vt:lpstr>
      <vt:lpstr>Calculation</vt:lpstr>
      <vt:lpstr>Plate Count</vt:lpstr>
      <vt:lpstr>Flow cytometer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Lefeber</dc:creator>
  <cp:keywords/>
  <dc:description/>
  <cp:lastModifiedBy>Kevin D'hoe</cp:lastModifiedBy>
  <cp:lastPrinted>2009-02-16T08:48:51Z</cp:lastPrinted>
  <dcterms:created xsi:type="dcterms:W3CDTF">2009-02-15T16:08:16Z</dcterms:created>
  <dcterms:modified xsi:type="dcterms:W3CDTF">2015-02-26T10:32:09Z</dcterms:modified>
  <cp:category/>
</cp:coreProperties>
</file>