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7" r:id="rId5"/>
    <sheet name="Determination cell counts" sheetId="28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6" r:id="rId20"/>
    <sheet name="Carbon recovery" sheetId="23" r:id="rId21"/>
  </sheets>
  <definedNames>
    <definedName name="_2012_05_10_FPRAU_fruc1" localSheetId="9">'CO2'!$I$108:$I$293</definedName>
    <definedName name="_2012_06_08_BIF_REC_OLI_1" localSheetId="9">'CO2'!$N$108:$N$201</definedName>
    <definedName name="_2012_06_08_BIF_REC_OLI_1" localSheetId="8">'H2'!$K$105:$K$244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28" l="1"/>
  <c r="H71" i="28"/>
  <c r="H70" i="28"/>
  <c r="H69" i="28"/>
  <c r="H68" i="28"/>
  <c r="H67" i="28"/>
  <c r="H66" i="28"/>
  <c r="H65" i="28"/>
  <c r="H64" i="28"/>
  <c r="H63" i="28"/>
  <c r="H62" i="28"/>
  <c r="H61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I11" i="28"/>
  <c r="J11" i="28"/>
  <c r="H11" i="28"/>
  <c r="H4" i="28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I4" i="28"/>
  <c r="J4" i="28"/>
  <c r="B25" i="28"/>
  <c r="B24" i="28"/>
  <c r="G12" i="27"/>
  <c r="G4" i="27"/>
  <c r="H4" i="22"/>
  <c r="H20" i="22"/>
  <c r="K5" i="28"/>
  <c r="L5" i="28"/>
  <c r="M5" i="28"/>
  <c r="Q5" i="28"/>
  <c r="P5" i="28"/>
  <c r="R5" i="28"/>
  <c r="O5" i="28"/>
  <c r="S5" i="28"/>
  <c r="K6" i="28"/>
  <c r="L6" i="28"/>
  <c r="M6" i="28"/>
  <c r="O6" i="28"/>
  <c r="S6" i="28"/>
  <c r="K7" i="28"/>
  <c r="L7" i="28"/>
  <c r="M7" i="28"/>
  <c r="O7" i="28"/>
  <c r="S7" i="28"/>
  <c r="K8" i="28"/>
  <c r="L8" i="28"/>
  <c r="M8" i="28"/>
  <c r="O8" i="28"/>
  <c r="S8" i="28"/>
  <c r="L9" i="28"/>
  <c r="K9" i="28"/>
  <c r="M9" i="28"/>
  <c r="O9" i="28"/>
  <c r="S9" i="28"/>
  <c r="M10" i="28"/>
  <c r="K10" i="28"/>
  <c r="L10" i="28"/>
  <c r="O10" i="28"/>
  <c r="S10" i="28"/>
  <c r="K11" i="28"/>
  <c r="L11" i="28"/>
  <c r="M11" i="28"/>
  <c r="O11" i="28"/>
  <c r="S11" i="28"/>
  <c r="K12" i="28"/>
  <c r="L12" i="28"/>
  <c r="M12" i="28"/>
  <c r="O12" i="28"/>
  <c r="S12" i="28"/>
  <c r="K13" i="28"/>
  <c r="L13" i="28"/>
  <c r="M13" i="28"/>
  <c r="O13" i="28"/>
  <c r="S13" i="28"/>
  <c r="K14" i="28"/>
  <c r="L14" i="28"/>
  <c r="M14" i="28"/>
  <c r="O14" i="28"/>
  <c r="S14" i="28"/>
  <c r="K15" i="28"/>
  <c r="L15" i="28"/>
  <c r="M15" i="28"/>
  <c r="O15" i="28"/>
  <c r="S15" i="28"/>
  <c r="K16" i="28"/>
  <c r="L16" i="28"/>
  <c r="M16" i="28"/>
  <c r="O16" i="28"/>
  <c r="S16" i="28"/>
  <c r="K17" i="28"/>
  <c r="L17" i="28"/>
  <c r="M17" i="28"/>
  <c r="O17" i="28"/>
  <c r="S17" i="28"/>
  <c r="K18" i="28"/>
  <c r="L18" i="28"/>
  <c r="M18" i="28"/>
  <c r="O18" i="28"/>
  <c r="S18" i="28"/>
  <c r="K19" i="28"/>
  <c r="L19" i="28"/>
  <c r="M19" i="28"/>
  <c r="O19" i="28"/>
  <c r="S19" i="28"/>
  <c r="K20" i="28"/>
  <c r="L20" i="28"/>
  <c r="M20" i="28"/>
  <c r="O20" i="28"/>
  <c r="S20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K4" i="28"/>
  <c r="L4" i="28"/>
  <c r="M4" i="28"/>
  <c r="Q4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4" i="28"/>
  <c r="O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4" i="28"/>
  <c r="D48" i="27"/>
  <c r="G28" i="27"/>
  <c r="G29" i="27"/>
  <c r="G33" i="27"/>
  <c r="G27" i="27"/>
  <c r="H27" i="27"/>
  <c r="O13" i="27"/>
  <c r="O14" i="27"/>
  <c r="O15" i="27"/>
  <c r="O16" i="27"/>
  <c r="O17" i="27"/>
  <c r="O18" i="27"/>
  <c r="O19" i="27"/>
  <c r="K19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G11" i="27"/>
  <c r="G13" i="27"/>
  <c r="G14" i="27"/>
  <c r="G15" i="27"/>
  <c r="G16" i="27"/>
  <c r="G17" i="27"/>
  <c r="G18" i="27"/>
  <c r="G19" i="27"/>
  <c r="O12" i="27"/>
  <c r="O11" i="27"/>
  <c r="R19" i="28"/>
  <c r="S4" i="28"/>
  <c r="Q6" i="28"/>
  <c r="P6" i="28"/>
  <c r="F40" i="27"/>
  <c r="R4" i="28"/>
  <c r="G23" i="27"/>
  <c r="G24" i="27"/>
  <c r="G25" i="27"/>
  <c r="G26" i="27"/>
  <c r="G30" i="27"/>
  <c r="G31" i="27"/>
  <c r="G32" i="27"/>
  <c r="G34" i="27"/>
  <c r="G35" i="27"/>
  <c r="G36" i="27"/>
  <c r="G37" i="27"/>
  <c r="G38" i="27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20" i="28"/>
  <c r="H23" i="27"/>
  <c r="I23" i="27"/>
  <c r="J23" i="27"/>
  <c r="K23" i="27"/>
  <c r="L23" i="27"/>
  <c r="H24" i="27"/>
  <c r="K24" i="27"/>
  <c r="H25" i="27"/>
  <c r="K25" i="27"/>
  <c r="H26" i="27"/>
  <c r="K26" i="27"/>
  <c r="K27" i="27"/>
  <c r="H28" i="27"/>
  <c r="K28" i="27"/>
  <c r="H29" i="27"/>
  <c r="K29" i="27"/>
  <c r="H30" i="27"/>
  <c r="K30" i="27"/>
  <c r="H31" i="27"/>
  <c r="K31" i="27"/>
  <c r="H32" i="27"/>
  <c r="K32" i="27"/>
  <c r="H33" i="27"/>
  <c r="K33" i="27"/>
  <c r="H34" i="27"/>
  <c r="K34" i="27"/>
  <c r="H35" i="27"/>
  <c r="K35" i="27"/>
  <c r="H36" i="27"/>
  <c r="H37" i="27"/>
  <c r="K37" i="27"/>
  <c r="H38" i="27"/>
  <c r="K38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U4" i="22"/>
  <c r="O5" i="27"/>
  <c r="G5" i="27"/>
  <c r="P5" i="27"/>
  <c r="R5" i="27"/>
  <c r="O6" i="27"/>
  <c r="G6" i="27"/>
  <c r="P6" i="27"/>
  <c r="R6" i="27"/>
  <c r="O7" i="27"/>
  <c r="G7" i="27"/>
  <c r="P7" i="27"/>
  <c r="R7" i="27"/>
  <c r="O8" i="27"/>
  <c r="G8" i="27"/>
  <c r="P8" i="27"/>
  <c r="R8" i="27"/>
  <c r="G9" i="27"/>
  <c r="O9" i="27"/>
  <c r="P9" i="27"/>
  <c r="R9" i="27"/>
  <c r="G10" i="27"/>
  <c r="O10" i="27"/>
  <c r="P10" i="27"/>
  <c r="R10" i="27"/>
  <c r="P11" i="27"/>
  <c r="R11" i="27"/>
  <c r="P12" i="27"/>
  <c r="R12" i="27"/>
  <c r="P13" i="27"/>
  <c r="R13" i="27"/>
  <c r="P14" i="27"/>
  <c r="R14" i="27"/>
  <c r="P15" i="27"/>
  <c r="R15" i="27"/>
  <c r="P16" i="27"/>
  <c r="R16" i="27"/>
  <c r="P17" i="27"/>
  <c r="R17" i="27"/>
  <c r="P18" i="27"/>
  <c r="R18" i="27"/>
  <c r="P19" i="27"/>
  <c r="R19" i="27"/>
  <c r="K4" i="27"/>
  <c r="O4" i="27"/>
  <c r="P4" i="27"/>
  <c r="R4" i="27"/>
  <c r="Q4" i="22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23" i="27"/>
  <c r="Q11" i="27"/>
  <c r="Q12" i="27"/>
  <c r="Q13" i="27"/>
  <c r="Q14" i="27"/>
  <c r="Q15" i="27"/>
  <c r="Q16" i="27"/>
  <c r="Q17" i="27"/>
  <c r="Q18" i="27"/>
  <c r="Q19" i="27"/>
  <c r="Q4" i="27"/>
  <c r="Q5" i="27"/>
  <c r="Q6" i="27"/>
  <c r="Q7" i="27"/>
  <c r="Q8" i="27"/>
  <c r="Q9" i="27"/>
  <c r="Q10" i="27"/>
  <c r="B8" i="23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6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K4" i="2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I20" i="4"/>
  <c r="J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L20" i="22"/>
  <c r="P20" i="2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I3" i="2"/>
  <c r="J3" i="2"/>
  <c r="K3" i="2"/>
  <c r="I4" i="2"/>
  <c r="J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Q20" i="22"/>
  <c r="R20" i="22"/>
  <c r="S20" i="22"/>
  <c r="T20" i="22"/>
  <c r="U20" i="22"/>
  <c r="V20" i="22"/>
  <c r="W20" i="22"/>
  <c r="X20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F20" i="2"/>
  <c r="J20" i="2"/>
  <c r="K20" i="2"/>
  <c r="C20" i="2"/>
  <c r="D20" i="2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B9" i="23"/>
  <c r="B10" i="23"/>
  <c r="L41" i="8"/>
  <c r="L25" i="8"/>
  <c r="B6" i="23"/>
  <c r="M41" i="8"/>
  <c r="M25" i="8"/>
  <c r="C6" i="23"/>
  <c r="M20" i="8"/>
  <c r="M4" i="8"/>
  <c r="C5" i="23"/>
  <c r="L20" i="8"/>
  <c r="L4" i="8"/>
  <c r="B5" i="23"/>
  <c r="U20" i="8"/>
  <c r="U4" i="8"/>
  <c r="C4" i="23"/>
  <c r="T20" i="8"/>
  <c r="T4" i="8"/>
  <c r="B4" i="23"/>
  <c r="Q20" i="8"/>
  <c r="Q4" i="8"/>
  <c r="C3" i="23"/>
  <c r="P20" i="8"/>
  <c r="P4" i="8"/>
  <c r="B3" i="23"/>
  <c r="I20" i="8"/>
  <c r="I4" i="8"/>
  <c r="C2" i="23"/>
  <c r="H20" i="8"/>
  <c r="H4" i="8"/>
  <c r="B2" i="23"/>
  <c r="H41" i="8"/>
  <c r="I41" i="8"/>
  <c r="P41" i="8"/>
  <c r="Q41" i="8"/>
  <c r="G20" i="5"/>
  <c r="Q20" i="3"/>
  <c r="R20" i="3"/>
  <c r="S20" i="3"/>
  <c r="L40" i="8"/>
  <c r="L19" i="8"/>
  <c r="T19" i="8"/>
  <c r="H19" i="8"/>
  <c r="P19" i="8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B12" i="23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B7" i="23"/>
  <c r="H5" i="22"/>
  <c r="U5" i="22"/>
  <c r="L5" i="22"/>
  <c r="V5" i="22"/>
  <c r="P5" i="22"/>
  <c r="W5" i="22"/>
  <c r="X5" i="22"/>
  <c r="H6" i="22"/>
  <c r="U6" i="22"/>
  <c r="L6" i="22"/>
  <c r="V6" i="22"/>
  <c r="P6" i="22"/>
  <c r="W6" i="22"/>
  <c r="X6" i="22"/>
  <c r="H7" i="22"/>
  <c r="U7" i="22"/>
  <c r="L7" i="22"/>
  <c r="V7" i="22"/>
  <c r="P7" i="22"/>
  <c r="W7" i="22"/>
  <c r="X7" i="22"/>
  <c r="H8" i="22"/>
  <c r="U8" i="22"/>
  <c r="L8" i="22"/>
  <c r="V8" i="22"/>
  <c r="P8" i="22"/>
  <c r="W8" i="22"/>
  <c r="X8" i="22"/>
  <c r="H9" i="22"/>
  <c r="U9" i="22"/>
  <c r="L9" i="22"/>
  <c r="V9" i="22"/>
  <c r="P9" i="22"/>
  <c r="W9" i="22"/>
  <c r="X9" i="22"/>
  <c r="H10" i="22"/>
  <c r="U10" i="22"/>
  <c r="L10" i="22"/>
  <c r="V10" i="22"/>
  <c r="P10" i="22"/>
  <c r="W10" i="22"/>
  <c r="X10" i="22"/>
  <c r="H11" i="22"/>
  <c r="U11" i="22"/>
  <c r="L11" i="22"/>
  <c r="V11" i="22"/>
  <c r="P11" i="22"/>
  <c r="W11" i="22"/>
  <c r="X11" i="22"/>
  <c r="H12" i="22"/>
  <c r="U12" i="22"/>
  <c r="L12" i="22"/>
  <c r="V12" i="22"/>
  <c r="P12" i="22"/>
  <c r="W12" i="22"/>
  <c r="X12" i="22"/>
  <c r="H13" i="22"/>
  <c r="U13" i="22"/>
  <c r="L13" i="22"/>
  <c r="V13" i="22"/>
  <c r="P13" i="22"/>
  <c r="W13" i="22"/>
  <c r="X13" i="22"/>
  <c r="H14" i="22"/>
  <c r="U14" i="22"/>
  <c r="L14" i="22"/>
  <c r="V14" i="22"/>
  <c r="P14" i="22"/>
  <c r="W14" i="22"/>
  <c r="X14" i="22"/>
  <c r="H15" i="22"/>
  <c r="U15" i="22"/>
  <c r="L15" i="22"/>
  <c r="V15" i="22"/>
  <c r="P15" i="22"/>
  <c r="W15" i="22"/>
  <c r="X15" i="22"/>
  <c r="H16" i="22"/>
  <c r="U16" i="22"/>
  <c r="L16" i="22"/>
  <c r="V16" i="22"/>
  <c r="P16" i="22"/>
  <c r="W16" i="22"/>
  <c r="X16" i="22"/>
  <c r="H17" i="22"/>
  <c r="U17" i="22"/>
  <c r="L17" i="22"/>
  <c r="V17" i="22"/>
  <c r="P17" i="22"/>
  <c r="W17" i="22"/>
  <c r="X17" i="22"/>
  <c r="H18" i="22"/>
  <c r="U18" i="22"/>
  <c r="L18" i="22"/>
  <c r="V18" i="22"/>
  <c r="P18" i="22"/>
  <c r="W18" i="22"/>
  <c r="X18" i="22"/>
  <c r="H19" i="22"/>
  <c r="U19" i="22"/>
  <c r="L19" i="22"/>
  <c r="V19" i="22"/>
  <c r="P19" i="22"/>
  <c r="W19" i="22"/>
  <c r="X19" i="22"/>
  <c r="L4" i="22"/>
  <c r="V4" i="22"/>
  <c r="P4" i="22"/>
  <c r="W4" i="22"/>
  <c r="X4" i="22"/>
  <c r="C16" i="23"/>
  <c r="C17" i="23"/>
  <c r="C18" i="23"/>
  <c r="C20" i="23"/>
  <c r="C22" i="23"/>
  <c r="C25" i="23"/>
  <c r="C19" i="23"/>
  <c r="C26" i="23"/>
  <c r="C23" i="23"/>
  <c r="M40" i="8"/>
  <c r="M19" i="8"/>
  <c r="U19" i="8"/>
  <c r="Q19" i="8"/>
  <c r="I19" i="8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G7" i="19"/>
  <c r="D25" i="23"/>
  <c r="D26" i="23"/>
  <c r="D21" i="23"/>
  <c r="D20" i="23"/>
  <c r="D18" i="23"/>
  <c r="D19" i="23"/>
  <c r="D17" i="23"/>
  <c r="D16" i="2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4" i="22"/>
  <c r="T13" i="8"/>
  <c r="C21" i="23"/>
  <c r="D24" i="23"/>
  <c r="C24" i="23"/>
  <c r="D22" i="2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3" i="4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14"/>
  <c r="H18" i="14"/>
  <c r="G19" i="14"/>
  <c r="H19" i="14"/>
  <c r="G20" i="14"/>
  <c r="H20" i="14"/>
  <c r="G21" i="14"/>
  <c r="H21" i="14"/>
  <c r="G22" i="14"/>
  <c r="H22" i="14"/>
  <c r="G23" i="14"/>
  <c r="H23" i="14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8"/>
  <c r="H18" i="18"/>
  <c r="G19" i="18"/>
  <c r="H19" i="18"/>
  <c r="G20" i="18"/>
  <c r="H20" i="18"/>
  <c r="G21" i="18"/>
  <c r="H21" i="18"/>
  <c r="G22" i="18"/>
  <c r="H22" i="18"/>
  <c r="G23" i="18"/>
  <c r="H23" i="18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L35" i="8"/>
  <c r="M35" i="8"/>
  <c r="P35" i="8"/>
  <c r="Q35" i="8"/>
  <c r="H36" i="8"/>
  <c r="I36" i="8"/>
  <c r="L36" i="8"/>
  <c r="M36" i="8"/>
  <c r="P36" i="8"/>
  <c r="Q36" i="8"/>
  <c r="H37" i="8"/>
  <c r="I37" i="8"/>
  <c r="L37" i="8"/>
  <c r="M37" i="8"/>
  <c r="P37" i="8"/>
  <c r="Q37" i="8"/>
  <c r="H38" i="8"/>
  <c r="I38" i="8"/>
  <c r="L38" i="8"/>
  <c r="M38" i="8"/>
  <c r="P38" i="8"/>
  <c r="Q38" i="8"/>
  <c r="H39" i="8"/>
  <c r="I39" i="8"/>
  <c r="L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4" i="8"/>
  <c r="L24" i="8"/>
  <c r="H24" i="8"/>
  <c r="U3" i="8"/>
  <c r="Q3" i="8"/>
  <c r="M3" i="8"/>
  <c r="Q24" i="8"/>
  <c r="M24" i="8"/>
  <c r="I24" i="8"/>
  <c r="T3" i="8"/>
  <c r="P3" i="8"/>
  <c r="L3" i="8"/>
  <c r="G3" i="5"/>
  <c r="P25" i="8"/>
  <c r="I25" i="8"/>
  <c r="Q25" i="8"/>
  <c r="H25" i="8"/>
  <c r="G4" i="5"/>
  <c r="L26" i="8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L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L28" i="8"/>
  <c r="H7" i="8"/>
  <c r="P7" i="8"/>
  <c r="G6" i="5"/>
  <c r="U8" i="8"/>
  <c r="M8" i="8"/>
  <c r="I29" i="8"/>
  <c r="P29" i="8"/>
  <c r="L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L30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L31" i="8"/>
  <c r="I31" i="8"/>
  <c r="H10" i="8"/>
  <c r="P32" i="8"/>
  <c r="L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L33" i="8"/>
  <c r="T12" i="8"/>
  <c r="L12" i="8"/>
  <c r="G12" i="5"/>
  <c r="H34" i="8"/>
  <c r="H13" i="8"/>
  <c r="U13" i="8"/>
  <c r="L34" i="8"/>
  <c r="L13" i="8"/>
  <c r="Q34" i="8"/>
  <c r="I34" i="8"/>
  <c r="Q13" i="8"/>
  <c r="I13" i="8"/>
  <c r="P34" i="8"/>
  <c r="P13" i="8"/>
  <c r="M34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<sst xmlns="http://schemas.openxmlformats.org/spreadsheetml/2006/main" count="591" uniqueCount="272">
  <si>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</si>
  <si>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</si>
  <si>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</si>
  <si>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</si>
  <si>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</si>
  <si>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</si>
  <si>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</si>
  <si>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</si>
  <si>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</si>
  <si>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</si>
  <si>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</si>
  <si>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</si>
  <si>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</si>
  <si>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</si>
  <si>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</si>
  <si>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</si>
  <si>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</si>
  <si>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</si>
  <si>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</si>
  <si>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</si>
  <si>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</si>
  <si>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</si>
  <si>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</si>
  <si>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</si>
  <si>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</si>
  <si>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</si>
  <si>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</si>
  <si>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</si>
  <si>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</si>
  <si>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</si>
  <si>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</si>
  <si>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</si>
  <si>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</si>
  <si>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</si>
  <si>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</si>
  <si>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</si>
  <si>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</si>
  <si>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</si>
  <si>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</si>
  <si>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</si>
  <si>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</si>
  <si>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</si>
  <si>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</si>
  <si>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</si>
  <si>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</si>
  <si>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</si>
  <si>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</si>
  <si>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</si>
  <si>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</si>
  <si>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</si>
  <si>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</si>
  <si>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</si>
  <si>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</si>
  <si>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</si>
  <si>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</si>
  <si>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</si>
  <si>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</si>
  <si>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</si>
  <si>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</si>
  <si>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</si>
  <si>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</si>
  <si>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</si>
  <si>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</si>
  <si>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</si>
  <si>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</si>
  <si>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</si>
  <si>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</si>
  <si>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</si>
  <si>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</si>
  <si>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</si>
  <si>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</si>
  <si>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</si>
  <si>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</si>
  <si>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</si>
  <si>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</si>
  <si>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</si>
  <si>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</si>
  <si>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</si>
  <si>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</si>
  <si>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</si>
  <si>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</si>
  <si>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</si>
  <si>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</si>
  <si>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</si>
  <si>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</si>
  <si>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</si>
  <si>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</si>
  <si>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</si>
  <si>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Na-acetate trihydrate (50 mM)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</si>
  <si>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</si>
  <si>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</si>
  <si>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</si>
  <si>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</si>
  <si>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</si>
  <si>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</si>
  <si>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</si>
  <si>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</si>
  <si>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</si>
  <si>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</si>
  <si>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</si>
  <si>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</si>
  <si>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</si>
  <si>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</si>
  <si>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</si>
  <si>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</si>
  <si>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</si>
  <si>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</si>
  <si>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</si>
  <si>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</si>
  <si>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</si>
  <si>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</si>
  <si>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</si>
  <si>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</si>
  <si>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</si>
  <si>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</si>
  <si>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</si>
  <si>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</si>
  <si>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Roseburia intestinalis 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</si>
  <si>
    <t>x</t>
  </si>
  <si>
    <t>2x</t>
  </si>
  <si>
    <t>z</t>
  </si>
  <si>
    <t>2x-z</t>
  </si>
  <si>
    <t>y</t>
  </si>
  <si>
    <t>(2x-2+Y)/2</t>
  </si>
  <si>
    <t>2x NAD + H2 wordt NADH + H+</t>
  </si>
  <si>
    <t>2x-z+y NADH + H+ wordt NAD + H2</t>
  </si>
  <si>
    <t>Theoretical</t>
  </si>
  <si>
    <t>Experimental</t>
  </si>
  <si>
    <t>2x-z-y</t>
  </si>
  <si>
    <t>f</t>
  </si>
  <si>
    <t>2x-z -f</t>
  </si>
  <si>
    <t>LN(Count/mL)</t>
  </si>
  <si>
    <t>D - Fructose (50 mM)</t>
  </si>
  <si>
    <t>D-Fructose</t>
  </si>
  <si>
    <t>D Fructose</t>
  </si>
  <si>
    <t>D-Fructose consumed</t>
  </si>
  <si>
    <t>10 ml of a 0,1 g/l stock solution</t>
  </si>
  <si>
    <t>2x-z-y-f</t>
  </si>
  <si>
    <t>2x-z+y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</si>
  <si>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</si>
  <si>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</si>
  <si>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</si>
  <si>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t>13,5 g in 100 ml MilliQ,H20 per 1.5l</t>
  </si>
  <si>
    <t xml:space="preserve">2x-z-y </t>
  </si>
  <si>
    <t>LOG</t>
  </si>
  <si>
    <t>STDEV LOG(Count/mL)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</si>
  <si>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</si>
  <si>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</si>
  <si>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</si>
  <si>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</si>
  <si>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</si>
  <si>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</si>
  <si>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</si>
  <si>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</si>
  <si>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</si>
  <si>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</si>
  <si>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</si>
  <si>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</si>
  <si>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</si>
  <si>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</si>
  <si>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</si>
  <si>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</si>
  <si>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</si>
  <si>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</si>
  <si>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x moles D-fructose consumed</t>
  </si>
  <si>
    <t>2x moles pyruvate produced</t>
  </si>
  <si>
    <t>z moles lactate produced</t>
  </si>
  <si>
    <t>f moles formate produced</t>
  </si>
  <si>
    <t xml:space="preserve">2x-z moles </t>
  </si>
  <si>
    <t>2x-z-f moles CO2 produced</t>
  </si>
  <si>
    <t>y moles acetate consumed</t>
  </si>
  <si>
    <t>2x-z+y  moles acetyl-CoA produced</t>
  </si>
  <si>
    <t>(2x-2+Y)/2 moles butyrate produced</t>
  </si>
  <si>
    <t>2x-z-y-f moles H2</t>
  </si>
  <si>
    <t>intercept</t>
  </si>
  <si>
    <t>Rico</t>
  </si>
  <si>
    <t>AUTO</t>
  </si>
  <si>
    <t>Average CT</t>
  </si>
  <si>
    <t>CT3</t>
  </si>
  <si>
    <t>CT2</t>
  </si>
  <si>
    <t>CT1</t>
  </si>
  <si>
    <t xml:space="preserve">Dilution </t>
  </si>
  <si>
    <t>Dilution log (10x)</t>
  </si>
  <si>
    <t>STDV Log (cells/ml)</t>
  </si>
  <si>
    <t>Log (cells/ml)</t>
  </si>
  <si>
    <t>Log (cells/ml) 3</t>
  </si>
  <si>
    <t>Log (cells/ml) 2</t>
  </si>
  <si>
    <t>Log (cells/ml) 1</t>
  </si>
  <si>
    <t>Ct3</t>
  </si>
  <si>
    <t>Ct2</t>
  </si>
  <si>
    <t>Ct1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</si>
  <si>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</si>
  <si>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</si>
  <si>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</si>
  <si>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</si>
  <si>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</si>
  <si>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</si>
  <si>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</si>
  <si>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</si>
  <si>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</si>
  <si>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</si>
  <si>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</si>
  <si>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</si>
  <si>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</si>
  <si>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</si>
  <si>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</si>
  <si>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</si>
  <si>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 xml:space="preserve">Volume (ul) </t>
  </si>
  <si>
    <t>Log (cells/ml medium)</t>
  </si>
  <si>
    <t>STDV Log (cells/ml medium)</t>
  </si>
  <si>
    <t>cells/ml medium</t>
  </si>
  <si>
    <t>CT1 normalized</t>
  </si>
  <si>
    <t>CT2 normalized</t>
  </si>
  <si>
    <t>CT3 normalized</t>
  </si>
  <si>
    <t>Average CT normalized</t>
  </si>
  <si>
    <t>Dilution for 1 ml</t>
  </si>
  <si>
    <t>Log Dilution for 1 ml</t>
  </si>
  <si>
    <t>Efficiency E (%)</t>
  </si>
  <si>
    <t>Ct1 IPC corrected</t>
  </si>
  <si>
    <t>Ct2 IPC corrected</t>
  </si>
  <si>
    <t>Ct3 IPC corrected</t>
  </si>
  <si>
    <t>IPC RI10 epp</t>
  </si>
  <si>
    <t>R. Intestinalis</t>
  </si>
  <si>
    <t>IPC value epp 10</t>
  </si>
  <si>
    <t>STDV(cells/ml medium)</t>
  </si>
  <si>
    <t>Total average</t>
  </si>
  <si>
    <t>Threshold</t>
  </si>
  <si>
    <t>Baseline</t>
  </si>
  <si>
    <t>plate 20150701</t>
  </si>
  <si>
    <t>plate 20150629</t>
  </si>
  <si>
    <t>plate 20150630</t>
  </si>
  <si>
    <t>outliers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</si>
  <si>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</si>
  <si>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</si>
  <si>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</si>
  <si>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</si>
  <si>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</si>
  <si>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</si>
  <si>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</si>
  <si>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plate 20150807</t>
  </si>
  <si>
    <t>IPC value epp 7</t>
  </si>
  <si>
    <t>plate 20150831</t>
  </si>
  <si>
    <t>plate 20150902</t>
  </si>
  <si>
    <t>plate 20150903</t>
  </si>
  <si>
    <t>IPC value epp 6</t>
  </si>
  <si>
    <t>plate 20150908</t>
  </si>
  <si>
    <t>plate 20150910</t>
  </si>
  <si>
    <t>R. intestinalis</t>
  </si>
  <si>
    <t>plate 20150911</t>
  </si>
  <si>
    <t>IPC value epp 5</t>
  </si>
  <si>
    <t>plate 20150922</t>
  </si>
  <si>
    <t>plate 20151007</t>
  </si>
  <si>
    <t>plate 20151009</t>
  </si>
  <si>
    <t>IPC value epp 4</t>
  </si>
  <si>
    <t>plate 20151013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</si>
  <si>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</si>
  <si>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</si>
  <si>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</si>
  <si>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</si>
  <si>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</si>
  <si>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</si>
  <si>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</si>
  <si>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</si>
  <si>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</si>
  <si>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</si>
  <si>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</si>
  <si>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</si>
  <si>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</si>
  <si>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</si>
  <si>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</si>
  <si>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</si>
  <si>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plate 20160405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</si>
</sst>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  <font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416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1" fontId="25" fillId="0" borderId="16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" fontId="25" fillId="0" borderId="20" xfId="0" applyNumberFormat="1" applyFont="1" applyBorder="1" applyAlignment="1">
      <alignment horizontal="center"/>
    </xf>
    <xf numFmtId="164" fontId="24" fillId="0" borderId="16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65" fontId="0" fillId="0" borderId="0" xfId="0" applyNumberFormat="1"/>
    <xf numFmtId="165" fontId="24" fillId="0" borderId="0" xfId="0" applyNumberFormat="1" applyFont="1"/>
    <xf numFmtId="0" fontId="0" fillId="12" borderId="0" xfId="0" applyFill="1"/>
    <xf numFmtId="0" fontId="27" fillId="0" borderId="0" xfId="0" applyFont="1"/>
    <xf numFmtId="165" fontId="27" fillId="0" borderId="0" xfId="0" applyNumberFormat="1" applyFont="1"/>
    <xf numFmtId="165" fontId="18" fillId="0" borderId="0" xfId="0" applyNumberFormat="1" applyFont="1"/>
    <xf numFmtId="164" fontId="25" fillId="0" borderId="18" xfId="0" applyNumberFormat="1" applyFont="1" applyBorder="1" applyAlignment="1">
      <alignment horizontal="center"/>
    </xf>
    <xf numFmtId="164" fontId="25" fillId="0" borderId="18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/>
    </xf>
    <xf numFmtId="164" fontId="24" fillId="0" borderId="18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 applyProtection="1">
      <alignment horizontal="center" vertical="center"/>
    </xf>
    <xf numFmtId="0" fontId="28" fillId="0" borderId="0" xfId="315"/>
    <xf numFmtId="0" fontId="28" fillId="0" borderId="16" xfId="315" applyBorder="1"/>
    <xf numFmtId="0" fontId="28" fillId="2" borderId="16" xfId="315" applyFill="1" applyBorder="1"/>
    <xf numFmtId="2" fontId="28" fillId="0" borderId="16" xfId="315" applyNumberFormat="1" applyBorder="1" applyAlignment="1">
      <alignment horizontal="center" vertical="center"/>
    </xf>
    <xf numFmtId="11" fontId="28" fillId="0" borderId="16" xfId="315" applyNumberFormat="1" applyBorder="1" applyAlignment="1">
      <alignment horizontal="center" vertical="center"/>
    </xf>
    <xf numFmtId="11" fontId="28" fillId="0" borderId="16" xfId="315" applyNumberFormat="1" applyFill="1" applyBorder="1" applyAlignment="1">
      <alignment horizontal="center" vertical="center"/>
    </xf>
    <xf numFmtId="0" fontId="28" fillId="0" borderId="16" xfId="315" applyBorder="1" applyAlignment="1">
      <alignment horizontal="center" vertical="center"/>
    </xf>
    <xf numFmtId="0" fontId="28" fillId="0" borderId="16" xfId="315" applyFill="1" applyBorder="1" applyAlignment="1">
      <alignment horizontal="center" vertical="center"/>
    </xf>
    <xf numFmtId="0" fontId="28" fillId="0" borderId="3" xfId="315" applyFill="1" applyBorder="1" applyAlignment="1">
      <alignment horizontal="center" vertical="center"/>
    </xf>
    <xf numFmtId="0" fontId="28" fillId="2" borderId="3" xfId="315" applyFill="1" applyBorder="1" applyAlignment="1">
      <alignment horizontal="center" vertical="center"/>
    </xf>
    <xf numFmtId="0" fontId="28" fillId="2" borderId="16" xfId="315" applyFill="1" applyBorder="1" applyAlignment="1">
      <alignment horizontal="center" vertical="center"/>
    </xf>
    <xf numFmtId="0" fontId="28" fillId="2" borderId="4" xfId="315" applyFill="1" applyBorder="1" applyAlignment="1">
      <alignment horizontal="center" vertical="center"/>
    </xf>
    <xf numFmtId="165" fontId="28" fillId="0" borderId="16" xfId="315" applyNumberFormat="1" applyBorder="1"/>
    <xf numFmtId="0" fontId="0" fillId="0" borderId="16" xfId="315" applyFont="1" applyBorder="1" applyAlignment="1">
      <alignment horizontal="center" vertical="center"/>
    </xf>
    <xf numFmtId="0" fontId="29" fillId="13" borderId="0" xfId="315" applyFont="1" applyFill="1"/>
    <xf numFmtId="0" fontId="0" fillId="0" borderId="16" xfId="315" applyFont="1" applyBorder="1"/>
    <xf numFmtId="0" fontId="28" fillId="2" borderId="21" xfId="315" applyFill="1" applyBorder="1" applyAlignment="1">
      <alignment wrapText="1"/>
    </xf>
    <xf numFmtId="0" fontId="0" fillId="2" borderId="21" xfId="315" applyFont="1" applyFill="1" applyBorder="1" applyAlignment="1">
      <alignment wrapText="1"/>
    </xf>
    <xf numFmtId="0" fontId="0" fillId="0" borderId="0" xfId="315" applyFont="1"/>
    <xf numFmtId="0" fontId="0" fillId="2" borderId="21" xfId="315" applyFont="1" applyFill="1" applyBorder="1" applyAlignment="1">
      <alignment horizontal="center" vertical="center" wrapText="1"/>
    </xf>
    <xf numFmtId="165" fontId="28" fillId="0" borderId="16" xfId="315" applyNumberFormat="1" applyBorder="1" applyAlignment="1">
      <alignment horizontal="center" vertical="center"/>
    </xf>
    <xf numFmtId="0" fontId="28" fillId="0" borderId="0" xfId="315" applyFont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2" fontId="28" fillId="0" borderId="16" xfId="315" applyNumberFormat="1" applyBorder="1"/>
    <xf numFmtId="1" fontId="28" fillId="0" borderId="16" xfId="315" applyNumberFormat="1" applyBorder="1"/>
    <xf numFmtId="165" fontId="28" fillId="0" borderId="0" xfId="315" applyNumberFormat="1"/>
    <xf numFmtId="165" fontId="0" fillId="0" borderId="16" xfId="315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15" applyNumberFormat="1" applyFill="1" applyBorder="1" applyAlignment="1">
      <alignment horizontal="center" vertical="center"/>
    </xf>
    <xf numFmtId="0" fontId="28" fillId="0" borderId="5" xfId="315" applyNumberFormat="1" applyFill="1" applyBorder="1" applyAlignment="1">
      <alignment horizontal="center" vertical="center"/>
    </xf>
    <xf numFmtId="0" fontId="28" fillId="0" borderId="18" xfId="315" applyNumberFormat="1" applyFill="1" applyBorder="1" applyAlignment="1">
      <alignment horizontal="center" vertical="center"/>
    </xf>
    <xf numFmtId="0" fontId="28" fillId="2" borderId="4" xfId="315" applyFill="1" applyBorder="1" applyAlignment="1">
      <alignment horizontal="center" vertical="center"/>
    </xf>
    <xf numFmtId="0" fontId="28" fillId="2" borderId="3" xfId="315" applyFill="1" applyBorder="1" applyAlignment="1">
      <alignment horizontal="center" vertical="center"/>
    </xf>
    <xf numFmtId="0" fontId="0" fillId="2" borderId="4" xfId="315" applyFont="1" applyFill="1" applyBorder="1" applyAlignment="1">
      <alignment horizontal="center" vertical="center"/>
    </xf>
    <xf numFmtId="0" fontId="28" fillId="2" borderId="16" xfId="315" applyFill="1" applyBorder="1" applyAlignment="1">
      <alignment horizontal="center" vertical="center"/>
    </xf>
    <xf numFmtId="0" fontId="21" fillId="0" borderId="23" xfId="315" applyFont="1" applyBorder="1" applyAlignment="1">
      <alignment horizontal="center"/>
    </xf>
    <xf numFmtId="0" fontId="28" fillId="0" borderId="23" xfId="315" applyBorder="1" applyAlignment="1">
      <alignment horizontal="center"/>
    </xf>
    <xf numFmtId="0" fontId="25" fillId="11" borderId="4" xfId="0" applyFont="1" applyFill="1" applyBorder="1" applyAlignment="1">
      <alignment horizontal="center" vertical="center"/>
    </xf>
    <xf numFmtId="0" fontId="25" fillId="11" borderId="2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416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Input" xfId="10"/>
    <cellStyle name="Linked Cell" xfId="11"/>
    <cellStyle name="Neutral" xfId="12"/>
    <cellStyle name="Normal" xfId="0" builtinId="0"/>
    <cellStyle name="Normal 2" xfId="315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C97A36"/>
      <color rgb="FFFBC008"/>
      <color rgb="FF67FE66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31848"/>
        <c:axId val="-2077193656"/>
      </c:scatterChart>
      <c:valAx>
        <c:axId val="-2106731848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77193656"/>
        <c:crosses val="autoZero"/>
        <c:crossBetween val="midCat"/>
        <c:majorUnit val="2.0"/>
      </c:valAx>
      <c:valAx>
        <c:axId val="-2077193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673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4106320726302"/>
          <c:y val="0.0345387605837973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0.0339372594381495</c:v>
                  </c:pt>
                  <c:pt idx="1">
                    <c:v>0.0222474613578116</c:v>
                  </c:pt>
                  <c:pt idx="2">
                    <c:v>0.0128628879645219</c:v>
                  </c:pt>
                  <c:pt idx="3">
                    <c:v>0.0129009720147499</c:v>
                  </c:pt>
                  <c:pt idx="4">
                    <c:v>0.0259009537917006</c:v>
                  </c:pt>
                  <c:pt idx="5">
                    <c:v>0.0130016645515651</c:v>
                  </c:pt>
                  <c:pt idx="6">
                    <c:v>0.0130549064211456</c:v>
                  </c:pt>
                  <c:pt idx="7">
                    <c:v>0.026243253112354</c:v>
                  </c:pt>
                  <c:pt idx="8">
                    <c:v>0.0348701737645898</c:v>
                  </c:pt>
                  <c:pt idx="9">
                    <c:v>0.0132400334021873</c:v>
                  </c:pt>
                  <c:pt idx="10">
                    <c:v>0.0133161985032547</c:v>
                  </c:pt>
                  <c:pt idx="11">
                    <c:v>0.058159819802561</c:v>
                  </c:pt>
                  <c:pt idx="12">
                    <c:v>0.0612723398496774</c:v>
                  </c:pt>
                  <c:pt idx="13">
                    <c:v>0.0668536036590962</c:v>
                  </c:pt>
                  <c:pt idx="14">
                    <c:v>0.0401121621954579</c:v>
                  </c:pt>
                  <c:pt idx="15">
                    <c:v>0.0267414414636386</c:v>
                  </c:pt>
                  <c:pt idx="16">
                    <c:v>0.0133707207318193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0.0339372594381495</c:v>
                  </c:pt>
                  <c:pt idx="1">
                    <c:v>0.0222474613578116</c:v>
                  </c:pt>
                  <c:pt idx="2">
                    <c:v>0.0128628879645219</c:v>
                  </c:pt>
                  <c:pt idx="3">
                    <c:v>0.0129009720147499</c:v>
                  </c:pt>
                  <c:pt idx="4">
                    <c:v>0.0259009537917006</c:v>
                  </c:pt>
                  <c:pt idx="5">
                    <c:v>0.0130016645515651</c:v>
                  </c:pt>
                  <c:pt idx="6">
                    <c:v>0.0130549064211456</c:v>
                  </c:pt>
                  <c:pt idx="7">
                    <c:v>0.026243253112354</c:v>
                  </c:pt>
                  <c:pt idx="8">
                    <c:v>0.0348701737645898</c:v>
                  </c:pt>
                  <c:pt idx="9">
                    <c:v>0.0132400334021873</c:v>
                  </c:pt>
                  <c:pt idx="10">
                    <c:v>0.0133161985032547</c:v>
                  </c:pt>
                  <c:pt idx="11">
                    <c:v>0.058159819802561</c:v>
                  </c:pt>
                  <c:pt idx="12">
                    <c:v>0.0612723398496774</c:v>
                  </c:pt>
                  <c:pt idx="13">
                    <c:v>0.0668536036590962</c:v>
                  </c:pt>
                  <c:pt idx="14">
                    <c:v>0.0401121621954579</c:v>
                  </c:pt>
                  <c:pt idx="15">
                    <c:v>0.0267414414636386</c:v>
                  </c:pt>
                  <c:pt idx="16">
                    <c:v>0.0133707207318193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0.903497492908109</c:v>
                </c:pt>
                <c:pt idx="1">
                  <c:v>0.889898454312462</c:v>
                </c:pt>
                <c:pt idx="2">
                  <c:v>0.87631423580698</c:v>
                </c:pt>
                <c:pt idx="3">
                  <c:v>0.640560651235038</c:v>
                </c:pt>
                <c:pt idx="4">
                  <c:v>0.7028343642636</c:v>
                </c:pt>
                <c:pt idx="5">
                  <c:v>0.728131909289655</c:v>
                </c:pt>
                <c:pt idx="6">
                  <c:v>0.776337134858862</c:v>
                </c:pt>
                <c:pt idx="7">
                  <c:v>0.803032110187943</c:v>
                </c:pt>
                <c:pt idx="8">
                  <c:v>0.943552673132836</c:v>
                </c:pt>
                <c:pt idx="9">
                  <c:v>1.956899033301139</c:v>
                </c:pt>
                <c:pt idx="10">
                  <c:v>3.697981290200002</c:v>
                </c:pt>
                <c:pt idx="11">
                  <c:v>3.620624470849521</c:v>
                </c:pt>
                <c:pt idx="12">
                  <c:v>3.751720357894741</c:v>
                </c:pt>
                <c:pt idx="13">
                  <c:v>3.975588445094221</c:v>
                </c:pt>
                <c:pt idx="14">
                  <c:v>4.585435992982462</c:v>
                </c:pt>
                <c:pt idx="15">
                  <c:v>4.685790652761539</c:v>
                </c:pt>
                <c:pt idx="16">
                  <c:v>4.762986544899291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BC008"/>
              </a:solidFill>
            </a:ln>
          </c:spPr>
          <c:marker>
            <c:symbol val="circle"/>
            <c:size val="8"/>
            <c:spPr>
              <a:solidFill>
                <a:srgbClr val="FBC008"/>
              </a:solidFill>
              <a:ln>
                <a:solidFill>
                  <a:srgbClr val="FBC008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0.296221984590847</c:v>
                  </c:pt>
                  <c:pt idx="1">
                    <c:v>0.95039961997252</c:v>
                  </c:pt>
                  <c:pt idx="2">
                    <c:v>0.418759146810208</c:v>
                  </c:pt>
                  <c:pt idx="3">
                    <c:v>0.592389830416045</c:v>
                  </c:pt>
                  <c:pt idx="4">
                    <c:v>0.448081427601512</c:v>
                  </c:pt>
                  <c:pt idx="5">
                    <c:v>0.0850141316299416</c:v>
                  </c:pt>
                  <c:pt idx="6">
                    <c:v>0.0678390491174051</c:v>
                  </c:pt>
                  <c:pt idx="7">
                    <c:v>0.136371512706198</c:v>
                  </c:pt>
                  <c:pt idx="8">
                    <c:v>0.408539821515406</c:v>
                  </c:pt>
                  <c:pt idx="9">
                    <c:v>0.103201575788269</c:v>
                  </c:pt>
                  <c:pt idx="10">
                    <c:v>0.339581910740119</c:v>
                  </c:pt>
                  <c:pt idx="11">
                    <c:v>0.505162767377819</c:v>
                  </c:pt>
                  <c:pt idx="12">
                    <c:v>0.250514277721852</c:v>
                  </c:pt>
                  <c:pt idx="13">
                    <c:v>0.402645367498656</c:v>
                  </c:pt>
                  <c:pt idx="14">
                    <c:v>0.453399079235277</c:v>
                  </c:pt>
                  <c:pt idx="15">
                    <c:v>0.313303392072963</c:v>
                  </c:pt>
                  <c:pt idx="16">
                    <c:v>0.0874272834661981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0.296221984590847</c:v>
                  </c:pt>
                  <c:pt idx="1">
                    <c:v>0.95039961997252</c:v>
                  </c:pt>
                  <c:pt idx="2">
                    <c:v>0.418759146810208</c:v>
                  </c:pt>
                  <c:pt idx="3">
                    <c:v>0.592389830416045</c:v>
                  </c:pt>
                  <c:pt idx="4">
                    <c:v>0.448081427601512</c:v>
                  </c:pt>
                  <c:pt idx="5">
                    <c:v>0.0850141316299416</c:v>
                  </c:pt>
                  <c:pt idx="6">
                    <c:v>0.0678390491174051</c:v>
                  </c:pt>
                  <c:pt idx="7">
                    <c:v>0.136371512706198</c:v>
                  </c:pt>
                  <c:pt idx="8">
                    <c:v>0.408539821515406</c:v>
                  </c:pt>
                  <c:pt idx="9">
                    <c:v>0.103201575788269</c:v>
                  </c:pt>
                  <c:pt idx="10">
                    <c:v>0.339581910740119</c:v>
                  </c:pt>
                  <c:pt idx="11">
                    <c:v>0.505162767377819</c:v>
                  </c:pt>
                  <c:pt idx="12">
                    <c:v>0.250514277721852</c:v>
                  </c:pt>
                  <c:pt idx="13">
                    <c:v>0.402645367498656</c:v>
                  </c:pt>
                  <c:pt idx="14">
                    <c:v>0.453399079235277</c:v>
                  </c:pt>
                  <c:pt idx="15">
                    <c:v>0.313303392072963</c:v>
                  </c:pt>
                  <c:pt idx="16">
                    <c:v>0.0874272834661981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48.15834888803583</c:v>
                </c:pt>
                <c:pt idx="1">
                  <c:v>47.22285789413833</c:v>
                </c:pt>
                <c:pt idx="2">
                  <c:v>47.22333363247685</c:v>
                </c:pt>
                <c:pt idx="3">
                  <c:v>45.3743232895586</c:v>
                </c:pt>
                <c:pt idx="4">
                  <c:v>44.05670152977022</c:v>
                </c:pt>
                <c:pt idx="5">
                  <c:v>41.33691670846962</c:v>
                </c:pt>
                <c:pt idx="6">
                  <c:v>38.63433847236216</c:v>
                </c:pt>
                <c:pt idx="7">
                  <c:v>35.93389359808304</c:v>
                </c:pt>
                <c:pt idx="8">
                  <c:v>32.21193687703313</c:v>
                </c:pt>
                <c:pt idx="9">
                  <c:v>31.30447798910822</c:v>
                </c:pt>
                <c:pt idx="10">
                  <c:v>31.16164269853175</c:v>
                </c:pt>
                <c:pt idx="11">
                  <c:v>30.28781968812307</c:v>
                </c:pt>
                <c:pt idx="12">
                  <c:v>30.05016898581139</c:v>
                </c:pt>
                <c:pt idx="13">
                  <c:v>29.88804861363361</c:v>
                </c:pt>
                <c:pt idx="14">
                  <c:v>30.13122917190029</c:v>
                </c:pt>
                <c:pt idx="15">
                  <c:v>30.27018949090983</c:v>
                </c:pt>
                <c:pt idx="16">
                  <c:v>29.15850693883357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0.0438968939310152</c:v>
                  </c:pt>
                  <c:pt idx="5">
                    <c:v>0.0673186471145329</c:v>
                  </c:pt>
                  <c:pt idx="6">
                    <c:v>0.051096500995733</c:v>
                  </c:pt>
                  <c:pt idx="7">
                    <c:v>0.0513576415459669</c:v>
                  </c:pt>
                  <c:pt idx="8">
                    <c:v>0.112426656352616</c:v>
                  </c:pt>
                  <c:pt idx="9">
                    <c:v>0.0448783737134155</c:v>
                  </c:pt>
                  <c:pt idx="10">
                    <c:v>0.0781787852165882</c:v>
                  </c:pt>
                  <c:pt idx="11">
                    <c:v>0.0261116102320208</c:v>
                  </c:pt>
                  <c:pt idx="12">
                    <c:v>0.0453213510564981</c:v>
                  </c:pt>
                  <c:pt idx="13">
                    <c:v>0.0784988826975201</c:v>
                  </c:pt>
                  <c:pt idx="14">
                    <c:v>0.0692295072713565</c:v>
                  </c:pt>
                  <c:pt idx="15">
                    <c:v>0.0784988826975201</c:v>
                  </c:pt>
                  <c:pt idx="16">
                    <c:v>0.0943439155441806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0.0438968939310152</c:v>
                  </c:pt>
                  <c:pt idx="5">
                    <c:v>0.0673186471145329</c:v>
                  </c:pt>
                  <c:pt idx="6">
                    <c:v>0.051096500995733</c:v>
                  </c:pt>
                  <c:pt idx="7">
                    <c:v>0.0513576415459669</c:v>
                  </c:pt>
                  <c:pt idx="8">
                    <c:v>0.112426656352616</c:v>
                  </c:pt>
                  <c:pt idx="9">
                    <c:v>0.0448783737134155</c:v>
                  </c:pt>
                  <c:pt idx="10">
                    <c:v>0.0781787852165882</c:v>
                  </c:pt>
                  <c:pt idx="11">
                    <c:v>0.0261116102320208</c:v>
                  </c:pt>
                  <c:pt idx="12">
                    <c:v>0.0453213510564981</c:v>
                  </c:pt>
                  <c:pt idx="13">
                    <c:v>0.0784988826975201</c:v>
                  </c:pt>
                  <c:pt idx="14">
                    <c:v>0.0692295072713565</c:v>
                  </c:pt>
                  <c:pt idx="15">
                    <c:v>0.0784988826975201</c:v>
                  </c:pt>
                  <c:pt idx="16">
                    <c:v>0.0943439155441806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0.175587575724061</c:v>
                </c:pt>
                <c:pt idx="5">
                  <c:v>0.778577056784356</c:v>
                </c:pt>
                <c:pt idx="6">
                  <c:v>1.607781533947131</c:v>
                </c:pt>
                <c:pt idx="7">
                  <c:v>2.772401054036024</c:v>
                </c:pt>
                <c:pt idx="8">
                  <c:v>3.767492426632505</c:v>
                </c:pt>
                <c:pt idx="9">
                  <c:v>4.891742734762286</c:v>
                </c:pt>
                <c:pt idx="10">
                  <c:v>5.822614006973246</c:v>
                </c:pt>
                <c:pt idx="11">
                  <c:v>5.773933810233374</c:v>
                </c:pt>
                <c:pt idx="12">
                  <c:v>5.710490233118757</c:v>
                </c:pt>
                <c:pt idx="13">
                  <c:v>5.755811584175255</c:v>
                </c:pt>
                <c:pt idx="14">
                  <c:v>5.876668520325918</c:v>
                </c:pt>
                <c:pt idx="15">
                  <c:v>5.891775637344749</c:v>
                </c:pt>
                <c:pt idx="16">
                  <c:v>5.952204105420081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0.0644889772818406</c:v>
                </c:pt>
                <c:pt idx="1">
                  <c:v>0.21042218891866</c:v>
                </c:pt>
                <c:pt idx="2">
                  <c:v>0.392411238499223</c:v>
                </c:pt>
                <c:pt idx="3">
                  <c:v>0.609681825711842</c:v>
                </c:pt>
                <c:pt idx="4">
                  <c:v>0.868442659290828</c:v>
                </c:pt>
                <c:pt idx="5">
                  <c:v>1.186866130555739</c:v>
                </c:pt>
                <c:pt idx="6">
                  <c:v>1.592127436281253</c:v>
                </c:pt>
                <c:pt idx="7">
                  <c:v>2.102587433638475</c:v>
                </c:pt>
                <c:pt idx="8">
                  <c:v>2.697025339450361</c:v>
                </c:pt>
                <c:pt idx="9">
                  <c:v>3.394292683249099</c:v>
                </c:pt>
                <c:pt idx="10">
                  <c:v>4.290092801370937</c:v>
                </c:pt>
                <c:pt idx="11">
                  <c:v>5.417047255564531</c:v>
                </c:pt>
                <c:pt idx="12">
                  <c:v>6.763427012246581</c:v>
                </c:pt>
                <c:pt idx="13">
                  <c:v>8.295881792597235</c:v>
                </c:pt>
                <c:pt idx="14">
                  <c:v>9.95566905011848</c:v>
                </c:pt>
                <c:pt idx="15">
                  <c:v>11.76633902142193</c:v>
                </c:pt>
                <c:pt idx="16">
                  <c:v>13.7127493497144</c:v>
                </c:pt>
                <c:pt idx="17">
                  <c:v>15.7527345067024</c:v>
                </c:pt>
                <c:pt idx="18">
                  <c:v>17.92287046571687</c:v>
                </c:pt>
                <c:pt idx="19">
                  <c:v>20.19766694618785</c:v>
                </c:pt>
                <c:pt idx="20">
                  <c:v>22.59129668731574</c:v>
                </c:pt>
                <c:pt idx="21">
                  <c:v>25.12693445032764</c:v>
                </c:pt>
                <c:pt idx="22">
                  <c:v>27.73444786860345</c:v>
                </c:pt>
                <c:pt idx="23">
                  <c:v>30.4522317548652</c:v>
                </c:pt>
                <c:pt idx="24">
                  <c:v>33.2738084730537</c:v>
                </c:pt>
                <c:pt idx="25">
                  <c:v>36.12692271003037</c:v>
                </c:pt>
                <c:pt idx="26">
                  <c:v>39.10629781614443</c:v>
                </c:pt>
                <c:pt idx="27">
                  <c:v>42.20472552322114</c:v>
                </c:pt>
                <c:pt idx="28">
                  <c:v>45.38212135546743</c:v>
                </c:pt>
                <c:pt idx="29">
                  <c:v>48.36559402704686</c:v>
                </c:pt>
                <c:pt idx="30">
                  <c:v>50.77948065593427</c:v>
                </c:pt>
                <c:pt idx="31">
                  <c:v>52.70900873066926</c:v>
                </c:pt>
                <c:pt idx="32">
                  <c:v>54.2640907153383</c:v>
                </c:pt>
                <c:pt idx="33">
                  <c:v>55.46165728980719</c:v>
                </c:pt>
                <c:pt idx="34">
                  <c:v>56.40236907718857</c:v>
                </c:pt>
                <c:pt idx="35">
                  <c:v>57.15111194022423</c:v>
                </c:pt>
                <c:pt idx="36">
                  <c:v>57.72901474322607</c:v>
                </c:pt>
                <c:pt idx="37">
                  <c:v>58.16277047693245</c:v>
                </c:pt>
                <c:pt idx="38">
                  <c:v>58.47686142136922</c:v>
                </c:pt>
                <c:pt idx="39">
                  <c:v>58.70614312179828</c:v>
                </c:pt>
                <c:pt idx="40">
                  <c:v>58.87302148761228</c:v>
                </c:pt>
                <c:pt idx="41">
                  <c:v>58.99354907758342</c:v>
                </c:pt>
                <c:pt idx="42">
                  <c:v>59.08136581468018</c:v>
                </c:pt>
                <c:pt idx="43">
                  <c:v>59.1463867503619</c:v>
                </c:pt>
                <c:pt idx="44">
                  <c:v>59.19494462421697</c:v>
                </c:pt>
                <c:pt idx="45">
                  <c:v>59.23330003722173</c:v>
                </c:pt>
                <c:pt idx="46">
                  <c:v>59.26485094701628</c:v>
                </c:pt>
                <c:pt idx="47">
                  <c:v>59.2898023188635</c:v>
                </c:pt>
                <c:pt idx="48">
                  <c:v>59.30076395272658</c:v>
                </c:pt>
                <c:pt idx="49">
                  <c:v>59.30076395272658</c:v>
                </c:pt>
                <c:pt idx="50">
                  <c:v>59.30076395272658</c:v>
                </c:pt>
                <c:pt idx="51">
                  <c:v>59.30076395272658</c:v>
                </c:pt>
                <c:pt idx="52">
                  <c:v>59.30076395272658</c:v>
                </c:pt>
                <c:pt idx="53">
                  <c:v>59.30076395272658</c:v>
                </c:pt>
                <c:pt idx="54">
                  <c:v>59.30076395272658</c:v>
                </c:pt>
                <c:pt idx="55">
                  <c:v>59.30076395272658</c:v>
                </c:pt>
                <c:pt idx="56">
                  <c:v>59.30076395272658</c:v>
                </c:pt>
                <c:pt idx="57">
                  <c:v>59.30076395272658</c:v>
                </c:pt>
                <c:pt idx="58">
                  <c:v>59.30076395272658</c:v>
                </c:pt>
                <c:pt idx="59">
                  <c:v>59.30076395272658</c:v>
                </c:pt>
                <c:pt idx="60">
                  <c:v>59.30076395272658</c:v>
                </c:pt>
                <c:pt idx="61">
                  <c:v>59.30076395272658</c:v>
                </c:pt>
                <c:pt idx="62">
                  <c:v>59.30076395272658</c:v>
                </c:pt>
                <c:pt idx="63">
                  <c:v>59.30076395272658</c:v>
                </c:pt>
                <c:pt idx="64">
                  <c:v>59.30076395272658</c:v>
                </c:pt>
                <c:pt idx="65">
                  <c:v>59.30076395272658</c:v>
                </c:pt>
                <c:pt idx="66">
                  <c:v>59.30076395272658</c:v>
                </c:pt>
                <c:pt idx="67">
                  <c:v>59.30076395272658</c:v>
                </c:pt>
                <c:pt idx="68">
                  <c:v>59.30076395272658</c:v>
                </c:pt>
                <c:pt idx="69">
                  <c:v>59.30076395272658</c:v>
                </c:pt>
                <c:pt idx="70">
                  <c:v>59.30076395272658</c:v>
                </c:pt>
                <c:pt idx="71">
                  <c:v>59.30076395272658</c:v>
                </c:pt>
                <c:pt idx="72">
                  <c:v>59.30076395272658</c:v>
                </c:pt>
                <c:pt idx="73">
                  <c:v>59.30076395272658</c:v>
                </c:pt>
                <c:pt idx="74">
                  <c:v>59.30076395272658</c:v>
                </c:pt>
                <c:pt idx="75">
                  <c:v>59.30076395272658</c:v>
                </c:pt>
                <c:pt idx="76">
                  <c:v>59.30076395272658</c:v>
                </c:pt>
                <c:pt idx="77">
                  <c:v>59.30076395272658</c:v>
                </c:pt>
                <c:pt idx="78">
                  <c:v>59.30076395272658</c:v>
                </c:pt>
                <c:pt idx="79">
                  <c:v>59.30076395272658</c:v>
                </c:pt>
                <c:pt idx="80">
                  <c:v>59.30076395272658</c:v>
                </c:pt>
                <c:pt idx="81">
                  <c:v>59.30076395272658</c:v>
                </c:pt>
                <c:pt idx="82">
                  <c:v>59.30076395272658</c:v>
                </c:pt>
                <c:pt idx="83">
                  <c:v>59.30076395272658</c:v>
                </c:pt>
                <c:pt idx="84">
                  <c:v>59.30076395272658</c:v>
                </c:pt>
                <c:pt idx="85">
                  <c:v>59.30076395272658</c:v>
                </c:pt>
                <c:pt idx="86">
                  <c:v>59.30076395272658</c:v>
                </c:pt>
                <c:pt idx="87">
                  <c:v>59.30076395272658</c:v>
                </c:pt>
                <c:pt idx="88">
                  <c:v>59.30076395272658</c:v>
                </c:pt>
                <c:pt idx="89">
                  <c:v>59.30076395272658</c:v>
                </c:pt>
                <c:pt idx="90">
                  <c:v>59.30076395272658</c:v>
                </c:pt>
                <c:pt idx="91">
                  <c:v>59.30076395272658</c:v>
                </c:pt>
                <c:pt idx="92">
                  <c:v>59.30076395272658</c:v>
                </c:pt>
                <c:pt idx="93">
                  <c:v>59.30076395272658</c:v>
                </c:pt>
                <c:pt idx="94">
                  <c:v>59.30076395272658</c:v>
                </c:pt>
                <c:pt idx="95">
                  <c:v>59.30076395272658</c:v>
                </c:pt>
                <c:pt idx="96">
                  <c:v>59.30076395272658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E66"/>
              </a:solidFill>
            </a:ln>
          </c:spPr>
          <c:marker>
            <c:symbol val="circle"/>
            <c:size val="8"/>
            <c:spPr>
              <a:solidFill>
                <a:srgbClr val="67FE66"/>
              </a:solidFill>
              <a:ln>
                <a:solidFill>
                  <a:srgbClr val="67FE6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0.128750900690803</c:v>
                  </c:pt>
                  <c:pt idx="1">
                    <c:v>0.682215177077028</c:v>
                  </c:pt>
                  <c:pt idx="2">
                    <c:v>0.443396640690539</c:v>
                  </c:pt>
                  <c:pt idx="3">
                    <c:v>0.206112963919542</c:v>
                  </c:pt>
                  <c:pt idx="4">
                    <c:v>0.411776292663968</c:v>
                  </c:pt>
                  <c:pt idx="5">
                    <c:v>0.0917055245625534</c:v>
                  </c:pt>
                  <c:pt idx="6">
                    <c:v>0.177685861152252</c:v>
                  </c:pt>
                  <c:pt idx="7">
                    <c:v>0.12500028130284</c:v>
                  </c:pt>
                  <c:pt idx="8">
                    <c:v>0.235857483643302</c:v>
                  </c:pt>
                  <c:pt idx="9">
                    <c:v>0.0303367276346339</c:v>
                  </c:pt>
                  <c:pt idx="10">
                    <c:v>0.00665809925162735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0.128750900690803</c:v>
                  </c:pt>
                  <c:pt idx="1">
                    <c:v>0.682215177077028</c:v>
                  </c:pt>
                  <c:pt idx="2">
                    <c:v>0.443396640690539</c:v>
                  </c:pt>
                  <c:pt idx="3">
                    <c:v>0.206112963919542</c:v>
                  </c:pt>
                  <c:pt idx="4">
                    <c:v>0.411776292663968</c:v>
                  </c:pt>
                  <c:pt idx="5">
                    <c:v>0.0917055245625534</c:v>
                  </c:pt>
                  <c:pt idx="6">
                    <c:v>0.177685861152252</c:v>
                  </c:pt>
                  <c:pt idx="7">
                    <c:v>0.12500028130284</c:v>
                  </c:pt>
                  <c:pt idx="8">
                    <c:v>0.235857483643302</c:v>
                  </c:pt>
                  <c:pt idx="9">
                    <c:v>0.0303367276346339</c:v>
                  </c:pt>
                  <c:pt idx="10">
                    <c:v>0.00665809925162735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49.29245338357685</c:v>
                </c:pt>
                <c:pt idx="1">
                  <c:v>48.30665442826151</c:v>
                </c:pt>
                <c:pt idx="2">
                  <c:v>48.09331348377969</c:v>
                </c:pt>
                <c:pt idx="3">
                  <c:v>44.40723956585232</c:v>
                </c:pt>
                <c:pt idx="4">
                  <c:v>40.18492862483741</c:v>
                </c:pt>
                <c:pt idx="5">
                  <c:v>34.59377220578736</c:v>
                </c:pt>
                <c:pt idx="6">
                  <c:v>28.79607790027458</c:v>
                </c:pt>
                <c:pt idx="7">
                  <c:v>22.38641401514501</c:v>
                </c:pt>
                <c:pt idx="8">
                  <c:v>15.00933586898805</c:v>
                </c:pt>
                <c:pt idx="9">
                  <c:v>7.647958917256989</c:v>
                </c:pt>
                <c:pt idx="10">
                  <c:v>0.0615048863234927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0.0454277835424586</c:v>
                  </c:pt>
                  <c:pt idx="1">
                    <c:v>0.0861107234253796</c:v>
                  </c:pt>
                  <c:pt idx="2">
                    <c:v>0.645981862317943</c:v>
                  </c:pt>
                  <c:pt idx="3">
                    <c:v>0.0475551204007924</c:v>
                  </c:pt>
                  <c:pt idx="4">
                    <c:v>0.178126373086239</c:v>
                  </c:pt>
                  <c:pt idx="5">
                    <c:v>0.0460460898025632</c:v>
                  </c:pt>
                  <c:pt idx="6">
                    <c:v>0.173508314781733</c:v>
                  </c:pt>
                  <c:pt idx="7">
                    <c:v>0.238470351076526</c:v>
                  </c:pt>
                  <c:pt idx="8">
                    <c:v>0.65444362001924</c:v>
                  </c:pt>
                  <c:pt idx="9">
                    <c:v>0.141320610852198</c:v>
                  </c:pt>
                  <c:pt idx="10">
                    <c:v>0.12252534843444</c:v>
                  </c:pt>
                  <c:pt idx="11">
                    <c:v>0.853959078287594</c:v>
                  </c:pt>
                  <c:pt idx="12">
                    <c:v>0.2870630461238</c:v>
                  </c:pt>
                  <c:pt idx="13">
                    <c:v>0.53800176833548</c:v>
                  </c:pt>
                  <c:pt idx="14">
                    <c:v>0.414846862017696</c:v>
                  </c:pt>
                  <c:pt idx="15">
                    <c:v>0.255370488784362</c:v>
                  </c:pt>
                  <c:pt idx="16">
                    <c:v>0.27914253729246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0.0454277835424586</c:v>
                  </c:pt>
                  <c:pt idx="1">
                    <c:v>0.0861107234253796</c:v>
                  </c:pt>
                  <c:pt idx="2">
                    <c:v>0.645981862317943</c:v>
                  </c:pt>
                  <c:pt idx="3">
                    <c:v>0.0475551204007924</c:v>
                  </c:pt>
                  <c:pt idx="4">
                    <c:v>0.178126373086239</c:v>
                  </c:pt>
                  <c:pt idx="5">
                    <c:v>0.0460460898025632</c:v>
                  </c:pt>
                  <c:pt idx="6">
                    <c:v>0.173508314781733</c:v>
                  </c:pt>
                  <c:pt idx="7">
                    <c:v>0.238470351076526</c:v>
                  </c:pt>
                  <c:pt idx="8">
                    <c:v>0.65444362001924</c:v>
                  </c:pt>
                  <c:pt idx="9">
                    <c:v>0.141320610852198</c:v>
                  </c:pt>
                  <c:pt idx="10">
                    <c:v>0.12252534843444</c:v>
                  </c:pt>
                  <c:pt idx="11">
                    <c:v>0.853959078287594</c:v>
                  </c:pt>
                  <c:pt idx="12">
                    <c:v>0.2870630461238</c:v>
                  </c:pt>
                  <c:pt idx="13">
                    <c:v>0.53800176833548</c:v>
                  </c:pt>
                  <c:pt idx="14">
                    <c:v>0.414846862017696</c:v>
                  </c:pt>
                  <c:pt idx="15">
                    <c:v>0.255370488784362</c:v>
                  </c:pt>
                  <c:pt idx="16">
                    <c:v>0.27914253729246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1.862539125240801</c:v>
                </c:pt>
                <c:pt idx="1">
                  <c:v>3.396568648893527</c:v>
                </c:pt>
                <c:pt idx="2">
                  <c:v>5.565254256810553</c:v>
                </c:pt>
                <c:pt idx="3">
                  <c:v>8.924678778763816</c:v>
                </c:pt>
                <c:pt idx="4">
                  <c:v>13.93525688493989</c:v>
                </c:pt>
                <c:pt idx="5">
                  <c:v>19.73074948039832</c:v>
                </c:pt>
                <c:pt idx="6">
                  <c:v>26.38457287460482</c:v>
                </c:pt>
                <c:pt idx="7">
                  <c:v>33.47456830369892</c:v>
                </c:pt>
                <c:pt idx="8">
                  <c:v>39.41057995829558</c:v>
                </c:pt>
                <c:pt idx="9">
                  <c:v>48.11724830427708</c:v>
                </c:pt>
                <c:pt idx="10">
                  <c:v>54.63489313400948</c:v>
                </c:pt>
                <c:pt idx="11">
                  <c:v>54.23202474597236</c:v>
                </c:pt>
                <c:pt idx="12">
                  <c:v>54.85859182176387</c:v>
                </c:pt>
                <c:pt idx="13">
                  <c:v>54.56658090284498</c:v>
                </c:pt>
                <c:pt idx="14">
                  <c:v>56.18447923739563</c:v>
                </c:pt>
                <c:pt idx="15">
                  <c:v>56.60276514827945</c:v>
                </c:pt>
                <c:pt idx="16">
                  <c:v>58.43375253177093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0.01461987774462</c:v>
                </c:pt>
                <c:pt idx="1">
                  <c:v>0.166797405448758</c:v>
                </c:pt>
                <c:pt idx="2">
                  <c:v>0.560235071799179</c:v>
                </c:pt>
                <c:pt idx="3">
                  <c:v>1.167644230108573</c:v>
                </c:pt>
                <c:pt idx="4">
                  <c:v>1.846120399942555</c:v>
                </c:pt>
                <c:pt idx="5">
                  <c:v>2.64844988484568</c:v>
                </c:pt>
                <c:pt idx="6">
                  <c:v>3.789555929252991</c:v>
                </c:pt>
                <c:pt idx="7">
                  <c:v>5.02974605913758</c:v>
                </c:pt>
                <c:pt idx="8">
                  <c:v>6.258458755705403</c:v>
                </c:pt>
                <c:pt idx="9">
                  <c:v>7.738576594838907</c:v>
                </c:pt>
                <c:pt idx="10">
                  <c:v>9.706412578075434</c:v>
                </c:pt>
                <c:pt idx="11">
                  <c:v>11.99742122127461</c:v>
                </c:pt>
                <c:pt idx="12">
                  <c:v>14.24150038644777</c:v>
                </c:pt>
                <c:pt idx="13">
                  <c:v>16.50630006872652</c:v>
                </c:pt>
                <c:pt idx="14">
                  <c:v>18.86047121774285</c:v>
                </c:pt>
                <c:pt idx="15">
                  <c:v>21.31040237797352</c:v>
                </c:pt>
                <c:pt idx="16">
                  <c:v>23.98017270398184</c:v>
                </c:pt>
                <c:pt idx="17">
                  <c:v>26.75319183686451</c:v>
                </c:pt>
                <c:pt idx="18">
                  <c:v>29.72036225042775</c:v>
                </c:pt>
                <c:pt idx="19">
                  <c:v>33.25050299855164</c:v>
                </c:pt>
                <c:pt idx="20">
                  <c:v>36.93888697487043</c:v>
                </c:pt>
                <c:pt idx="21">
                  <c:v>40.29106737492136</c:v>
                </c:pt>
                <c:pt idx="22">
                  <c:v>43.52987356468414</c:v>
                </c:pt>
                <c:pt idx="23">
                  <c:v>46.98433879488382</c:v>
                </c:pt>
                <c:pt idx="24">
                  <c:v>50.81959890224131</c:v>
                </c:pt>
                <c:pt idx="25">
                  <c:v>54.97039087659075</c:v>
                </c:pt>
                <c:pt idx="26">
                  <c:v>59.37472099196806</c:v>
                </c:pt>
                <c:pt idx="27">
                  <c:v>63.96344258500316</c:v>
                </c:pt>
                <c:pt idx="28">
                  <c:v>68.80107645857392</c:v>
                </c:pt>
                <c:pt idx="29">
                  <c:v>72.59481854200223</c:v>
                </c:pt>
                <c:pt idx="30">
                  <c:v>74.15185274335097</c:v>
                </c:pt>
                <c:pt idx="31">
                  <c:v>74.51470817021887</c:v>
                </c:pt>
                <c:pt idx="32">
                  <c:v>74.61872250907656</c:v>
                </c:pt>
                <c:pt idx="33">
                  <c:v>74.66773754258553</c:v>
                </c:pt>
                <c:pt idx="34">
                  <c:v>74.7001527550459</c:v>
                </c:pt>
                <c:pt idx="35">
                  <c:v>74.7255229205177</c:v>
                </c:pt>
                <c:pt idx="36">
                  <c:v>74.74495558646258</c:v>
                </c:pt>
                <c:pt idx="37">
                  <c:v>74.76086272295332</c:v>
                </c:pt>
                <c:pt idx="38">
                  <c:v>74.77593854781922</c:v>
                </c:pt>
                <c:pt idx="39">
                  <c:v>74.79123594127935</c:v>
                </c:pt>
                <c:pt idx="40">
                  <c:v>74.80658829749153</c:v>
                </c:pt>
                <c:pt idx="41">
                  <c:v>74.81894804636002</c:v>
                </c:pt>
                <c:pt idx="42">
                  <c:v>74.82848122119832</c:v>
                </c:pt>
                <c:pt idx="43">
                  <c:v>74.84139517781671</c:v>
                </c:pt>
                <c:pt idx="44">
                  <c:v>74.85558415577705</c:v>
                </c:pt>
                <c:pt idx="45">
                  <c:v>74.86794390464554</c:v>
                </c:pt>
                <c:pt idx="46">
                  <c:v>74.88069125542177</c:v>
                </c:pt>
                <c:pt idx="47">
                  <c:v>74.89360521204015</c:v>
                </c:pt>
                <c:pt idx="48">
                  <c:v>74.9053005871926</c:v>
                </c:pt>
                <c:pt idx="49">
                  <c:v>74.91742995338803</c:v>
                </c:pt>
                <c:pt idx="50">
                  <c:v>74.93210363841203</c:v>
                </c:pt>
                <c:pt idx="51">
                  <c:v>74.9465994716995</c:v>
                </c:pt>
                <c:pt idx="52">
                  <c:v>74.95937912740578</c:v>
                </c:pt>
                <c:pt idx="53">
                  <c:v>74.97316477609591</c:v>
                </c:pt>
                <c:pt idx="54">
                  <c:v>74.98837079398075</c:v>
                </c:pt>
                <c:pt idx="55">
                  <c:v>75.00191991819653</c:v>
                </c:pt>
                <c:pt idx="56">
                  <c:v>75.01393071656763</c:v>
                </c:pt>
                <c:pt idx="57">
                  <c:v>75.02020258777077</c:v>
                </c:pt>
                <c:pt idx="58">
                  <c:v>75.03037925191065</c:v>
                </c:pt>
                <c:pt idx="59">
                  <c:v>75.04457927681163</c:v>
                </c:pt>
                <c:pt idx="60">
                  <c:v>75.05718169195573</c:v>
                </c:pt>
                <c:pt idx="61">
                  <c:v>75.07743972342395</c:v>
                </c:pt>
                <c:pt idx="62">
                  <c:v>75.10057027190646</c:v>
                </c:pt>
                <c:pt idx="63">
                  <c:v>75.12086484118413</c:v>
                </c:pt>
                <c:pt idx="64">
                  <c:v>75.14046604089035</c:v>
                </c:pt>
                <c:pt idx="65">
                  <c:v>75.16145397973946</c:v>
                </c:pt>
                <c:pt idx="66">
                  <c:v>75.18118148338641</c:v>
                </c:pt>
                <c:pt idx="67">
                  <c:v>75.20141290069373</c:v>
                </c:pt>
                <c:pt idx="68">
                  <c:v>75.2197536651978</c:v>
                </c:pt>
                <c:pt idx="69">
                  <c:v>75.23752736407115</c:v>
                </c:pt>
                <c:pt idx="70">
                  <c:v>75.25990204206312</c:v>
                </c:pt>
                <c:pt idx="71">
                  <c:v>75.2837266111683</c:v>
                </c:pt>
                <c:pt idx="72">
                  <c:v>75.3055973754999</c:v>
                </c:pt>
                <c:pt idx="73">
                  <c:v>75.32324542148379</c:v>
                </c:pt>
                <c:pt idx="74">
                  <c:v>75.34328803393127</c:v>
                </c:pt>
                <c:pt idx="75">
                  <c:v>75.3665448863545</c:v>
                </c:pt>
                <c:pt idx="76">
                  <c:v>75.38658749880199</c:v>
                </c:pt>
                <c:pt idx="77">
                  <c:v>75.4052433721066</c:v>
                </c:pt>
                <c:pt idx="78">
                  <c:v>75.42333217978049</c:v>
                </c:pt>
                <c:pt idx="79">
                  <c:v>75.43864750916864</c:v>
                </c:pt>
                <c:pt idx="80">
                  <c:v>75.45421479538698</c:v>
                </c:pt>
                <c:pt idx="81">
                  <c:v>75.46814338563228</c:v>
                </c:pt>
                <c:pt idx="82">
                  <c:v>75.48043327990453</c:v>
                </c:pt>
                <c:pt idx="83">
                  <c:v>75.4934165437482</c:v>
                </c:pt>
                <c:pt idx="84">
                  <c:v>75.50425719795848</c:v>
                </c:pt>
                <c:pt idx="85">
                  <c:v>75.51535046005017</c:v>
                </c:pt>
                <c:pt idx="86">
                  <c:v>75.52852317980492</c:v>
                </c:pt>
                <c:pt idx="87">
                  <c:v>75.54465753165398</c:v>
                </c:pt>
                <c:pt idx="88">
                  <c:v>75.56066623061357</c:v>
                </c:pt>
                <c:pt idx="89">
                  <c:v>75.5740284062794</c:v>
                </c:pt>
                <c:pt idx="90">
                  <c:v>75.58512166837108</c:v>
                </c:pt>
                <c:pt idx="91">
                  <c:v>75.59539525695064</c:v>
                </c:pt>
                <c:pt idx="92">
                  <c:v>75.60598395433072</c:v>
                </c:pt>
                <c:pt idx="93">
                  <c:v>75.61701406445206</c:v>
                </c:pt>
                <c:pt idx="94">
                  <c:v>75.63050189300735</c:v>
                </c:pt>
                <c:pt idx="95">
                  <c:v>75.64959917905321</c:v>
                </c:pt>
                <c:pt idx="96">
                  <c:v>75.66689533921881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67224"/>
        <c:axId val="-210668298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13545.0</c:v>
                </c:pt>
                <c:pt idx="1">
                  <c:v>18755.0</c:v>
                </c:pt>
                <c:pt idx="2">
                  <c:v>3335.0</c:v>
                </c:pt>
                <c:pt idx="3">
                  <c:v>7988.0</c:v>
                </c:pt>
                <c:pt idx="4">
                  <c:v>16685.0</c:v>
                </c:pt>
                <c:pt idx="5">
                  <c:v>16958.0</c:v>
                </c:pt>
                <c:pt idx="6">
                  <c:v>19128.0</c:v>
                </c:pt>
                <c:pt idx="7">
                  <c:v>27367.0</c:v>
                </c:pt>
                <c:pt idx="8">
                  <c:v>29320.0</c:v>
                </c:pt>
                <c:pt idx="9">
                  <c:v>26931.0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0.0122517144628177</c:v>
                  </c:pt>
                  <c:pt idx="1">
                    <c:v>0.015567214981714</c:v>
                  </c:pt>
                  <c:pt idx="2">
                    <c:v>0.0420372364447107</c:v>
                  </c:pt>
                  <c:pt idx="3">
                    <c:v>0.0402062898454999</c:v>
                  </c:pt>
                  <c:pt idx="4">
                    <c:v>0.0396909727440248</c:v>
                  </c:pt>
                  <c:pt idx="5">
                    <c:v>0.00580519704923898</c:v>
                  </c:pt>
                  <c:pt idx="6">
                    <c:v>0.0206163565871658</c:v>
                  </c:pt>
                  <c:pt idx="7">
                    <c:v>0.00604018213749732</c:v>
                  </c:pt>
                  <c:pt idx="8">
                    <c:v>0.0173052740190005</c:v>
                  </c:pt>
                  <c:pt idx="9">
                    <c:v>0.0769010337079318</c:v>
                  </c:pt>
                  <c:pt idx="10">
                    <c:v>0.0443499522141118</c:v>
                  </c:pt>
                  <c:pt idx="11">
                    <c:v>0.0137965532843843</c:v>
                  </c:pt>
                  <c:pt idx="12">
                    <c:v>0.00144150144665212</c:v>
                  </c:pt>
                  <c:pt idx="13">
                    <c:v>0.022491373243961</c:v>
                  </c:pt>
                  <c:pt idx="14">
                    <c:v>0.0258370455953514</c:v>
                  </c:pt>
                  <c:pt idx="15">
                    <c:v>0.00559401793317556</c:v>
                  </c:pt>
                  <c:pt idx="16">
                    <c:v>0.0448859918543494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0.0122517144628177</c:v>
                  </c:pt>
                  <c:pt idx="1">
                    <c:v>0.015567214981714</c:v>
                  </c:pt>
                  <c:pt idx="2">
                    <c:v>0.0420372364447107</c:v>
                  </c:pt>
                  <c:pt idx="3">
                    <c:v>0.0402062898454999</c:v>
                  </c:pt>
                  <c:pt idx="4">
                    <c:v>0.0396909727440248</c:v>
                  </c:pt>
                  <c:pt idx="5">
                    <c:v>0.00580519704923898</c:v>
                  </c:pt>
                  <c:pt idx="6">
                    <c:v>0.0206163565871658</c:v>
                  </c:pt>
                  <c:pt idx="7">
                    <c:v>0.00604018213749732</c:v>
                  </c:pt>
                  <c:pt idx="8">
                    <c:v>0.0173052740190005</c:v>
                  </c:pt>
                  <c:pt idx="9">
                    <c:v>0.0769010337079318</c:v>
                  </c:pt>
                  <c:pt idx="10">
                    <c:v>0.0443499522141118</c:v>
                  </c:pt>
                  <c:pt idx="11">
                    <c:v>0.0137965532843843</c:v>
                  </c:pt>
                  <c:pt idx="12">
                    <c:v>0.00144150144665212</c:v>
                  </c:pt>
                  <c:pt idx="13">
                    <c:v>0.022491373243961</c:v>
                  </c:pt>
                  <c:pt idx="14">
                    <c:v>0.0258370455953514</c:v>
                  </c:pt>
                  <c:pt idx="15">
                    <c:v>0.00559401793317556</c:v>
                  </c:pt>
                  <c:pt idx="16">
                    <c:v>0.0448859918543494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8.306188785158133</c:v>
                </c:pt>
                <c:pt idx="1">
                  <c:v>8.431654417823217</c:v>
                </c:pt>
                <c:pt idx="2">
                  <c:v>8.646059870754897</c:v>
                </c:pt>
                <c:pt idx="3">
                  <c:v>9.02445971208035</c:v>
                </c:pt>
                <c:pt idx="4">
                  <c:v>9.40215193504791</c:v>
                </c:pt>
                <c:pt idx="5">
                  <c:v>9.39935047068382</c:v>
                </c:pt>
                <c:pt idx="6">
                  <c:v>9.45263498412813</c:v>
                </c:pt>
                <c:pt idx="7">
                  <c:v>9.607487959335477</c:v>
                </c:pt>
                <c:pt idx="8">
                  <c:v>9.660463705311701</c:v>
                </c:pt>
                <c:pt idx="9">
                  <c:v>9.697876515308868</c:v>
                </c:pt>
                <c:pt idx="10">
                  <c:v>9.71585855449696</c:v>
                </c:pt>
                <c:pt idx="11">
                  <c:v>9.752895573502426</c:v>
                </c:pt>
                <c:pt idx="12">
                  <c:v>9.772457200951727</c:v>
                </c:pt>
                <c:pt idx="13">
                  <c:v>9.771117542858247</c:v>
                </c:pt>
                <c:pt idx="14">
                  <c:v>9.849169277294386</c:v>
                </c:pt>
                <c:pt idx="15">
                  <c:v>9.864920058402958</c:v>
                </c:pt>
                <c:pt idx="16">
                  <c:v>9.66983993858708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rgbClr val="C97A36"/>
              </a:solidFill>
            </a:ln>
          </c:spPr>
          <c:marker>
            <c:symbol val="circle"/>
            <c:size val="8"/>
            <c:spPr>
              <a:solidFill>
                <a:srgbClr val="C97A36"/>
              </a:solidFill>
              <a:ln w="19050">
                <a:solidFill>
                  <a:srgbClr val="C97A3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counts'!$S$4:$S$20</c:f>
                <c:numCache>
                  <c:formatCode>General</c:formatCode>
                  <c:ptCount val="17"/>
                  <c:pt idx="0">
                    <c:v>0.0829221566515014</c:v>
                  </c:pt>
                  <c:pt idx="1">
                    <c:v>0.128455893503798</c:v>
                  </c:pt>
                  <c:pt idx="2">
                    <c:v>0.163452662341488</c:v>
                  </c:pt>
                  <c:pt idx="3">
                    <c:v>0.186358935371514</c:v>
                  </c:pt>
                  <c:pt idx="4">
                    <c:v>0.118785851368642</c:v>
                  </c:pt>
                  <c:pt idx="5">
                    <c:v>0.122666713063904</c:v>
                  </c:pt>
                  <c:pt idx="6">
                    <c:v>0.083052604942322</c:v>
                  </c:pt>
                  <c:pt idx="7">
                    <c:v>0.106731736398335</c:v>
                  </c:pt>
                  <c:pt idx="8">
                    <c:v>0.0799863289489886</c:v>
                  </c:pt>
                  <c:pt idx="9">
                    <c:v>0.0814657939460875</c:v>
                  </c:pt>
                  <c:pt idx="10">
                    <c:v>0.0580068664659439</c:v>
                  </c:pt>
                  <c:pt idx="11">
                    <c:v>0.0533782788467329</c:v>
                  </c:pt>
                  <c:pt idx="12">
                    <c:v>0.0870445039160341</c:v>
                  </c:pt>
                  <c:pt idx="13">
                    <c:v>0.042947658469436</c:v>
                  </c:pt>
                  <c:pt idx="14">
                    <c:v>0.0668941455533973</c:v>
                  </c:pt>
                  <c:pt idx="15">
                    <c:v>0.0112017059825898</c:v>
                  </c:pt>
                  <c:pt idx="16">
                    <c:v>0.043523876984326</c:v>
                  </c:pt>
                </c:numCache>
              </c:numRef>
            </c:plus>
            <c:minus>
              <c:numRef>
                <c:f>'Determination cell counts'!$S$4:$S$20</c:f>
                <c:numCache>
                  <c:formatCode>General</c:formatCode>
                  <c:ptCount val="17"/>
                  <c:pt idx="0">
                    <c:v>0.0829221566515014</c:v>
                  </c:pt>
                  <c:pt idx="1">
                    <c:v>0.128455893503798</c:v>
                  </c:pt>
                  <c:pt idx="2">
                    <c:v>0.163452662341488</c:v>
                  </c:pt>
                  <c:pt idx="3">
                    <c:v>0.186358935371514</c:v>
                  </c:pt>
                  <c:pt idx="4">
                    <c:v>0.118785851368642</c:v>
                  </c:pt>
                  <c:pt idx="5">
                    <c:v>0.122666713063904</c:v>
                  </c:pt>
                  <c:pt idx="6">
                    <c:v>0.083052604942322</c:v>
                  </c:pt>
                  <c:pt idx="7">
                    <c:v>0.106731736398335</c:v>
                  </c:pt>
                  <c:pt idx="8">
                    <c:v>0.0799863289489886</c:v>
                  </c:pt>
                  <c:pt idx="9">
                    <c:v>0.0814657939460875</c:v>
                  </c:pt>
                  <c:pt idx="10">
                    <c:v>0.0580068664659439</c:v>
                  </c:pt>
                  <c:pt idx="11">
                    <c:v>0.0533782788467329</c:v>
                  </c:pt>
                  <c:pt idx="12">
                    <c:v>0.0870445039160341</c:v>
                  </c:pt>
                  <c:pt idx="13">
                    <c:v>0.042947658469436</c:v>
                  </c:pt>
                  <c:pt idx="14">
                    <c:v>0.0668941455533973</c:v>
                  </c:pt>
                  <c:pt idx="15">
                    <c:v>0.0112017059825898</c:v>
                  </c:pt>
                  <c:pt idx="16">
                    <c:v>0.043523876984326</c:v>
                  </c:pt>
                </c:numCache>
              </c:numRef>
            </c:minus>
          </c:errBars>
          <c:xVal>
            <c:numRef>
              <c:f>'Determination cell counts'!$D$4:$D$20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counts'!$R$4:$R$20</c:f>
              <c:numCache>
                <c:formatCode>0.00</c:formatCode>
                <c:ptCount val="17"/>
                <c:pt idx="0">
                  <c:v>8.422510912224446</c:v>
                </c:pt>
                <c:pt idx="1">
                  <c:v>8.691276627148447</c:v>
                </c:pt>
                <c:pt idx="2">
                  <c:v>8.880016303784502</c:v>
                </c:pt>
                <c:pt idx="3">
                  <c:v>9.118356764902517</c:v>
                </c:pt>
                <c:pt idx="4">
                  <c:v>9.322788718141174</c:v>
                </c:pt>
                <c:pt idx="5">
                  <c:v>9.465031306546775</c:v>
                </c:pt>
                <c:pt idx="6">
                  <c:v>9.537454364856934</c:v>
                </c:pt>
                <c:pt idx="7">
                  <c:v>9.647629003684157</c:v>
                </c:pt>
                <c:pt idx="8">
                  <c:v>9.67248929251955</c:v>
                </c:pt>
                <c:pt idx="9">
                  <c:v>9.757758660760324</c:v>
                </c:pt>
                <c:pt idx="10">
                  <c:v>9.842346199500907</c:v>
                </c:pt>
                <c:pt idx="11">
                  <c:v>9.766390955021208</c:v>
                </c:pt>
                <c:pt idx="12">
                  <c:v>9.697035331867237</c:v>
                </c:pt>
                <c:pt idx="13">
                  <c:v>9.634752902184147</c:v>
                </c:pt>
                <c:pt idx="14">
                  <c:v>9.515619970504124</c:v>
                </c:pt>
                <c:pt idx="15">
                  <c:v>9.55751724390943</c:v>
                </c:pt>
                <c:pt idx="16">
                  <c:v>9.155209114712542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20648"/>
        <c:axId val="-2112722456"/>
      </c:scatterChart>
      <c:valAx>
        <c:axId val="-211216722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6682984"/>
        <c:crosses val="autoZero"/>
        <c:crossBetween val="midCat"/>
        <c:majorUnit val="6.0"/>
      </c:valAx>
      <c:valAx>
        <c:axId val="-21066829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2167224"/>
        <c:crosses val="autoZero"/>
        <c:crossBetween val="midCat"/>
      </c:valAx>
      <c:valAx>
        <c:axId val="-2112722456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2720648"/>
        <c:crosses val="max"/>
        <c:crossBetween val="midCat"/>
        <c:majorUnit val="1.0"/>
        <c:minorUnit val="0.2"/>
      </c:valAx>
      <c:valAx>
        <c:axId val="-2112720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1272245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0.0339372594381495</c:v>
                  </c:pt>
                  <c:pt idx="1">
                    <c:v>0.0222474613578116</c:v>
                  </c:pt>
                  <c:pt idx="2">
                    <c:v>0.0128628879645219</c:v>
                  </c:pt>
                  <c:pt idx="3">
                    <c:v>0.0129009720147499</c:v>
                  </c:pt>
                  <c:pt idx="4">
                    <c:v>0.0259009537917006</c:v>
                  </c:pt>
                  <c:pt idx="5">
                    <c:v>0.0130016645515651</c:v>
                  </c:pt>
                  <c:pt idx="6">
                    <c:v>0.0130549064211456</c:v>
                  </c:pt>
                  <c:pt idx="7">
                    <c:v>0.026243253112354</c:v>
                  </c:pt>
                  <c:pt idx="8">
                    <c:v>0.0348701737645898</c:v>
                  </c:pt>
                  <c:pt idx="9">
                    <c:v>0.0132400334021873</c:v>
                  </c:pt>
                  <c:pt idx="10">
                    <c:v>0.0133161985032547</c:v>
                  </c:pt>
                  <c:pt idx="11">
                    <c:v>0.058159819802561</c:v>
                  </c:pt>
                  <c:pt idx="12">
                    <c:v>0.0612723398496774</c:v>
                  </c:pt>
                  <c:pt idx="13">
                    <c:v>0.0668536036590962</c:v>
                  </c:pt>
                  <c:pt idx="14">
                    <c:v>0.0401121621954579</c:v>
                  </c:pt>
                  <c:pt idx="15">
                    <c:v>0.0267414414636386</c:v>
                  </c:pt>
                  <c:pt idx="16">
                    <c:v>0.0133707207318193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0.0339372594381495</c:v>
                  </c:pt>
                  <c:pt idx="1">
                    <c:v>0.0222474613578116</c:v>
                  </c:pt>
                  <c:pt idx="2">
                    <c:v>0.0128628879645219</c:v>
                  </c:pt>
                  <c:pt idx="3">
                    <c:v>0.0129009720147499</c:v>
                  </c:pt>
                  <c:pt idx="4">
                    <c:v>0.0259009537917006</c:v>
                  </c:pt>
                  <c:pt idx="5">
                    <c:v>0.0130016645515651</c:v>
                  </c:pt>
                  <c:pt idx="6">
                    <c:v>0.0130549064211456</c:v>
                  </c:pt>
                  <c:pt idx="7">
                    <c:v>0.026243253112354</c:v>
                  </c:pt>
                  <c:pt idx="8">
                    <c:v>0.0348701737645898</c:v>
                  </c:pt>
                  <c:pt idx="9">
                    <c:v>0.0132400334021873</c:v>
                  </c:pt>
                  <c:pt idx="10">
                    <c:v>0.0133161985032547</c:v>
                  </c:pt>
                  <c:pt idx="11">
                    <c:v>0.058159819802561</c:v>
                  </c:pt>
                  <c:pt idx="12">
                    <c:v>0.0612723398496774</c:v>
                  </c:pt>
                  <c:pt idx="13">
                    <c:v>0.0668536036590962</c:v>
                  </c:pt>
                  <c:pt idx="14">
                    <c:v>0.0401121621954579</c:v>
                  </c:pt>
                  <c:pt idx="15">
                    <c:v>0.0267414414636386</c:v>
                  </c:pt>
                  <c:pt idx="16">
                    <c:v>0.0133707207318193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0.903497492908109</c:v>
                </c:pt>
                <c:pt idx="1">
                  <c:v>0.889898454312462</c:v>
                </c:pt>
                <c:pt idx="2">
                  <c:v>0.87631423580698</c:v>
                </c:pt>
                <c:pt idx="3">
                  <c:v>0.640560651235038</c:v>
                </c:pt>
                <c:pt idx="4">
                  <c:v>0.7028343642636</c:v>
                </c:pt>
                <c:pt idx="5">
                  <c:v>0.728131909289655</c:v>
                </c:pt>
                <c:pt idx="6">
                  <c:v>0.776337134858862</c:v>
                </c:pt>
                <c:pt idx="7">
                  <c:v>0.803032110187943</c:v>
                </c:pt>
                <c:pt idx="8">
                  <c:v>0.943552673132836</c:v>
                </c:pt>
                <c:pt idx="9">
                  <c:v>1.956899033301139</c:v>
                </c:pt>
                <c:pt idx="10">
                  <c:v>3.697981290200002</c:v>
                </c:pt>
                <c:pt idx="11">
                  <c:v>3.620624470849521</c:v>
                </c:pt>
                <c:pt idx="12">
                  <c:v>3.751720357894741</c:v>
                </c:pt>
                <c:pt idx="13">
                  <c:v>3.975588445094221</c:v>
                </c:pt>
                <c:pt idx="14">
                  <c:v>4.585435992982462</c:v>
                </c:pt>
                <c:pt idx="15">
                  <c:v>4.685790652761539</c:v>
                </c:pt>
                <c:pt idx="16">
                  <c:v>4.762986544899291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BC008"/>
              </a:solidFill>
            </a:ln>
          </c:spPr>
          <c:marker>
            <c:symbol val="triangle"/>
            <c:size val="8"/>
            <c:spPr>
              <a:solidFill>
                <a:srgbClr val="FBC008"/>
              </a:solidFill>
              <a:ln>
                <a:solidFill>
                  <a:srgbClr val="FBC008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0.296221984590847</c:v>
                  </c:pt>
                  <c:pt idx="1">
                    <c:v>0.95039961997252</c:v>
                  </c:pt>
                  <c:pt idx="2">
                    <c:v>0.418759146810208</c:v>
                  </c:pt>
                  <c:pt idx="3">
                    <c:v>0.592389830416045</c:v>
                  </c:pt>
                  <c:pt idx="4">
                    <c:v>0.448081427601512</c:v>
                  </c:pt>
                  <c:pt idx="5">
                    <c:v>0.0850141316299416</c:v>
                  </c:pt>
                  <c:pt idx="6">
                    <c:v>0.0678390491174051</c:v>
                  </c:pt>
                  <c:pt idx="7">
                    <c:v>0.136371512706198</c:v>
                  </c:pt>
                  <c:pt idx="8">
                    <c:v>0.408539821515406</c:v>
                  </c:pt>
                  <c:pt idx="9">
                    <c:v>0.103201575788269</c:v>
                  </c:pt>
                  <c:pt idx="10">
                    <c:v>0.339581910740119</c:v>
                  </c:pt>
                  <c:pt idx="11">
                    <c:v>0.505162767377819</c:v>
                  </c:pt>
                  <c:pt idx="12">
                    <c:v>0.250514277721852</c:v>
                  </c:pt>
                  <c:pt idx="13">
                    <c:v>0.402645367498656</c:v>
                  </c:pt>
                  <c:pt idx="14">
                    <c:v>0.453399079235277</c:v>
                  </c:pt>
                  <c:pt idx="15">
                    <c:v>0.313303392072963</c:v>
                  </c:pt>
                  <c:pt idx="16">
                    <c:v>0.0874272834661981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0.296221984590847</c:v>
                  </c:pt>
                  <c:pt idx="1">
                    <c:v>0.95039961997252</c:v>
                  </c:pt>
                  <c:pt idx="2">
                    <c:v>0.418759146810208</c:v>
                  </c:pt>
                  <c:pt idx="3">
                    <c:v>0.592389830416045</c:v>
                  </c:pt>
                  <c:pt idx="4">
                    <c:v>0.448081427601512</c:v>
                  </c:pt>
                  <c:pt idx="5">
                    <c:v>0.0850141316299416</c:v>
                  </c:pt>
                  <c:pt idx="6">
                    <c:v>0.0678390491174051</c:v>
                  </c:pt>
                  <c:pt idx="7">
                    <c:v>0.136371512706198</c:v>
                  </c:pt>
                  <c:pt idx="8">
                    <c:v>0.408539821515406</c:v>
                  </c:pt>
                  <c:pt idx="9">
                    <c:v>0.103201575788269</c:v>
                  </c:pt>
                  <c:pt idx="10">
                    <c:v>0.339581910740119</c:v>
                  </c:pt>
                  <c:pt idx="11">
                    <c:v>0.505162767377819</c:v>
                  </c:pt>
                  <c:pt idx="12">
                    <c:v>0.250514277721852</c:v>
                  </c:pt>
                  <c:pt idx="13">
                    <c:v>0.402645367498656</c:v>
                  </c:pt>
                  <c:pt idx="14">
                    <c:v>0.453399079235277</c:v>
                  </c:pt>
                  <c:pt idx="15">
                    <c:v>0.313303392072963</c:v>
                  </c:pt>
                  <c:pt idx="16">
                    <c:v>0.0874272834661981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48.15834888803583</c:v>
                </c:pt>
                <c:pt idx="1">
                  <c:v>47.22285789413833</c:v>
                </c:pt>
                <c:pt idx="2">
                  <c:v>47.22333363247685</c:v>
                </c:pt>
                <c:pt idx="3">
                  <c:v>45.3743232895586</c:v>
                </c:pt>
                <c:pt idx="4">
                  <c:v>44.05670152977022</c:v>
                </c:pt>
                <c:pt idx="5">
                  <c:v>41.33691670846962</c:v>
                </c:pt>
                <c:pt idx="6">
                  <c:v>38.63433847236216</c:v>
                </c:pt>
                <c:pt idx="7">
                  <c:v>35.93389359808304</c:v>
                </c:pt>
                <c:pt idx="8">
                  <c:v>32.21193687703313</c:v>
                </c:pt>
                <c:pt idx="9">
                  <c:v>31.30447798910822</c:v>
                </c:pt>
                <c:pt idx="10">
                  <c:v>31.16164269853175</c:v>
                </c:pt>
                <c:pt idx="11">
                  <c:v>30.28781968812307</c:v>
                </c:pt>
                <c:pt idx="12">
                  <c:v>30.05016898581139</c:v>
                </c:pt>
                <c:pt idx="13">
                  <c:v>29.88804861363361</c:v>
                </c:pt>
                <c:pt idx="14">
                  <c:v>30.13122917190029</c:v>
                </c:pt>
                <c:pt idx="15">
                  <c:v>30.27018949090983</c:v>
                </c:pt>
                <c:pt idx="16">
                  <c:v>29.15850693883357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0.0438968939310152</c:v>
                  </c:pt>
                  <c:pt idx="5">
                    <c:v>0.0673186471145329</c:v>
                  </c:pt>
                  <c:pt idx="6">
                    <c:v>0.051096500995733</c:v>
                  </c:pt>
                  <c:pt idx="7">
                    <c:v>0.0513576415459669</c:v>
                  </c:pt>
                  <c:pt idx="8">
                    <c:v>0.112426656352616</c:v>
                  </c:pt>
                  <c:pt idx="9">
                    <c:v>0.0448783737134155</c:v>
                  </c:pt>
                  <c:pt idx="10">
                    <c:v>0.0781787852165882</c:v>
                  </c:pt>
                  <c:pt idx="11">
                    <c:v>0.0261116102320208</c:v>
                  </c:pt>
                  <c:pt idx="12">
                    <c:v>0.0453213510564981</c:v>
                  </c:pt>
                  <c:pt idx="13">
                    <c:v>0.0784988826975201</c:v>
                  </c:pt>
                  <c:pt idx="14">
                    <c:v>0.0692295072713565</c:v>
                  </c:pt>
                  <c:pt idx="15">
                    <c:v>0.0784988826975201</c:v>
                  </c:pt>
                  <c:pt idx="16">
                    <c:v>0.0943439155441806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0.0438968939310152</c:v>
                  </c:pt>
                  <c:pt idx="5">
                    <c:v>0.0673186471145329</c:v>
                  </c:pt>
                  <c:pt idx="6">
                    <c:v>0.051096500995733</c:v>
                  </c:pt>
                  <c:pt idx="7">
                    <c:v>0.0513576415459669</c:v>
                  </c:pt>
                  <c:pt idx="8">
                    <c:v>0.112426656352616</c:v>
                  </c:pt>
                  <c:pt idx="9">
                    <c:v>0.0448783737134155</c:v>
                  </c:pt>
                  <c:pt idx="10">
                    <c:v>0.0781787852165882</c:v>
                  </c:pt>
                  <c:pt idx="11">
                    <c:v>0.0261116102320208</c:v>
                  </c:pt>
                  <c:pt idx="12">
                    <c:v>0.0453213510564981</c:v>
                  </c:pt>
                  <c:pt idx="13">
                    <c:v>0.0784988826975201</c:v>
                  </c:pt>
                  <c:pt idx="14">
                    <c:v>0.0692295072713565</c:v>
                  </c:pt>
                  <c:pt idx="15">
                    <c:v>0.0784988826975201</c:v>
                  </c:pt>
                  <c:pt idx="16">
                    <c:v>0.0943439155441806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0.175587575724061</c:v>
                </c:pt>
                <c:pt idx="5">
                  <c:v>0.778577056784356</c:v>
                </c:pt>
                <c:pt idx="6">
                  <c:v>1.607781533947131</c:v>
                </c:pt>
                <c:pt idx="7">
                  <c:v>2.772401054036024</c:v>
                </c:pt>
                <c:pt idx="8">
                  <c:v>3.767492426632505</c:v>
                </c:pt>
                <c:pt idx="9">
                  <c:v>4.891742734762286</c:v>
                </c:pt>
                <c:pt idx="10">
                  <c:v>5.822614006973246</c:v>
                </c:pt>
                <c:pt idx="11">
                  <c:v>5.773933810233374</c:v>
                </c:pt>
                <c:pt idx="12">
                  <c:v>5.710490233118757</c:v>
                </c:pt>
                <c:pt idx="13">
                  <c:v>5.755811584175255</c:v>
                </c:pt>
                <c:pt idx="14">
                  <c:v>5.876668520325918</c:v>
                </c:pt>
                <c:pt idx="15">
                  <c:v>5.891775637344749</c:v>
                </c:pt>
                <c:pt idx="16">
                  <c:v>5.952204105420081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0.0644889772818406</c:v>
                </c:pt>
                <c:pt idx="1">
                  <c:v>0.21042218891866</c:v>
                </c:pt>
                <c:pt idx="2">
                  <c:v>0.392411238499223</c:v>
                </c:pt>
                <c:pt idx="3">
                  <c:v>0.609681825711842</c:v>
                </c:pt>
                <c:pt idx="4">
                  <c:v>0.868442659290828</c:v>
                </c:pt>
                <c:pt idx="5">
                  <c:v>1.186866130555739</c:v>
                </c:pt>
                <c:pt idx="6">
                  <c:v>1.592127436281253</c:v>
                </c:pt>
                <c:pt idx="7">
                  <c:v>2.102587433638475</c:v>
                </c:pt>
                <c:pt idx="8">
                  <c:v>2.697025339450361</c:v>
                </c:pt>
                <c:pt idx="9">
                  <c:v>3.394292683249099</c:v>
                </c:pt>
                <c:pt idx="10">
                  <c:v>4.290092801370937</c:v>
                </c:pt>
                <c:pt idx="11">
                  <c:v>5.417047255564531</c:v>
                </c:pt>
                <c:pt idx="12">
                  <c:v>6.763427012246581</c:v>
                </c:pt>
                <c:pt idx="13">
                  <c:v>8.295881792597235</c:v>
                </c:pt>
                <c:pt idx="14">
                  <c:v>9.95566905011848</c:v>
                </c:pt>
                <c:pt idx="15">
                  <c:v>11.76633902142193</c:v>
                </c:pt>
                <c:pt idx="16">
                  <c:v>13.7127493497144</c:v>
                </c:pt>
                <c:pt idx="17">
                  <c:v>15.7527345067024</c:v>
                </c:pt>
                <c:pt idx="18">
                  <c:v>17.92287046571687</c:v>
                </c:pt>
                <c:pt idx="19">
                  <c:v>20.19766694618785</c:v>
                </c:pt>
                <c:pt idx="20">
                  <c:v>22.59129668731574</c:v>
                </c:pt>
                <c:pt idx="21">
                  <c:v>25.12693445032764</c:v>
                </c:pt>
                <c:pt idx="22">
                  <c:v>27.73444786860345</c:v>
                </c:pt>
                <c:pt idx="23">
                  <c:v>30.4522317548652</c:v>
                </c:pt>
                <c:pt idx="24">
                  <c:v>33.2738084730537</c:v>
                </c:pt>
                <c:pt idx="25">
                  <c:v>36.12692271003037</c:v>
                </c:pt>
                <c:pt idx="26">
                  <c:v>39.10629781614443</c:v>
                </c:pt>
                <c:pt idx="27">
                  <c:v>42.20472552322114</c:v>
                </c:pt>
                <c:pt idx="28">
                  <c:v>45.38212135546743</c:v>
                </c:pt>
                <c:pt idx="29">
                  <c:v>48.36559402704686</c:v>
                </c:pt>
                <c:pt idx="30">
                  <c:v>50.77948065593427</c:v>
                </c:pt>
                <c:pt idx="31">
                  <c:v>52.70900873066926</c:v>
                </c:pt>
                <c:pt idx="32">
                  <c:v>54.2640907153383</c:v>
                </c:pt>
                <c:pt idx="33">
                  <c:v>55.46165728980719</c:v>
                </c:pt>
                <c:pt idx="34">
                  <c:v>56.40236907718857</c:v>
                </c:pt>
                <c:pt idx="35">
                  <c:v>57.15111194022423</c:v>
                </c:pt>
                <c:pt idx="36">
                  <c:v>57.72901474322607</c:v>
                </c:pt>
                <c:pt idx="37">
                  <c:v>58.16277047693245</c:v>
                </c:pt>
                <c:pt idx="38">
                  <c:v>58.47686142136922</c:v>
                </c:pt>
                <c:pt idx="39">
                  <c:v>58.70614312179828</c:v>
                </c:pt>
                <c:pt idx="40">
                  <c:v>58.87302148761228</c:v>
                </c:pt>
                <c:pt idx="41">
                  <c:v>58.99354907758342</c:v>
                </c:pt>
                <c:pt idx="42">
                  <c:v>59.08136581468018</c:v>
                </c:pt>
                <c:pt idx="43">
                  <c:v>59.1463867503619</c:v>
                </c:pt>
                <c:pt idx="44">
                  <c:v>59.19494462421697</c:v>
                </c:pt>
                <c:pt idx="45">
                  <c:v>59.23330003722173</c:v>
                </c:pt>
                <c:pt idx="46">
                  <c:v>59.26485094701628</c:v>
                </c:pt>
                <c:pt idx="47">
                  <c:v>59.2898023188635</c:v>
                </c:pt>
                <c:pt idx="48">
                  <c:v>59.30076395272658</c:v>
                </c:pt>
                <c:pt idx="49">
                  <c:v>59.30076395272658</c:v>
                </c:pt>
                <c:pt idx="50">
                  <c:v>59.30076395272658</c:v>
                </c:pt>
                <c:pt idx="51">
                  <c:v>59.30076395272658</c:v>
                </c:pt>
                <c:pt idx="52">
                  <c:v>59.30076395272658</c:v>
                </c:pt>
                <c:pt idx="53">
                  <c:v>59.30076395272658</c:v>
                </c:pt>
                <c:pt idx="54">
                  <c:v>59.30076395272658</c:v>
                </c:pt>
                <c:pt idx="55">
                  <c:v>59.30076395272658</c:v>
                </c:pt>
                <c:pt idx="56">
                  <c:v>59.30076395272658</c:v>
                </c:pt>
                <c:pt idx="57">
                  <c:v>59.30076395272658</c:v>
                </c:pt>
                <c:pt idx="58">
                  <c:v>59.30076395272658</c:v>
                </c:pt>
                <c:pt idx="59">
                  <c:v>59.30076395272658</c:v>
                </c:pt>
                <c:pt idx="60">
                  <c:v>59.30076395272658</c:v>
                </c:pt>
                <c:pt idx="61">
                  <c:v>59.30076395272658</c:v>
                </c:pt>
                <c:pt idx="62">
                  <c:v>59.30076395272658</c:v>
                </c:pt>
                <c:pt idx="63">
                  <c:v>59.30076395272658</c:v>
                </c:pt>
                <c:pt idx="64">
                  <c:v>59.30076395272658</c:v>
                </c:pt>
                <c:pt idx="65">
                  <c:v>59.30076395272658</c:v>
                </c:pt>
                <c:pt idx="66">
                  <c:v>59.30076395272658</c:v>
                </c:pt>
                <c:pt idx="67">
                  <c:v>59.30076395272658</c:v>
                </c:pt>
                <c:pt idx="68">
                  <c:v>59.30076395272658</c:v>
                </c:pt>
                <c:pt idx="69">
                  <c:v>59.30076395272658</c:v>
                </c:pt>
                <c:pt idx="70">
                  <c:v>59.30076395272658</c:v>
                </c:pt>
                <c:pt idx="71">
                  <c:v>59.30076395272658</c:v>
                </c:pt>
                <c:pt idx="72">
                  <c:v>59.30076395272658</c:v>
                </c:pt>
                <c:pt idx="73">
                  <c:v>59.30076395272658</c:v>
                </c:pt>
                <c:pt idx="74">
                  <c:v>59.30076395272658</c:v>
                </c:pt>
                <c:pt idx="75">
                  <c:v>59.30076395272658</c:v>
                </c:pt>
                <c:pt idx="76">
                  <c:v>59.30076395272658</c:v>
                </c:pt>
                <c:pt idx="77">
                  <c:v>59.30076395272658</c:v>
                </c:pt>
                <c:pt idx="78">
                  <c:v>59.30076395272658</c:v>
                </c:pt>
                <c:pt idx="79">
                  <c:v>59.30076395272658</c:v>
                </c:pt>
                <c:pt idx="80">
                  <c:v>59.30076395272658</c:v>
                </c:pt>
                <c:pt idx="81">
                  <c:v>59.30076395272658</c:v>
                </c:pt>
                <c:pt idx="82">
                  <c:v>59.30076395272658</c:v>
                </c:pt>
                <c:pt idx="83">
                  <c:v>59.30076395272658</c:v>
                </c:pt>
                <c:pt idx="84">
                  <c:v>59.30076395272658</c:v>
                </c:pt>
                <c:pt idx="85">
                  <c:v>59.30076395272658</c:v>
                </c:pt>
                <c:pt idx="86">
                  <c:v>59.30076395272658</c:v>
                </c:pt>
                <c:pt idx="87">
                  <c:v>59.30076395272658</c:v>
                </c:pt>
                <c:pt idx="88">
                  <c:v>59.30076395272658</c:v>
                </c:pt>
                <c:pt idx="89">
                  <c:v>59.30076395272658</c:v>
                </c:pt>
                <c:pt idx="90">
                  <c:v>59.30076395272658</c:v>
                </c:pt>
                <c:pt idx="91">
                  <c:v>59.30076395272658</c:v>
                </c:pt>
                <c:pt idx="92">
                  <c:v>59.30076395272658</c:v>
                </c:pt>
                <c:pt idx="93">
                  <c:v>59.30076395272658</c:v>
                </c:pt>
                <c:pt idx="94">
                  <c:v>59.30076395272658</c:v>
                </c:pt>
                <c:pt idx="95">
                  <c:v>59.30076395272658</c:v>
                </c:pt>
                <c:pt idx="96">
                  <c:v>59.30076395272658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E66"/>
              </a:solidFill>
            </a:ln>
          </c:spPr>
          <c:marker>
            <c:symbol val="circle"/>
            <c:size val="8"/>
            <c:spPr>
              <a:solidFill>
                <a:srgbClr val="67FE66"/>
              </a:solidFill>
              <a:ln>
                <a:solidFill>
                  <a:srgbClr val="67FE6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0.128750900690803</c:v>
                  </c:pt>
                  <c:pt idx="1">
                    <c:v>0.682215177077028</c:v>
                  </c:pt>
                  <c:pt idx="2">
                    <c:v>0.443396640690539</c:v>
                  </c:pt>
                  <c:pt idx="3">
                    <c:v>0.206112963919542</c:v>
                  </c:pt>
                  <c:pt idx="4">
                    <c:v>0.411776292663968</c:v>
                  </c:pt>
                  <c:pt idx="5">
                    <c:v>0.0917055245625534</c:v>
                  </c:pt>
                  <c:pt idx="6">
                    <c:v>0.177685861152252</c:v>
                  </c:pt>
                  <c:pt idx="7">
                    <c:v>0.12500028130284</c:v>
                  </c:pt>
                  <c:pt idx="8">
                    <c:v>0.235857483643302</c:v>
                  </c:pt>
                  <c:pt idx="9">
                    <c:v>0.0303367276346339</c:v>
                  </c:pt>
                  <c:pt idx="10">
                    <c:v>0.00665809925162735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0.128750900690803</c:v>
                  </c:pt>
                  <c:pt idx="1">
                    <c:v>0.682215177077028</c:v>
                  </c:pt>
                  <c:pt idx="2">
                    <c:v>0.443396640690539</c:v>
                  </c:pt>
                  <c:pt idx="3">
                    <c:v>0.206112963919542</c:v>
                  </c:pt>
                  <c:pt idx="4">
                    <c:v>0.411776292663968</c:v>
                  </c:pt>
                  <c:pt idx="5">
                    <c:v>0.0917055245625534</c:v>
                  </c:pt>
                  <c:pt idx="6">
                    <c:v>0.177685861152252</c:v>
                  </c:pt>
                  <c:pt idx="7">
                    <c:v>0.12500028130284</c:v>
                  </c:pt>
                  <c:pt idx="8">
                    <c:v>0.235857483643302</c:v>
                  </c:pt>
                  <c:pt idx="9">
                    <c:v>0.0303367276346339</c:v>
                  </c:pt>
                  <c:pt idx="10">
                    <c:v>0.00665809925162735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49.29245338357685</c:v>
                </c:pt>
                <c:pt idx="1">
                  <c:v>48.30665442826151</c:v>
                </c:pt>
                <c:pt idx="2">
                  <c:v>48.09331348377969</c:v>
                </c:pt>
                <c:pt idx="3">
                  <c:v>44.40723956585232</c:v>
                </c:pt>
                <c:pt idx="4">
                  <c:v>40.18492862483741</c:v>
                </c:pt>
                <c:pt idx="5">
                  <c:v>34.59377220578736</c:v>
                </c:pt>
                <c:pt idx="6">
                  <c:v>28.79607790027458</c:v>
                </c:pt>
                <c:pt idx="7">
                  <c:v>22.38641401514501</c:v>
                </c:pt>
                <c:pt idx="8">
                  <c:v>15.00933586898805</c:v>
                </c:pt>
                <c:pt idx="9">
                  <c:v>7.647958917256989</c:v>
                </c:pt>
                <c:pt idx="10">
                  <c:v>0.0615048863234927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0.0454277835424586</c:v>
                  </c:pt>
                  <c:pt idx="1">
                    <c:v>0.0861107234253796</c:v>
                  </c:pt>
                  <c:pt idx="2">
                    <c:v>0.645981862317943</c:v>
                  </c:pt>
                  <c:pt idx="3">
                    <c:v>0.0475551204007924</c:v>
                  </c:pt>
                  <c:pt idx="4">
                    <c:v>0.178126373086239</c:v>
                  </c:pt>
                  <c:pt idx="5">
                    <c:v>0.0460460898025632</c:v>
                  </c:pt>
                  <c:pt idx="6">
                    <c:v>0.173508314781733</c:v>
                  </c:pt>
                  <c:pt idx="7">
                    <c:v>0.238470351076526</c:v>
                  </c:pt>
                  <c:pt idx="8">
                    <c:v>0.65444362001924</c:v>
                  </c:pt>
                  <c:pt idx="9">
                    <c:v>0.141320610852198</c:v>
                  </c:pt>
                  <c:pt idx="10">
                    <c:v>0.12252534843444</c:v>
                  </c:pt>
                  <c:pt idx="11">
                    <c:v>0.853959078287594</c:v>
                  </c:pt>
                  <c:pt idx="12">
                    <c:v>0.2870630461238</c:v>
                  </c:pt>
                  <c:pt idx="13">
                    <c:v>0.53800176833548</c:v>
                  </c:pt>
                  <c:pt idx="14">
                    <c:v>0.414846862017696</c:v>
                  </c:pt>
                  <c:pt idx="15">
                    <c:v>0.255370488784362</c:v>
                  </c:pt>
                  <c:pt idx="16">
                    <c:v>0.27914253729246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0.0454277835424586</c:v>
                  </c:pt>
                  <c:pt idx="1">
                    <c:v>0.0861107234253796</c:v>
                  </c:pt>
                  <c:pt idx="2">
                    <c:v>0.645981862317943</c:v>
                  </c:pt>
                  <c:pt idx="3">
                    <c:v>0.0475551204007924</c:v>
                  </c:pt>
                  <c:pt idx="4">
                    <c:v>0.178126373086239</c:v>
                  </c:pt>
                  <c:pt idx="5">
                    <c:v>0.0460460898025632</c:v>
                  </c:pt>
                  <c:pt idx="6">
                    <c:v>0.173508314781733</c:v>
                  </c:pt>
                  <c:pt idx="7">
                    <c:v>0.238470351076526</c:v>
                  </c:pt>
                  <c:pt idx="8">
                    <c:v>0.65444362001924</c:v>
                  </c:pt>
                  <c:pt idx="9">
                    <c:v>0.141320610852198</c:v>
                  </c:pt>
                  <c:pt idx="10">
                    <c:v>0.12252534843444</c:v>
                  </c:pt>
                  <c:pt idx="11">
                    <c:v>0.853959078287594</c:v>
                  </c:pt>
                  <c:pt idx="12">
                    <c:v>0.2870630461238</c:v>
                  </c:pt>
                  <c:pt idx="13">
                    <c:v>0.53800176833548</c:v>
                  </c:pt>
                  <c:pt idx="14">
                    <c:v>0.414846862017696</c:v>
                  </c:pt>
                  <c:pt idx="15">
                    <c:v>0.255370488784362</c:v>
                  </c:pt>
                  <c:pt idx="16">
                    <c:v>0.27914253729246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1.862539125240801</c:v>
                </c:pt>
                <c:pt idx="1">
                  <c:v>3.396568648893527</c:v>
                </c:pt>
                <c:pt idx="2">
                  <c:v>5.565254256810553</c:v>
                </c:pt>
                <c:pt idx="3">
                  <c:v>8.924678778763816</c:v>
                </c:pt>
                <c:pt idx="4">
                  <c:v>13.93525688493989</c:v>
                </c:pt>
                <c:pt idx="5">
                  <c:v>19.73074948039832</c:v>
                </c:pt>
                <c:pt idx="6">
                  <c:v>26.38457287460482</c:v>
                </c:pt>
                <c:pt idx="7">
                  <c:v>33.47456830369892</c:v>
                </c:pt>
                <c:pt idx="8">
                  <c:v>39.41057995829558</c:v>
                </c:pt>
                <c:pt idx="9">
                  <c:v>48.11724830427708</c:v>
                </c:pt>
                <c:pt idx="10">
                  <c:v>54.63489313400948</c:v>
                </c:pt>
                <c:pt idx="11">
                  <c:v>54.23202474597236</c:v>
                </c:pt>
                <c:pt idx="12">
                  <c:v>54.85859182176387</c:v>
                </c:pt>
                <c:pt idx="13">
                  <c:v>54.56658090284498</c:v>
                </c:pt>
                <c:pt idx="14">
                  <c:v>56.18447923739563</c:v>
                </c:pt>
                <c:pt idx="15">
                  <c:v>56.60276514827945</c:v>
                </c:pt>
                <c:pt idx="16">
                  <c:v>58.43375253177093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0.01461987774462</c:v>
                </c:pt>
                <c:pt idx="1">
                  <c:v>0.166797405448758</c:v>
                </c:pt>
                <c:pt idx="2">
                  <c:v>0.560235071799179</c:v>
                </c:pt>
                <c:pt idx="3">
                  <c:v>1.167644230108573</c:v>
                </c:pt>
                <c:pt idx="4">
                  <c:v>1.846120399942555</c:v>
                </c:pt>
                <c:pt idx="5">
                  <c:v>2.64844988484568</c:v>
                </c:pt>
                <c:pt idx="6">
                  <c:v>3.789555929252991</c:v>
                </c:pt>
                <c:pt idx="7">
                  <c:v>5.02974605913758</c:v>
                </c:pt>
                <c:pt idx="8">
                  <c:v>6.258458755705403</c:v>
                </c:pt>
                <c:pt idx="9">
                  <c:v>7.738576594838907</c:v>
                </c:pt>
                <c:pt idx="10">
                  <c:v>9.706412578075434</c:v>
                </c:pt>
                <c:pt idx="11">
                  <c:v>11.99742122127461</c:v>
                </c:pt>
                <c:pt idx="12">
                  <c:v>14.24150038644777</c:v>
                </c:pt>
                <c:pt idx="13">
                  <c:v>16.50630006872652</c:v>
                </c:pt>
                <c:pt idx="14">
                  <c:v>18.86047121774285</c:v>
                </c:pt>
                <c:pt idx="15">
                  <c:v>21.31040237797352</c:v>
                </c:pt>
                <c:pt idx="16">
                  <c:v>23.98017270398184</c:v>
                </c:pt>
                <c:pt idx="17">
                  <c:v>26.75319183686451</c:v>
                </c:pt>
                <c:pt idx="18">
                  <c:v>29.72036225042775</c:v>
                </c:pt>
                <c:pt idx="19">
                  <c:v>33.25050299855164</c:v>
                </c:pt>
                <c:pt idx="20">
                  <c:v>36.93888697487043</c:v>
                </c:pt>
                <c:pt idx="21">
                  <c:v>40.29106737492136</c:v>
                </c:pt>
                <c:pt idx="22">
                  <c:v>43.52987356468414</c:v>
                </c:pt>
                <c:pt idx="23">
                  <c:v>46.98433879488382</c:v>
                </c:pt>
                <c:pt idx="24">
                  <c:v>50.81959890224131</c:v>
                </c:pt>
                <c:pt idx="25">
                  <c:v>54.97039087659075</c:v>
                </c:pt>
                <c:pt idx="26">
                  <c:v>59.37472099196806</c:v>
                </c:pt>
                <c:pt idx="27">
                  <c:v>63.96344258500316</c:v>
                </c:pt>
                <c:pt idx="28">
                  <c:v>68.80107645857392</c:v>
                </c:pt>
                <c:pt idx="29">
                  <c:v>72.59481854200223</c:v>
                </c:pt>
                <c:pt idx="30">
                  <c:v>74.15185274335097</c:v>
                </c:pt>
                <c:pt idx="31">
                  <c:v>74.51470817021887</c:v>
                </c:pt>
                <c:pt idx="32">
                  <c:v>74.61872250907656</c:v>
                </c:pt>
                <c:pt idx="33">
                  <c:v>74.66773754258553</c:v>
                </c:pt>
                <c:pt idx="34">
                  <c:v>74.7001527550459</c:v>
                </c:pt>
                <c:pt idx="35">
                  <c:v>74.7255229205177</c:v>
                </c:pt>
                <c:pt idx="36">
                  <c:v>74.74495558646258</c:v>
                </c:pt>
                <c:pt idx="37">
                  <c:v>74.76086272295332</c:v>
                </c:pt>
                <c:pt idx="38">
                  <c:v>74.77593854781922</c:v>
                </c:pt>
                <c:pt idx="39">
                  <c:v>74.79123594127935</c:v>
                </c:pt>
                <c:pt idx="40">
                  <c:v>74.80658829749153</c:v>
                </c:pt>
                <c:pt idx="41">
                  <c:v>74.81894804636002</c:v>
                </c:pt>
                <c:pt idx="42">
                  <c:v>74.82848122119832</c:v>
                </c:pt>
                <c:pt idx="43">
                  <c:v>74.84139517781671</c:v>
                </c:pt>
                <c:pt idx="44">
                  <c:v>74.85558415577705</c:v>
                </c:pt>
                <c:pt idx="45">
                  <c:v>74.86794390464554</c:v>
                </c:pt>
                <c:pt idx="46">
                  <c:v>74.88069125542177</c:v>
                </c:pt>
                <c:pt idx="47">
                  <c:v>74.89360521204015</c:v>
                </c:pt>
                <c:pt idx="48">
                  <c:v>74.9053005871926</c:v>
                </c:pt>
                <c:pt idx="49">
                  <c:v>74.91742995338803</c:v>
                </c:pt>
                <c:pt idx="50">
                  <c:v>74.93210363841203</c:v>
                </c:pt>
                <c:pt idx="51">
                  <c:v>74.9465994716995</c:v>
                </c:pt>
                <c:pt idx="52">
                  <c:v>74.95937912740578</c:v>
                </c:pt>
                <c:pt idx="53">
                  <c:v>74.97316477609591</c:v>
                </c:pt>
                <c:pt idx="54">
                  <c:v>74.98837079398075</c:v>
                </c:pt>
                <c:pt idx="55">
                  <c:v>75.00191991819653</c:v>
                </c:pt>
                <c:pt idx="56">
                  <c:v>75.01393071656763</c:v>
                </c:pt>
                <c:pt idx="57">
                  <c:v>75.02020258777077</c:v>
                </c:pt>
                <c:pt idx="58">
                  <c:v>75.03037925191065</c:v>
                </c:pt>
                <c:pt idx="59">
                  <c:v>75.04457927681163</c:v>
                </c:pt>
                <c:pt idx="60">
                  <c:v>75.05718169195573</c:v>
                </c:pt>
                <c:pt idx="61">
                  <c:v>75.07743972342395</c:v>
                </c:pt>
                <c:pt idx="62">
                  <c:v>75.10057027190646</c:v>
                </c:pt>
                <c:pt idx="63">
                  <c:v>75.12086484118413</c:v>
                </c:pt>
                <c:pt idx="64">
                  <c:v>75.14046604089035</c:v>
                </c:pt>
                <c:pt idx="65">
                  <c:v>75.16145397973946</c:v>
                </c:pt>
                <c:pt idx="66">
                  <c:v>75.18118148338641</c:v>
                </c:pt>
                <c:pt idx="67">
                  <c:v>75.20141290069373</c:v>
                </c:pt>
                <c:pt idx="68">
                  <c:v>75.2197536651978</c:v>
                </c:pt>
                <c:pt idx="69">
                  <c:v>75.23752736407115</c:v>
                </c:pt>
                <c:pt idx="70">
                  <c:v>75.25990204206312</c:v>
                </c:pt>
                <c:pt idx="71">
                  <c:v>75.2837266111683</c:v>
                </c:pt>
                <c:pt idx="72">
                  <c:v>75.3055973754999</c:v>
                </c:pt>
                <c:pt idx="73">
                  <c:v>75.32324542148379</c:v>
                </c:pt>
                <c:pt idx="74">
                  <c:v>75.34328803393127</c:v>
                </c:pt>
                <c:pt idx="75">
                  <c:v>75.3665448863545</c:v>
                </c:pt>
                <c:pt idx="76">
                  <c:v>75.38658749880199</c:v>
                </c:pt>
                <c:pt idx="77">
                  <c:v>75.4052433721066</c:v>
                </c:pt>
                <c:pt idx="78">
                  <c:v>75.42333217978049</c:v>
                </c:pt>
                <c:pt idx="79">
                  <c:v>75.43864750916864</c:v>
                </c:pt>
                <c:pt idx="80">
                  <c:v>75.45421479538698</c:v>
                </c:pt>
                <c:pt idx="81">
                  <c:v>75.46814338563228</c:v>
                </c:pt>
                <c:pt idx="82">
                  <c:v>75.48043327990453</c:v>
                </c:pt>
                <c:pt idx="83">
                  <c:v>75.4934165437482</c:v>
                </c:pt>
                <c:pt idx="84">
                  <c:v>75.50425719795848</c:v>
                </c:pt>
                <c:pt idx="85">
                  <c:v>75.51535046005017</c:v>
                </c:pt>
                <c:pt idx="86">
                  <c:v>75.52852317980492</c:v>
                </c:pt>
                <c:pt idx="87">
                  <c:v>75.54465753165398</c:v>
                </c:pt>
                <c:pt idx="88">
                  <c:v>75.56066623061357</c:v>
                </c:pt>
                <c:pt idx="89">
                  <c:v>75.5740284062794</c:v>
                </c:pt>
                <c:pt idx="90">
                  <c:v>75.58512166837108</c:v>
                </c:pt>
                <c:pt idx="91">
                  <c:v>75.59539525695064</c:v>
                </c:pt>
                <c:pt idx="92">
                  <c:v>75.60598395433072</c:v>
                </c:pt>
                <c:pt idx="93">
                  <c:v>75.61701406445206</c:v>
                </c:pt>
                <c:pt idx="94">
                  <c:v>75.63050189300735</c:v>
                </c:pt>
                <c:pt idx="95">
                  <c:v>75.64959917905321</c:v>
                </c:pt>
                <c:pt idx="96">
                  <c:v>75.66689533921881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63208"/>
        <c:axId val="-210946000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13545.0</c:v>
                </c:pt>
                <c:pt idx="1">
                  <c:v>18755.0</c:v>
                </c:pt>
                <c:pt idx="2">
                  <c:v>3335.0</c:v>
                </c:pt>
                <c:pt idx="3">
                  <c:v>7988.0</c:v>
                </c:pt>
                <c:pt idx="4">
                  <c:v>16685.0</c:v>
                </c:pt>
                <c:pt idx="5">
                  <c:v>16958.0</c:v>
                </c:pt>
                <c:pt idx="6">
                  <c:v>19128.0</c:v>
                </c:pt>
                <c:pt idx="7">
                  <c:v>27367.0</c:v>
                </c:pt>
                <c:pt idx="8">
                  <c:v>29320.0</c:v>
                </c:pt>
                <c:pt idx="9">
                  <c:v>26931.0</c:v>
                </c:pt>
              </c:numCache>
            </c:numRef>
          </c:yVal>
          <c:smooth val="0"/>
        </c:ser>
        <c:ser>
          <c:idx val="5"/>
          <c:order val="8"/>
          <c:tx>
            <c:v>OD600nm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0.0847010824724218</c:v>
                  </c:pt>
                  <c:pt idx="3">
                    <c:v>0.0646915203124284</c:v>
                  </c:pt>
                  <c:pt idx="4">
                    <c:v>0.0514553059104048</c:v>
                  </c:pt>
                  <c:pt idx="5">
                    <c:v>0.056214736540638</c:v>
                  </c:pt>
                  <c:pt idx="6">
                    <c:v>0.0666424553069088</c:v>
                  </c:pt>
                  <c:pt idx="7">
                    <c:v>0.0489021927661055</c:v>
                  </c:pt>
                  <c:pt idx="8">
                    <c:v>0.679370973964397</c:v>
                  </c:pt>
                  <c:pt idx="9">
                    <c:v>0.235978869073765</c:v>
                  </c:pt>
                  <c:pt idx="10">
                    <c:v>0.224858946162552</c:v>
                  </c:pt>
                  <c:pt idx="11">
                    <c:v>0.213159716384999</c:v>
                  </c:pt>
                  <c:pt idx="12">
                    <c:v>0.102910611820809</c:v>
                  </c:pt>
                  <c:pt idx="13">
                    <c:v>0.0805667998702527</c:v>
                  </c:pt>
                  <c:pt idx="14">
                    <c:v>0.169402164944844</c:v>
                  </c:pt>
                  <c:pt idx="15">
                    <c:v>0.0489021927661055</c:v>
                  </c:pt>
                  <c:pt idx="16">
                    <c:v>0.0184832915178367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0.0847010824724218</c:v>
                  </c:pt>
                  <c:pt idx="3">
                    <c:v>0.0646915203124284</c:v>
                  </c:pt>
                  <c:pt idx="4">
                    <c:v>0.0514553059104048</c:v>
                  </c:pt>
                  <c:pt idx="5">
                    <c:v>0.056214736540638</c:v>
                  </c:pt>
                  <c:pt idx="6">
                    <c:v>0.0666424553069088</c:v>
                  </c:pt>
                  <c:pt idx="7">
                    <c:v>0.0489021927661055</c:v>
                  </c:pt>
                  <c:pt idx="8">
                    <c:v>0.679370973964397</c:v>
                  </c:pt>
                  <c:pt idx="9">
                    <c:v>0.235978869073765</c:v>
                  </c:pt>
                  <c:pt idx="10">
                    <c:v>0.224858946162552</c:v>
                  </c:pt>
                  <c:pt idx="11">
                    <c:v>0.213159716384999</c:v>
                  </c:pt>
                  <c:pt idx="12">
                    <c:v>0.102910611820809</c:v>
                  </c:pt>
                  <c:pt idx="13">
                    <c:v>0.0805667998702527</c:v>
                  </c:pt>
                  <c:pt idx="14">
                    <c:v>0.169402164944844</c:v>
                  </c:pt>
                  <c:pt idx="15">
                    <c:v>0.0489021927661055</c:v>
                  </c:pt>
                  <c:pt idx="16">
                    <c:v>0.0184832915178367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0.3483575</c:v>
                </c:pt>
                <c:pt idx="1">
                  <c:v>0.6172751</c:v>
                </c:pt>
                <c:pt idx="2">
                  <c:v>0.954469</c:v>
                </c:pt>
                <c:pt idx="3">
                  <c:v>1.589413333333334</c:v>
                </c:pt>
                <c:pt idx="4">
                  <c:v>2.688560666666667</c:v>
                </c:pt>
                <c:pt idx="5">
                  <c:v>3.504917666666667</c:v>
                </c:pt>
                <c:pt idx="6">
                  <c:v>4.225232666666667</c:v>
                </c:pt>
                <c:pt idx="7">
                  <c:v>5.195708666666667</c:v>
                </c:pt>
                <c:pt idx="8">
                  <c:v>6.636338666666667</c:v>
                </c:pt>
                <c:pt idx="9">
                  <c:v>7.340646666666667</c:v>
                </c:pt>
                <c:pt idx="10">
                  <c:v>7.938241333333334</c:v>
                </c:pt>
                <c:pt idx="11">
                  <c:v>6.753723333333334</c:v>
                </c:pt>
                <c:pt idx="12">
                  <c:v>6.252170666666666</c:v>
                </c:pt>
                <c:pt idx="13">
                  <c:v>5.771960666666666</c:v>
                </c:pt>
                <c:pt idx="14">
                  <c:v>4.534086</c:v>
                </c:pt>
                <c:pt idx="15">
                  <c:v>2.591903333333333</c:v>
                </c:pt>
                <c:pt idx="16">
                  <c:v>1.231923666666667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64648"/>
        <c:axId val="-2107136072"/>
      </c:scatterChart>
      <c:valAx>
        <c:axId val="-212696320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9460008"/>
        <c:crosses val="autoZero"/>
        <c:crossBetween val="midCat"/>
        <c:majorUnit val="6.0"/>
      </c:valAx>
      <c:valAx>
        <c:axId val="-21094600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26963208"/>
        <c:crosses val="autoZero"/>
        <c:crossBetween val="midCat"/>
      </c:valAx>
      <c:valAx>
        <c:axId val="-2107136072"/>
        <c:scaling>
          <c:orientation val="minMax"/>
          <c:max val="9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2864648"/>
        <c:crosses val="max"/>
        <c:crossBetween val="midCat"/>
        <c:majorUnit val="1.0"/>
        <c:minorUnit val="0.2"/>
      </c:valAx>
      <c:valAx>
        <c:axId val="-21128646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-21071360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H20" sqref="H20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6.5" style="2" bestFit="1" customWidth="1"/>
    <col min="4" max="16384" width="8.83203125" style="2"/>
  </cols>
  <sheetData>
    <row r="1" spans="1:3">
      <c r="A1" s="121" t="s">
        <v>0</v>
      </c>
      <c r="B1" s="122"/>
      <c r="C1" s="34">
        <v>42039</v>
      </c>
    </row>
    <row r="2" spans="1:3" ht="16">
      <c r="A2" s="121" t="s">
        <v>1</v>
      </c>
      <c r="B2" s="123"/>
      <c r="C2" s="32" t="s">
        <v>117</v>
      </c>
    </row>
    <row r="3" spans="1:3">
      <c r="A3" s="11"/>
      <c r="B3" s="11"/>
      <c r="C3" s="10"/>
    </row>
    <row r="4" spans="1:3">
      <c r="A4" s="124" t="s">
        <v>48</v>
      </c>
      <c r="B4" s="124"/>
      <c r="C4" s="7" t="s">
        <v>95</v>
      </c>
    </row>
    <row r="6" spans="1:3">
      <c r="A6" s="41" t="s">
        <v>82</v>
      </c>
      <c r="B6" s="41" t="s">
        <v>83</v>
      </c>
      <c r="C6" s="41" t="s">
        <v>68</v>
      </c>
    </row>
    <row r="7" spans="1:3">
      <c r="A7" s="37" t="s">
        <v>84</v>
      </c>
      <c r="B7" s="77">
        <v>6.5</v>
      </c>
      <c r="C7" s="37" t="s">
        <v>91</v>
      </c>
    </row>
    <row r="8" spans="1:3">
      <c r="A8" s="37" t="s">
        <v>85</v>
      </c>
      <c r="B8" s="77">
        <v>5</v>
      </c>
      <c r="C8" s="37" t="s">
        <v>91</v>
      </c>
    </row>
    <row r="9" spans="1:3">
      <c r="A9" s="37" t="s">
        <v>86</v>
      </c>
      <c r="B9" s="77">
        <v>2.5</v>
      </c>
      <c r="C9" s="37" t="s">
        <v>91</v>
      </c>
    </row>
    <row r="10" spans="1:3">
      <c r="A10" s="37" t="s">
        <v>87</v>
      </c>
      <c r="B10" s="77">
        <v>3</v>
      </c>
      <c r="C10" s="37" t="s">
        <v>91</v>
      </c>
    </row>
    <row r="11" spans="1:3">
      <c r="A11" s="29" t="s">
        <v>88</v>
      </c>
      <c r="B11" s="78">
        <v>6.8</v>
      </c>
      <c r="C11" s="29" t="s">
        <v>91</v>
      </c>
    </row>
    <row r="12" spans="1:3">
      <c r="A12" s="37" t="s">
        <v>72</v>
      </c>
      <c r="B12" s="77">
        <v>1.5</v>
      </c>
      <c r="C12" s="37" t="s">
        <v>91</v>
      </c>
    </row>
    <row r="13" spans="1:3" ht="16">
      <c r="A13" s="40" t="s">
        <v>76</v>
      </c>
      <c r="B13" s="77">
        <v>1</v>
      </c>
      <c r="C13" s="37" t="s">
        <v>91</v>
      </c>
    </row>
    <row r="14" spans="1:3" ht="16">
      <c r="A14" s="10" t="s">
        <v>75</v>
      </c>
      <c r="B14" s="77">
        <v>1</v>
      </c>
      <c r="C14" s="37" t="s">
        <v>91</v>
      </c>
    </row>
    <row r="15" spans="1:3" ht="16">
      <c r="A15" s="68" t="s">
        <v>141</v>
      </c>
      <c r="B15" s="68">
        <v>2</v>
      </c>
      <c r="C15" s="68" t="s">
        <v>91</v>
      </c>
    </row>
    <row r="16" spans="1:3" ht="16">
      <c r="A16" s="37" t="s">
        <v>96</v>
      </c>
      <c r="B16" s="77">
        <v>1</v>
      </c>
      <c r="C16" s="37" t="s">
        <v>91</v>
      </c>
    </row>
    <row r="17" spans="1:3" ht="16">
      <c r="A17" s="37" t="s">
        <v>97</v>
      </c>
      <c r="B17" s="77">
        <v>1</v>
      </c>
      <c r="C17" s="37" t="s">
        <v>91</v>
      </c>
    </row>
    <row r="18" spans="1:3" ht="16">
      <c r="A18" s="37" t="s">
        <v>98</v>
      </c>
      <c r="B18" s="77">
        <v>0.4</v>
      </c>
      <c r="C18" s="37" t="s">
        <v>91</v>
      </c>
    </row>
    <row r="19" spans="1:3" ht="16">
      <c r="A19" s="37" t="s">
        <v>74</v>
      </c>
      <c r="B19" s="77">
        <v>0.2</v>
      </c>
      <c r="C19" s="37" t="s">
        <v>91</v>
      </c>
    </row>
    <row r="20" spans="1:3" ht="16">
      <c r="A20" s="37" t="s">
        <v>99</v>
      </c>
      <c r="B20" s="77">
        <v>0.1</v>
      </c>
      <c r="C20" s="37" t="s">
        <v>91</v>
      </c>
    </row>
    <row r="21" spans="1:3" ht="16">
      <c r="A21" s="37" t="s">
        <v>100</v>
      </c>
      <c r="B21" s="37">
        <v>0.05</v>
      </c>
      <c r="C21" s="37" t="s">
        <v>91</v>
      </c>
    </row>
    <row r="22" spans="1:3" ht="16">
      <c r="A22" s="37" t="s">
        <v>101</v>
      </c>
      <c r="B22" s="37">
        <v>5.0000000000000001E-3</v>
      </c>
      <c r="C22" s="37" t="s">
        <v>91</v>
      </c>
    </row>
    <row r="23" spans="1:3" ht="16">
      <c r="A23" s="37" t="s">
        <v>102</v>
      </c>
      <c r="B23" s="37">
        <v>5.0000000000000001E-3</v>
      </c>
      <c r="C23" s="37" t="s">
        <v>91</v>
      </c>
    </row>
    <row r="24" spans="1:3">
      <c r="A24" s="37" t="s">
        <v>89</v>
      </c>
      <c r="B24" s="37">
        <v>5.0000000000000001E-3</v>
      </c>
      <c r="C24" s="37" t="s">
        <v>91</v>
      </c>
    </row>
    <row r="25" spans="1:3">
      <c r="A25" s="37" t="s">
        <v>90</v>
      </c>
      <c r="B25" s="37">
        <v>5.0000000000000001E-3</v>
      </c>
      <c r="C25" s="37" t="s">
        <v>91</v>
      </c>
    </row>
    <row r="26" spans="1:3">
      <c r="A26" s="37" t="s">
        <v>73</v>
      </c>
      <c r="B26" s="37">
        <v>1E-3</v>
      </c>
      <c r="C26" s="37" t="s">
        <v>136</v>
      </c>
    </row>
    <row r="27" spans="1:3">
      <c r="A27" s="37" t="s">
        <v>92</v>
      </c>
      <c r="B27" s="37" t="s">
        <v>91</v>
      </c>
      <c r="C27" s="37" t="s">
        <v>93</v>
      </c>
    </row>
    <row r="28" spans="1:3">
      <c r="A28" s="37" t="s">
        <v>94</v>
      </c>
      <c r="B28" s="37" t="s">
        <v>91</v>
      </c>
      <c r="C28" s="37" t="s">
        <v>93</v>
      </c>
    </row>
    <row r="29" spans="1:3">
      <c r="A29" s="29" t="s">
        <v>132</v>
      </c>
      <c r="B29" s="78">
        <v>9</v>
      </c>
      <c r="C29" s="29" t="s">
        <v>142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152"/>
  <sheetViews>
    <sheetView zoomScale="98" zoomScaleNormal="98" zoomScalePageLayoutView="98" workbookViewId="0">
      <selection activeCell="F85" sqref="F85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7">
      <c r="A1" s="8" t="s">
        <v>49</v>
      </c>
      <c r="B1" s="12">
        <v>70</v>
      </c>
      <c r="C1" s="9" t="s">
        <v>50</v>
      </c>
    </row>
    <row r="3" spans="1:7">
      <c r="A3" s="124" t="s">
        <v>5</v>
      </c>
      <c r="B3" s="124" t="s">
        <v>36</v>
      </c>
      <c r="C3" s="124"/>
      <c r="D3" s="124" t="s">
        <v>51</v>
      </c>
      <c r="E3" s="124"/>
      <c r="F3" s="124"/>
      <c r="G3" s="8" t="s">
        <v>52</v>
      </c>
    </row>
    <row r="4" spans="1:7">
      <c r="A4" s="124"/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  <c r="G4" s="8" t="s">
        <v>58</v>
      </c>
    </row>
    <row r="5" spans="1:7">
      <c r="A5" s="35">
        <v>0</v>
      </c>
      <c r="B5" s="12">
        <v>2015.54</v>
      </c>
      <c r="C5" s="36">
        <f>B5/1000</f>
        <v>2.0155400000000001</v>
      </c>
      <c r="D5" s="12">
        <f>C5/1000*$B$1</f>
        <v>0.14108780000000001</v>
      </c>
      <c r="E5" s="12">
        <f>D5/22.4</f>
        <v>6.2985625000000012E-3</v>
      </c>
      <c r="F5" s="12">
        <f>E5/Calculation!K$4*1000</f>
        <v>4.2992651521227086E-3</v>
      </c>
      <c r="G5" s="12">
        <f>(0+F5)/2*30</f>
        <v>6.4488977281840623E-2</v>
      </c>
    </row>
    <row r="6" spans="1:7">
      <c r="A6" s="35">
        <v>0.5</v>
      </c>
      <c r="B6" s="12">
        <v>2545.46</v>
      </c>
      <c r="C6" s="36">
        <f t="shared" ref="C6:C69" si="0">B6/1000</f>
        <v>2.5454599999999998</v>
      </c>
      <c r="D6" s="12">
        <f t="shared" ref="D6:D69" si="1">C6/1000*$B$1</f>
        <v>0.17818219999999999</v>
      </c>
      <c r="E6" s="12">
        <f t="shared" ref="E6:E69" si="2">D6/22.4</f>
        <v>7.9545624999999998E-3</v>
      </c>
      <c r="F6" s="12">
        <f>E6/Calculation!K$4*1000</f>
        <v>5.4296156236652536E-3</v>
      </c>
      <c r="G6" s="12">
        <f>G5+(F6+F5)/2*30</f>
        <v>0.21042218891866005</v>
      </c>
    </row>
    <row r="7" spans="1:7">
      <c r="A7" s="35">
        <v>1</v>
      </c>
      <c r="B7" s="12">
        <v>3142.43</v>
      </c>
      <c r="C7" s="36">
        <f t="shared" si="0"/>
        <v>3.1424300000000001</v>
      </c>
      <c r="D7" s="12">
        <f t="shared" si="1"/>
        <v>0.2199701</v>
      </c>
      <c r="E7" s="12">
        <f t="shared" si="2"/>
        <v>9.8200937500000016E-3</v>
      </c>
      <c r="F7" s="12">
        <f>E7/Calculation!K$4*1000</f>
        <v>6.7029876817056282E-3</v>
      </c>
      <c r="G7" s="12">
        <f>G6+(F7+F6)/2*30</f>
        <v>0.39241123849922327</v>
      </c>
    </row>
    <row r="8" spans="1:7">
      <c r="A8" s="35">
        <v>1.5</v>
      </c>
      <c r="B8" s="12">
        <v>3648.15</v>
      </c>
      <c r="C8" s="36">
        <f t="shared" si="0"/>
        <v>3.6481500000000002</v>
      </c>
      <c r="D8" s="12">
        <f t="shared" si="1"/>
        <v>0.2553705</v>
      </c>
      <c r="E8" s="12">
        <f t="shared" si="2"/>
        <v>1.140046875E-2</v>
      </c>
      <c r="F8" s="12">
        <f>E8/Calculation!K$4*1000</f>
        <v>7.7817181324689446E-3</v>
      </c>
      <c r="G8" s="12">
        <f t="shared" ref="G8:G70" si="3">G7+(F8+F7)/2*30</f>
        <v>0.60968182571184182</v>
      </c>
    </row>
    <row r="9" spans="1:7">
      <c r="A9" s="35">
        <v>2</v>
      </c>
      <c r="B9" s="12">
        <v>4242.6099999999997</v>
      </c>
      <c r="C9" s="36">
        <f t="shared" si="0"/>
        <v>4.24261</v>
      </c>
      <c r="D9" s="12">
        <f t="shared" si="1"/>
        <v>0.29698269999999999</v>
      </c>
      <c r="E9" s="12">
        <f t="shared" si="2"/>
        <v>1.325815625E-2</v>
      </c>
      <c r="F9" s="12">
        <f>E9/Calculation!K$5*1000</f>
        <v>9.4690041061301043E-3</v>
      </c>
      <c r="G9" s="12">
        <f t="shared" si="3"/>
        <v>0.86844265929082765</v>
      </c>
    </row>
    <row r="10" spans="1:7">
      <c r="A10" s="35">
        <v>2.5</v>
      </c>
      <c r="B10" s="12">
        <v>5268.75</v>
      </c>
      <c r="C10" s="36">
        <f t="shared" si="0"/>
        <v>5.2687499999999998</v>
      </c>
      <c r="D10" s="12">
        <f t="shared" si="1"/>
        <v>0.36881249999999999</v>
      </c>
      <c r="E10" s="12">
        <f t="shared" si="2"/>
        <v>1.6464843749999999E-2</v>
      </c>
      <c r="F10" s="12">
        <f>E10/Calculation!K$5*1000</f>
        <v>1.1759227311530633E-2</v>
      </c>
      <c r="G10" s="12">
        <f t="shared" si="3"/>
        <v>1.1868661305557389</v>
      </c>
    </row>
    <row r="11" spans="1:7">
      <c r="A11" s="35">
        <v>3</v>
      </c>
      <c r="B11" s="12">
        <v>6836.47</v>
      </c>
      <c r="C11" s="36">
        <f t="shared" si="0"/>
        <v>6.8364700000000003</v>
      </c>
      <c r="D11" s="12">
        <f t="shared" si="1"/>
        <v>0.4785529</v>
      </c>
      <c r="E11" s="12">
        <f t="shared" si="2"/>
        <v>2.136396875E-2</v>
      </c>
      <c r="F11" s="12">
        <f>E11/Calculation!K$5*1000</f>
        <v>1.5258193070170312E-2</v>
      </c>
      <c r="G11" s="12">
        <f t="shared" si="3"/>
        <v>1.592127436281253</v>
      </c>
    </row>
    <row r="12" spans="1:7">
      <c r="A12" s="35">
        <v>3.5</v>
      </c>
      <c r="B12" s="12">
        <v>8087.78</v>
      </c>
      <c r="C12" s="36">
        <f t="shared" si="0"/>
        <v>8.0877800000000004</v>
      </c>
      <c r="D12" s="12">
        <f t="shared" si="1"/>
        <v>0.56614460000000011</v>
      </c>
      <c r="E12" s="12">
        <f t="shared" si="2"/>
        <v>2.5274312500000007E-2</v>
      </c>
      <c r="F12" s="12">
        <f>E12/Calculation!K$6*1000</f>
        <v>1.8772473420311128E-2</v>
      </c>
      <c r="G12" s="12">
        <f t="shared" si="3"/>
        <v>2.1025874336384747</v>
      </c>
    </row>
    <row r="13" spans="1:7">
      <c r="A13" s="35">
        <v>4</v>
      </c>
      <c r="B13" s="12">
        <v>8985.74</v>
      </c>
      <c r="C13" s="36">
        <f t="shared" si="0"/>
        <v>8.9857399999999998</v>
      </c>
      <c r="D13" s="12">
        <f t="shared" si="1"/>
        <v>0.62900179999999994</v>
      </c>
      <c r="E13" s="12">
        <f t="shared" si="2"/>
        <v>2.8080437499999999E-2</v>
      </c>
      <c r="F13" s="12">
        <f>E13/Calculation!K$6*1000</f>
        <v>2.0856720300481277E-2</v>
      </c>
      <c r="G13" s="12">
        <f t="shared" si="3"/>
        <v>2.6970253394503607</v>
      </c>
    </row>
    <row r="14" spans="1:7">
      <c r="A14" s="35">
        <v>4.5</v>
      </c>
      <c r="B14" s="12">
        <v>11041.26</v>
      </c>
      <c r="C14" s="36">
        <f t="shared" si="0"/>
        <v>11.041259999999999</v>
      </c>
      <c r="D14" s="12">
        <f t="shared" si="1"/>
        <v>0.77288819999999991</v>
      </c>
      <c r="E14" s="12">
        <f t="shared" si="2"/>
        <v>3.4503937499999998E-2</v>
      </c>
      <c r="F14" s="12">
        <f>E14/Calculation!K$6*1000</f>
        <v>2.5627769286101301E-2</v>
      </c>
      <c r="G14" s="12">
        <f t="shared" si="3"/>
        <v>3.3942926832490992</v>
      </c>
    </row>
    <row r="15" spans="1:7">
      <c r="A15" s="35">
        <v>5</v>
      </c>
      <c r="B15" s="12">
        <v>14124.35</v>
      </c>
      <c r="C15" s="36">
        <f t="shared" si="0"/>
        <v>14.12435</v>
      </c>
      <c r="D15" s="12">
        <f t="shared" si="1"/>
        <v>0.98870449999999999</v>
      </c>
      <c r="E15" s="12">
        <f t="shared" si="2"/>
        <v>4.4138593750000003E-2</v>
      </c>
      <c r="F15" s="12">
        <f>E15/Calculation!K$7*1000</f>
        <v>3.4092238588687915E-2</v>
      </c>
      <c r="G15" s="12">
        <f t="shared" si="3"/>
        <v>4.2900928013709372</v>
      </c>
    </row>
    <row r="16" spans="1:7">
      <c r="A16" s="35">
        <v>5.5</v>
      </c>
      <c r="B16" s="12">
        <v>17001.990000000002</v>
      </c>
      <c r="C16" s="36">
        <f t="shared" si="0"/>
        <v>17.001990000000003</v>
      </c>
      <c r="D16" s="12">
        <f t="shared" si="1"/>
        <v>1.1901393</v>
      </c>
      <c r="E16" s="12">
        <f t="shared" si="2"/>
        <v>5.313121875E-2</v>
      </c>
      <c r="F16" s="12">
        <f>E16/Calculation!K$7*1000</f>
        <v>4.1038058357551747E-2</v>
      </c>
      <c r="G16" s="12">
        <f t="shared" si="3"/>
        <v>5.4170472555645315</v>
      </c>
    </row>
    <row r="17" spans="1:7">
      <c r="A17" s="35">
        <v>6</v>
      </c>
      <c r="B17" s="12">
        <v>19521.28</v>
      </c>
      <c r="C17" s="36">
        <f t="shared" si="0"/>
        <v>19.521279999999997</v>
      </c>
      <c r="D17" s="12">
        <f t="shared" si="1"/>
        <v>1.3664896</v>
      </c>
      <c r="E17" s="12">
        <f t="shared" si="2"/>
        <v>6.1004000000000003E-2</v>
      </c>
      <c r="F17" s="12">
        <f>E17/Calculation!K$8*1000</f>
        <v>4.872059208791818E-2</v>
      </c>
      <c r="G17" s="12">
        <f t="shared" si="3"/>
        <v>6.7634270122465807</v>
      </c>
    </row>
    <row r="18" spans="1:7">
      <c r="A18" s="35">
        <v>6.5</v>
      </c>
      <c r="B18" s="12">
        <v>21413.47</v>
      </c>
      <c r="C18" s="36">
        <f t="shared" si="0"/>
        <v>21.41347</v>
      </c>
      <c r="D18" s="12">
        <f t="shared" si="1"/>
        <v>1.4989429000000001</v>
      </c>
      <c r="E18" s="12">
        <f t="shared" si="2"/>
        <v>6.6917093750000003E-2</v>
      </c>
      <c r="F18" s="12">
        <f>E18/Calculation!K$8*1000</f>
        <v>5.3443059935458802E-2</v>
      </c>
      <c r="G18" s="12">
        <f t="shared" si="3"/>
        <v>8.2958817925972355</v>
      </c>
    </row>
    <row r="19" spans="1:7">
      <c r="A19" s="35">
        <v>7</v>
      </c>
      <c r="B19" s="12">
        <v>22922.57</v>
      </c>
      <c r="C19" s="36">
        <f t="shared" si="0"/>
        <v>22.92257</v>
      </c>
      <c r="D19" s="12">
        <f t="shared" si="1"/>
        <v>1.6045799000000001</v>
      </c>
      <c r="E19" s="12">
        <f t="shared" si="2"/>
        <v>7.1633031250000007E-2</v>
      </c>
      <c r="F19" s="12">
        <f>E19/Calculation!K$8*1000</f>
        <v>5.7209423899290963E-2</v>
      </c>
      <c r="G19" s="12">
        <f t="shared" si="3"/>
        <v>9.9556690501184821</v>
      </c>
    </row>
    <row r="20" spans="1:7">
      <c r="A20" s="35">
        <v>7.5</v>
      </c>
      <c r="B20" s="12">
        <v>24462.14</v>
      </c>
      <c r="C20" s="36">
        <f t="shared" si="0"/>
        <v>24.462139999999998</v>
      </c>
      <c r="D20" s="12">
        <f t="shared" si="1"/>
        <v>1.7123497999999997</v>
      </c>
      <c r="E20" s="12">
        <f t="shared" si="2"/>
        <v>7.6444187499999997E-2</v>
      </c>
      <c r="F20" s="12">
        <f>E20/Calculation!K$9*1000</f>
        <v>6.3501907520938969E-2</v>
      </c>
      <c r="G20" s="12">
        <f t="shared" si="3"/>
        <v>11.766339021421931</v>
      </c>
    </row>
    <row r="21" spans="1:7">
      <c r="A21" s="35">
        <v>8</v>
      </c>
      <c r="B21" s="12">
        <v>25524.14</v>
      </c>
      <c r="C21" s="36">
        <f t="shared" si="0"/>
        <v>25.524139999999999</v>
      </c>
      <c r="D21" s="12">
        <f t="shared" si="1"/>
        <v>1.7866898</v>
      </c>
      <c r="E21" s="12">
        <f t="shared" si="2"/>
        <v>7.9762937500000006E-2</v>
      </c>
      <c r="F21" s="12">
        <f>E21/Calculation!K$9*1000</f>
        <v>6.6258781031892533E-2</v>
      </c>
      <c r="G21" s="12">
        <f t="shared" si="3"/>
        <v>13.712749349714404</v>
      </c>
    </row>
    <row r="22" spans="1:7">
      <c r="A22" s="35">
        <v>8.5</v>
      </c>
      <c r="B22" s="12">
        <v>26865.26</v>
      </c>
      <c r="C22" s="36">
        <f t="shared" si="0"/>
        <v>26.865259999999999</v>
      </c>
      <c r="D22" s="12">
        <f t="shared" si="1"/>
        <v>1.8805681999999999</v>
      </c>
      <c r="E22" s="12">
        <f t="shared" si="2"/>
        <v>8.3953937500000006E-2</v>
      </c>
      <c r="F22" s="12">
        <f>E22/Calculation!K$9*1000</f>
        <v>6.9740229433973538E-2</v>
      </c>
      <c r="G22" s="12">
        <f t="shared" si="3"/>
        <v>15.752734506702396</v>
      </c>
    </row>
    <row r="23" spans="1:7">
      <c r="A23" s="35">
        <v>9</v>
      </c>
      <c r="B23" s="12">
        <v>27642.22</v>
      </c>
      <c r="C23" s="36">
        <f t="shared" si="0"/>
        <v>27.642220000000002</v>
      </c>
      <c r="D23" s="12">
        <f t="shared" si="1"/>
        <v>1.9349554000000002</v>
      </c>
      <c r="E23" s="12">
        <f t="shared" si="2"/>
        <v>8.6381937500000019E-2</v>
      </c>
      <c r="F23" s="12">
        <f>E23/Calculation!K$10*1000</f>
        <v>7.4935501166991617E-2</v>
      </c>
      <c r="G23" s="12">
        <f t="shared" si="3"/>
        <v>17.922870465716873</v>
      </c>
    </row>
    <row r="24" spans="1:7">
      <c r="A24" s="35">
        <v>9.5</v>
      </c>
      <c r="B24" s="12">
        <v>28299.599999999999</v>
      </c>
      <c r="C24" s="36">
        <f t="shared" si="0"/>
        <v>28.299599999999998</v>
      </c>
      <c r="D24" s="12">
        <f t="shared" si="1"/>
        <v>1.9809719999999997</v>
      </c>
      <c r="E24" s="12">
        <f t="shared" si="2"/>
        <v>8.8436249999999994E-2</v>
      </c>
      <c r="F24" s="12">
        <f>E24/Calculation!K$10*1000</f>
        <v>7.671759753107367E-2</v>
      </c>
      <c r="G24" s="12">
        <f t="shared" si="3"/>
        <v>20.197666946187852</v>
      </c>
    </row>
    <row r="25" spans="1:7">
      <c r="A25" s="35">
        <v>10</v>
      </c>
      <c r="B25" s="12">
        <v>29269.46</v>
      </c>
      <c r="C25" s="36">
        <f t="shared" si="0"/>
        <v>29.269459999999999</v>
      </c>
      <c r="D25" s="12">
        <f t="shared" si="1"/>
        <v>2.0488621999999999</v>
      </c>
      <c r="E25" s="12">
        <f t="shared" si="2"/>
        <v>9.1467062500000001E-2</v>
      </c>
      <c r="F25" s="12">
        <f>E25/Calculation!K$11*1000</f>
        <v>8.2857718544118844E-2</v>
      </c>
      <c r="G25" s="12">
        <f t="shared" si="3"/>
        <v>22.59129668731574</v>
      </c>
    </row>
    <row r="26" spans="1:7">
      <c r="A26" s="35">
        <v>10.5</v>
      </c>
      <c r="B26" s="12">
        <v>30444.75</v>
      </c>
      <c r="C26" s="36">
        <f t="shared" si="0"/>
        <v>30.444749999999999</v>
      </c>
      <c r="D26" s="12">
        <f t="shared" si="1"/>
        <v>2.1311325000000001</v>
      </c>
      <c r="E26" s="12">
        <f t="shared" si="2"/>
        <v>9.5139843750000008E-2</v>
      </c>
      <c r="F26" s="12">
        <f>E26/Calculation!K$11*1000</f>
        <v>8.6184798990007416E-2</v>
      </c>
      <c r="G26" s="12">
        <f t="shared" si="3"/>
        <v>25.126934450327635</v>
      </c>
    </row>
    <row r="27" spans="1:7">
      <c r="A27" s="35">
        <v>11</v>
      </c>
      <c r="B27" s="12">
        <v>30962.13</v>
      </c>
      <c r="C27" s="36">
        <f t="shared" si="0"/>
        <v>30.962130000000002</v>
      </c>
      <c r="D27" s="12">
        <f t="shared" si="1"/>
        <v>2.1673491</v>
      </c>
      <c r="E27" s="12">
        <f t="shared" si="2"/>
        <v>9.6756656250000003E-2</v>
      </c>
      <c r="F27" s="12">
        <f>E27/Calculation!K$11*1000</f>
        <v>8.7649428895046871E-2</v>
      </c>
      <c r="G27" s="12">
        <f t="shared" si="3"/>
        <v>27.73444786860345</v>
      </c>
    </row>
    <row r="28" spans="1:7">
      <c r="A28" s="35">
        <v>11.5</v>
      </c>
      <c r="B28" s="12">
        <v>31789.82</v>
      </c>
      <c r="C28" s="36">
        <f t="shared" si="0"/>
        <v>31.789819999999999</v>
      </c>
      <c r="D28" s="12">
        <f t="shared" si="1"/>
        <v>2.2252873999999996</v>
      </c>
      <c r="E28" s="12">
        <f t="shared" si="2"/>
        <v>9.9343187499999985E-2</v>
      </c>
      <c r="F28" s="12">
        <f>E28/Calculation!K$12*1000</f>
        <v>9.3536163522403279E-2</v>
      </c>
      <c r="G28" s="12">
        <f t="shared" si="3"/>
        <v>30.452231754865203</v>
      </c>
    </row>
    <row r="29" spans="1:7">
      <c r="A29" s="35">
        <v>12</v>
      </c>
      <c r="B29" s="12">
        <v>32140.83</v>
      </c>
      <c r="C29" s="36">
        <f t="shared" si="0"/>
        <v>32.140830000000001</v>
      </c>
      <c r="D29" s="12">
        <f t="shared" si="1"/>
        <v>2.2498581</v>
      </c>
      <c r="E29" s="12">
        <f t="shared" si="2"/>
        <v>0.10044009375</v>
      </c>
      <c r="F29" s="12">
        <f>E29/Calculation!K$12*1000</f>
        <v>9.4568951023496384E-2</v>
      </c>
      <c r="G29" s="12">
        <f t="shared" si="3"/>
        <v>33.273808473053698</v>
      </c>
    </row>
    <row r="30" spans="1:7">
      <c r="A30" s="35">
        <v>12.5</v>
      </c>
      <c r="B30" s="12">
        <v>32504.39</v>
      </c>
      <c r="C30" s="36">
        <f t="shared" si="0"/>
        <v>32.504390000000001</v>
      </c>
      <c r="D30" s="12">
        <f t="shared" si="1"/>
        <v>2.2753073000000001</v>
      </c>
      <c r="E30" s="12">
        <f t="shared" si="2"/>
        <v>0.10157621875000002</v>
      </c>
      <c r="F30" s="12">
        <f>E30/Calculation!K$12*1000</f>
        <v>9.5638664774949061E-2</v>
      </c>
      <c r="G30" s="12">
        <f t="shared" si="3"/>
        <v>36.126922710030378</v>
      </c>
    </row>
    <row r="31" spans="1:7">
      <c r="A31" s="35">
        <v>13</v>
      </c>
      <c r="B31" s="12">
        <v>33278.660000000003</v>
      </c>
      <c r="C31" s="36">
        <f t="shared" si="0"/>
        <v>33.278660000000002</v>
      </c>
      <c r="D31" s="12">
        <f t="shared" si="1"/>
        <v>2.3295062</v>
      </c>
      <c r="E31" s="12">
        <f t="shared" si="2"/>
        <v>0.10399581250000001</v>
      </c>
      <c r="F31" s="12">
        <f>E31/Calculation!K$13*1000</f>
        <v>0.10298634229932084</v>
      </c>
      <c r="G31" s="12">
        <f t="shared" si="3"/>
        <v>39.106297816144426</v>
      </c>
    </row>
    <row r="32" spans="1:7">
      <c r="A32" s="35">
        <v>13.5</v>
      </c>
      <c r="B32" s="12">
        <v>33469.040000000001</v>
      </c>
      <c r="C32" s="36">
        <f t="shared" si="0"/>
        <v>33.46904</v>
      </c>
      <c r="D32" s="12">
        <f t="shared" si="1"/>
        <v>2.3428328</v>
      </c>
      <c r="E32" s="12">
        <f t="shared" si="2"/>
        <v>0.10459075000000001</v>
      </c>
      <c r="F32" s="12">
        <f>E32/Calculation!K$13*1000</f>
        <v>0.10357550483912698</v>
      </c>
      <c r="G32" s="12">
        <f t="shared" si="3"/>
        <v>42.204725523221143</v>
      </c>
    </row>
    <row r="33" spans="1:7">
      <c r="A33" s="35">
        <v>14</v>
      </c>
      <c r="B33" s="12">
        <v>33412.57</v>
      </c>
      <c r="C33" s="36">
        <f t="shared" si="0"/>
        <v>33.412570000000002</v>
      </c>
      <c r="D33" s="12">
        <f t="shared" si="1"/>
        <v>2.3388799000000002</v>
      </c>
      <c r="E33" s="12">
        <f t="shared" si="2"/>
        <v>0.10441428125000002</v>
      </c>
      <c r="F33" s="12">
        <f>E33/Calculation!K$14*1000</f>
        <v>0.10825088397729175</v>
      </c>
      <c r="G33" s="12">
        <f t="shared" si="3"/>
        <v>45.382121355467426</v>
      </c>
    </row>
    <row r="34" spans="1:7">
      <c r="A34" s="35">
        <v>14.5</v>
      </c>
      <c r="B34" s="12">
        <v>27979.07</v>
      </c>
      <c r="C34" s="36">
        <f t="shared" si="0"/>
        <v>27.97907</v>
      </c>
      <c r="D34" s="12">
        <f t="shared" si="1"/>
        <v>1.9585349000000001</v>
      </c>
      <c r="E34" s="12">
        <f t="shared" si="2"/>
        <v>8.7434593750000011E-2</v>
      </c>
      <c r="F34" s="12">
        <f>E34/Calculation!K$14*1000</f>
        <v>9.0647294128004055E-2</v>
      </c>
      <c r="G34" s="12">
        <f t="shared" si="3"/>
        <v>48.365594027046861</v>
      </c>
    </row>
    <row r="35" spans="1:7">
      <c r="A35" s="35">
        <v>15</v>
      </c>
      <c r="B35" s="12">
        <v>21692.06</v>
      </c>
      <c r="C35" s="36">
        <f t="shared" si="0"/>
        <v>21.692060000000001</v>
      </c>
      <c r="D35" s="12">
        <f t="shared" si="1"/>
        <v>1.5184442000000002</v>
      </c>
      <c r="E35" s="12">
        <f t="shared" si="2"/>
        <v>6.7787687500000013E-2</v>
      </c>
      <c r="F35" s="12">
        <f>E35/Calculation!K$14*1000</f>
        <v>7.0278481131156673E-2</v>
      </c>
      <c r="G35" s="12">
        <f t="shared" si="3"/>
        <v>50.779480655934272</v>
      </c>
    </row>
    <row r="36" spans="1:7">
      <c r="A36" s="35">
        <v>15.5</v>
      </c>
      <c r="B36" s="12">
        <v>17133.22</v>
      </c>
      <c r="C36" s="36">
        <f t="shared" si="0"/>
        <v>17.133220000000001</v>
      </c>
      <c r="D36" s="12">
        <f t="shared" si="1"/>
        <v>1.1993254</v>
      </c>
      <c r="E36" s="12">
        <f t="shared" si="2"/>
        <v>5.35413125E-2</v>
      </c>
      <c r="F36" s="12">
        <f>E36/Calculation!K$15*1000</f>
        <v>5.8356723851176018E-2</v>
      </c>
      <c r="G36" s="12">
        <f t="shared" si="3"/>
        <v>52.709008730669261</v>
      </c>
    </row>
    <row r="37" spans="1:7">
      <c r="A37" s="35">
        <v>16</v>
      </c>
      <c r="B37" s="12">
        <v>13304.36</v>
      </c>
      <c r="C37" s="36">
        <f t="shared" si="0"/>
        <v>13.304360000000001</v>
      </c>
      <c r="D37" s="12">
        <f t="shared" si="1"/>
        <v>0.93130520000000006</v>
      </c>
      <c r="E37" s="12">
        <f t="shared" si="2"/>
        <v>4.1576125000000005E-2</v>
      </c>
      <c r="F37" s="12">
        <f>E37/Calculation!K$15*1000</f>
        <v>4.5315408460092868E-2</v>
      </c>
      <c r="G37" s="12">
        <f t="shared" si="3"/>
        <v>54.264090715338291</v>
      </c>
    </row>
    <row r="38" spans="1:7">
      <c r="A38" s="35">
        <v>16.5</v>
      </c>
      <c r="B38" s="12">
        <v>10135.58</v>
      </c>
      <c r="C38" s="36">
        <f t="shared" si="0"/>
        <v>10.135579999999999</v>
      </c>
      <c r="D38" s="12">
        <f t="shared" si="1"/>
        <v>0.70949059999999997</v>
      </c>
      <c r="E38" s="12">
        <f t="shared" si="2"/>
        <v>3.1673687499999999E-2</v>
      </c>
      <c r="F38" s="12">
        <f>E38/Calculation!K$15*1000</f>
        <v>3.4522363171167039E-2</v>
      </c>
      <c r="G38" s="12">
        <f t="shared" si="3"/>
        <v>55.461657289807192</v>
      </c>
    </row>
    <row r="39" spans="1:7">
      <c r="A39" s="35">
        <v>17</v>
      </c>
      <c r="B39" s="12">
        <v>7809.91</v>
      </c>
      <c r="C39" s="36">
        <f t="shared" si="0"/>
        <v>7.8099099999999995</v>
      </c>
      <c r="D39" s="12">
        <f t="shared" si="1"/>
        <v>0.54669369999999995</v>
      </c>
      <c r="E39" s="12">
        <f t="shared" si="2"/>
        <v>2.440596875E-2</v>
      </c>
      <c r="F39" s="12">
        <f>E39/Calculation!K$16*1000</f>
        <v>2.8191755987591733E-2</v>
      </c>
      <c r="G39" s="12">
        <f t="shared" si="3"/>
        <v>56.402369077188574</v>
      </c>
    </row>
    <row r="40" spans="1:7">
      <c r="A40" s="35">
        <v>17.5</v>
      </c>
      <c r="B40" s="12">
        <v>6018.28</v>
      </c>
      <c r="C40" s="36">
        <f t="shared" si="0"/>
        <v>6.0182799999999999</v>
      </c>
      <c r="D40" s="12">
        <f t="shared" si="1"/>
        <v>0.42127959999999998</v>
      </c>
      <c r="E40" s="12">
        <f t="shared" si="2"/>
        <v>1.8807125000000001E-2</v>
      </c>
      <c r="F40" s="12">
        <f>E40/Calculation!K$16*1000</f>
        <v>2.1724434881452356E-2</v>
      </c>
      <c r="G40" s="12">
        <f t="shared" si="3"/>
        <v>57.151111940224233</v>
      </c>
    </row>
    <row r="41" spans="1:7">
      <c r="A41" s="35">
        <v>18</v>
      </c>
      <c r="B41" s="12">
        <v>4402.16</v>
      </c>
      <c r="C41" s="36">
        <f t="shared" si="0"/>
        <v>4.4021600000000003</v>
      </c>
      <c r="D41" s="12">
        <f t="shared" si="1"/>
        <v>0.30815120000000001</v>
      </c>
      <c r="E41" s="12">
        <f t="shared" si="2"/>
        <v>1.3756750000000002E-2</v>
      </c>
      <c r="F41" s="12">
        <f>E41/Calculation!K$17*1000</f>
        <v>1.6802418652003791E-2</v>
      </c>
      <c r="G41" s="12">
        <f t="shared" si="3"/>
        <v>57.729014743226074</v>
      </c>
    </row>
    <row r="42" spans="1:7">
      <c r="A42" s="35">
        <v>18.5</v>
      </c>
      <c r="B42" s="12">
        <v>3173.98</v>
      </c>
      <c r="C42" s="36">
        <f t="shared" si="0"/>
        <v>3.1739799999999998</v>
      </c>
      <c r="D42" s="12">
        <f t="shared" si="1"/>
        <v>0.2221786</v>
      </c>
      <c r="E42" s="12">
        <f t="shared" si="2"/>
        <v>9.9186875000000004E-3</v>
      </c>
      <c r="F42" s="12">
        <f>E42/Calculation!K$17*1000</f>
        <v>1.2114630261754909E-2</v>
      </c>
      <c r="G42" s="12">
        <f t="shared" si="3"/>
        <v>58.162770476932451</v>
      </c>
    </row>
    <row r="43" spans="1:7">
      <c r="A43" s="35">
        <v>19</v>
      </c>
      <c r="B43" s="12">
        <v>2312.0500000000002</v>
      </c>
      <c r="C43" s="36">
        <f t="shared" si="0"/>
        <v>2.3120500000000002</v>
      </c>
      <c r="D43" s="12">
        <f t="shared" si="1"/>
        <v>0.1618435</v>
      </c>
      <c r="E43" s="12">
        <f t="shared" si="2"/>
        <v>7.2251562500000007E-3</v>
      </c>
      <c r="F43" s="12">
        <f>E43/Calculation!K$17*1000</f>
        <v>8.8247660340299676E-3</v>
      </c>
      <c r="G43" s="12">
        <f t="shared" si="3"/>
        <v>58.476861421369222</v>
      </c>
    </row>
    <row r="44" spans="1:7">
      <c r="A44" s="35">
        <v>19.5</v>
      </c>
      <c r="B44" s="12">
        <v>1692.67</v>
      </c>
      <c r="C44" s="36">
        <f t="shared" si="0"/>
        <v>1.6926700000000001</v>
      </c>
      <c r="D44" s="12">
        <f t="shared" si="1"/>
        <v>0.11848690000000001</v>
      </c>
      <c r="E44" s="12">
        <f t="shared" si="2"/>
        <v>5.2895937500000009E-3</v>
      </c>
      <c r="F44" s="12">
        <f>E44/Calculation!K$17*1000</f>
        <v>6.4606806612406767E-3</v>
      </c>
      <c r="G44" s="12">
        <f t="shared" si="3"/>
        <v>58.706143121798284</v>
      </c>
    </row>
    <row r="45" spans="1:7">
      <c r="A45" s="35">
        <v>20</v>
      </c>
      <c r="B45" s="12">
        <v>1222.0899999999999</v>
      </c>
      <c r="C45" s="36">
        <f t="shared" si="0"/>
        <v>1.2220899999999999</v>
      </c>
      <c r="D45" s="12">
        <f t="shared" si="1"/>
        <v>8.5546299999999992E-2</v>
      </c>
      <c r="E45" s="12">
        <f t="shared" si="2"/>
        <v>3.8190312499999999E-3</v>
      </c>
      <c r="F45" s="12">
        <f>E45/Calculation!K$17*1000</f>
        <v>4.6645437263587216E-3</v>
      </c>
      <c r="G45" s="12">
        <f t="shared" si="3"/>
        <v>58.873021487612277</v>
      </c>
    </row>
    <row r="46" spans="1:7">
      <c r="A46" s="35">
        <v>20.5</v>
      </c>
      <c r="B46" s="12">
        <v>883.09</v>
      </c>
      <c r="C46" s="36">
        <f t="shared" si="0"/>
        <v>0.88309000000000004</v>
      </c>
      <c r="D46" s="12">
        <f t="shared" si="1"/>
        <v>6.1816299999999998E-2</v>
      </c>
      <c r="E46" s="12">
        <f t="shared" si="2"/>
        <v>2.75965625E-3</v>
      </c>
      <c r="F46" s="12">
        <f>E46/Calculation!K$17*1000</f>
        <v>3.3706289383843443E-3</v>
      </c>
      <c r="G46" s="12">
        <f t="shared" si="3"/>
        <v>58.993549077583424</v>
      </c>
    </row>
    <row r="47" spans="1:7">
      <c r="A47" s="35">
        <v>21</v>
      </c>
      <c r="B47" s="12">
        <v>650.75</v>
      </c>
      <c r="C47" s="36">
        <f t="shared" si="0"/>
        <v>0.65075000000000005</v>
      </c>
      <c r="D47" s="12">
        <f t="shared" si="1"/>
        <v>4.5552500000000003E-2</v>
      </c>
      <c r="E47" s="12">
        <f t="shared" si="2"/>
        <v>2.0335937500000002E-3</v>
      </c>
      <c r="F47" s="12">
        <f>E47/Calculation!K$17*1000</f>
        <v>2.4838202013991919E-3</v>
      </c>
      <c r="G47" s="12">
        <f t="shared" si="3"/>
        <v>59.081365814680176</v>
      </c>
    </row>
    <row r="48" spans="1:7">
      <c r="A48" s="35">
        <v>21.5</v>
      </c>
      <c r="B48" s="12">
        <v>484.93</v>
      </c>
      <c r="C48" s="36">
        <f t="shared" si="0"/>
        <v>0.48493000000000003</v>
      </c>
      <c r="D48" s="12">
        <f t="shared" si="1"/>
        <v>3.3945099999999999E-2</v>
      </c>
      <c r="E48" s="12">
        <f t="shared" si="2"/>
        <v>1.51540625E-3</v>
      </c>
      <c r="F48" s="12">
        <f>E48/Calculation!K$17*1000</f>
        <v>1.8509088440484211E-3</v>
      </c>
      <c r="G48" s="12">
        <f t="shared" si="3"/>
        <v>59.146386750361891</v>
      </c>
    </row>
    <row r="49" spans="1:7">
      <c r="A49" s="35">
        <v>22</v>
      </c>
      <c r="B49" s="12">
        <v>363.2</v>
      </c>
      <c r="C49" s="36">
        <f t="shared" si="0"/>
        <v>0.36319999999999997</v>
      </c>
      <c r="D49" s="12">
        <f t="shared" si="1"/>
        <v>2.5423999999999999E-2</v>
      </c>
      <c r="E49" s="12">
        <f t="shared" si="2"/>
        <v>1.1349999999999999E-3</v>
      </c>
      <c r="F49" s="12">
        <f>E49/Calculation!K$17*1000</f>
        <v>1.3862827462899521E-3</v>
      </c>
      <c r="G49" s="12">
        <f t="shared" si="3"/>
        <v>59.194944624216966</v>
      </c>
    </row>
    <row r="50" spans="1:7">
      <c r="A50" s="35">
        <v>22.5</v>
      </c>
      <c r="B50" s="12">
        <v>306.73</v>
      </c>
      <c r="C50" s="36">
        <f t="shared" si="0"/>
        <v>0.30673</v>
      </c>
      <c r="D50" s="12">
        <f t="shared" si="1"/>
        <v>2.14711E-2</v>
      </c>
      <c r="E50" s="12">
        <f t="shared" si="2"/>
        <v>9.5853125000000007E-4</v>
      </c>
      <c r="F50" s="12">
        <f>E50/Calculation!K$17*1000</f>
        <v>1.170744787361005E-3</v>
      </c>
      <c r="G50" s="12">
        <f t="shared" si="3"/>
        <v>59.233300037221731</v>
      </c>
    </row>
    <row r="51" spans="1:7">
      <c r="A51" s="35">
        <v>23</v>
      </c>
      <c r="B51" s="12">
        <v>244.35</v>
      </c>
      <c r="C51" s="36">
        <f t="shared" si="0"/>
        <v>0.24434999999999998</v>
      </c>
      <c r="D51" s="12">
        <f t="shared" si="1"/>
        <v>1.7104500000000002E-2</v>
      </c>
      <c r="E51" s="12">
        <f t="shared" si="2"/>
        <v>7.6359375000000017E-4</v>
      </c>
      <c r="F51" s="12">
        <f>E51/Calculation!K$17*1000</f>
        <v>9.3264919894259332E-4</v>
      </c>
      <c r="G51" s="12">
        <f t="shared" si="3"/>
        <v>59.264850947016285</v>
      </c>
    </row>
    <row r="52" spans="1:7">
      <c r="A52" s="35">
        <v>23.5</v>
      </c>
      <c r="B52" s="12">
        <v>191.46</v>
      </c>
      <c r="C52" s="36">
        <f t="shared" si="0"/>
        <v>0.19146000000000002</v>
      </c>
      <c r="D52" s="12">
        <f t="shared" si="1"/>
        <v>1.3402200000000001E-2</v>
      </c>
      <c r="E52" s="12">
        <f t="shared" si="2"/>
        <v>5.983125000000001E-4</v>
      </c>
      <c r="F52" s="12">
        <f>E52/Calculation!K$17*1000</f>
        <v>7.3077559087190058E-4</v>
      </c>
      <c r="G52" s="12">
        <f t="shared" si="3"/>
        <v>59.289802318863501</v>
      </c>
    </row>
    <row r="53" spans="1:7">
      <c r="A53" s="35">
        <v>24</v>
      </c>
      <c r="B53" s="12">
        <v>0</v>
      </c>
      <c r="C53" s="36">
        <f t="shared" si="0"/>
        <v>0</v>
      </c>
      <c r="D53" s="12">
        <f t="shared" si="1"/>
        <v>0</v>
      </c>
      <c r="E53" s="12">
        <f t="shared" si="2"/>
        <v>0</v>
      </c>
      <c r="F53" s="12">
        <f>E53/Calculation!K$18*1000</f>
        <v>0</v>
      </c>
      <c r="G53" s="12">
        <f t="shared" si="3"/>
        <v>59.300763952726577</v>
      </c>
    </row>
    <row r="54" spans="1:7">
      <c r="A54" s="35">
        <v>24.5</v>
      </c>
      <c r="B54" s="12">
        <v>0</v>
      </c>
      <c r="C54" s="36">
        <f t="shared" si="0"/>
        <v>0</v>
      </c>
      <c r="D54" s="12">
        <f t="shared" si="1"/>
        <v>0</v>
      </c>
      <c r="E54" s="12">
        <f t="shared" si="2"/>
        <v>0</v>
      </c>
      <c r="F54" s="12">
        <f>E54/Calculation!K$18*1000</f>
        <v>0</v>
      </c>
      <c r="G54" s="12">
        <f t="shared" si="3"/>
        <v>59.300763952726577</v>
      </c>
    </row>
    <row r="55" spans="1:7">
      <c r="A55" s="35">
        <v>25</v>
      </c>
      <c r="B55" s="12">
        <v>0</v>
      </c>
      <c r="C55" s="36">
        <f t="shared" si="0"/>
        <v>0</v>
      </c>
      <c r="D55" s="12">
        <f t="shared" si="1"/>
        <v>0</v>
      </c>
      <c r="E55" s="12">
        <f t="shared" si="2"/>
        <v>0</v>
      </c>
      <c r="F55" s="12">
        <f>E55/Calculation!K$18*1000</f>
        <v>0</v>
      </c>
      <c r="G55" s="12">
        <f t="shared" si="3"/>
        <v>59.300763952726577</v>
      </c>
    </row>
    <row r="56" spans="1:7">
      <c r="A56" s="35">
        <v>25.5</v>
      </c>
      <c r="B56" s="12">
        <v>0</v>
      </c>
      <c r="C56" s="36">
        <f t="shared" si="0"/>
        <v>0</v>
      </c>
      <c r="D56" s="12">
        <f t="shared" si="1"/>
        <v>0</v>
      </c>
      <c r="E56" s="12">
        <f t="shared" si="2"/>
        <v>0</v>
      </c>
      <c r="F56" s="12">
        <f>E56/Calculation!K$18*1000</f>
        <v>0</v>
      </c>
      <c r="G56" s="12">
        <f t="shared" si="3"/>
        <v>59.300763952726577</v>
      </c>
    </row>
    <row r="57" spans="1:7">
      <c r="A57" s="35">
        <v>26</v>
      </c>
      <c r="B57" s="12">
        <v>0</v>
      </c>
      <c r="C57" s="36">
        <f t="shared" si="0"/>
        <v>0</v>
      </c>
      <c r="D57" s="12">
        <f t="shared" si="1"/>
        <v>0</v>
      </c>
      <c r="E57" s="12">
        <f t="shared" si="2"/>
        <v>0</v>
      </c>
      <c r="F57" s="12">
        <f>E57/Calculation!K$18*1000</f>
        <v>0</v>
      </c>
      <c r="G57" s="12">
        <f t="shared" si="3"/>
        <v>59.300763952726577</v>
      </c>
    </row>
    <row r="58" spans="1:7">
      <c r="A58" s="35">
        <v>26.5</v>
      </c>
      <c r="B58" s="12">
        <v>0</v>
      </c>
      <c r="C58" s="36">
        <f t="shared" si="0"/>
        <v>0</v>
      </c>
      <c r="D58" s="12">
        <f t="shared" si="1"/>
        <v>0</v>
      </c>
      <c r="E58" s="12">
        <f t="shared" si="2"/>
        <v>0</v>
      </c>
      <c r="F58" s="12">
        <f>E58/Calculation!K$18*1000</f>
        <v>0</v>
      </c>
      <c r="G58" s="12">
        <f t="shared" si="3"/>
        <v>59.300763952726577</v>
      </c>
    </row>
    <row r="59" spans="1:7">
      <c r="A59" s="35">
        <v>27</v>
      </c>
      <c r="B59" s="12">
        <v>0</v>
      </c>
      <c r="C59" s="36">
        <f t="shared" si="0"/>
        <v>0</v>
      </c>
      <c r="D59" s="12">
        <f t="shared" si="1"/>
        <v>0</v>
      </c>
      <c r="E59" s="12">
        <f t="shared" si="2"/>
        <v>0</v>
      </c>
      <c r="F59" s="12">
        <f>E59/Calculation!K$18*1000</f>
        <v>0</v>
      </c>
      <c r="G59" s="12">
        <f t="shared" si="3"/>
        <v>59.300763952726577</v>
      </c>
    </row>
    <row r="60" spans="1:7">
      <c r="A60" s="35">
        <v>27.5</v>
      </c>
      <c r="B60" s="12">
        <v>0</v>
      </c>
      <c r="C60" s="36">
        <f t="shared" si="0"/>
        <v>0</v>
      </c>
      <c r="D60" s="12">
        <f t="shared" si="1"/>
        <v>0</v>
      </c>
      <c r="E60" s="12">
        <f t="shared" si="2"/>
        <v>0</v>
      </c>
      <c r="F60" s="12">
        <f>E60/Calculation!K$18*1000</f>
        <v>0</v>
      </c>
      <c r="G60" s="12">
        <f t="shared" si="3"/>
        <v>59.300763952726577</v>
      </c>
    </row>
    <row r="61" spans="1:7">
      <c r="A61" s="35">
        <v>28</v>
      </c>
      <c r="B61" s="12">
        <v>0</v>
      </c>
      <c r="C61" s="36">
        <f t="shared" si="0"/>
        <v>0</v>
      </c>
      <c r="D61" s="12">
        <f t="shared" si="1"/>
        <v>0</v>
      </c>
      <c r="E61" s="12">
        <f t="shared" si="2"/>
        <v>0</v>
      </c>
      <c r="F61" s="12">
        <f>E61/Calculation!K$18*1000</f>
        <v>0</v>
      </c>
      <c r="G61" s="12">
        <f t="shared" si="3"/>
        <v>59.300763952726577</v>
      </c>
    </row>
    <row r="62" spans="1:7">
      <c r="A62" s="35">
        <v>28.5</v>
      </c>
      <c r="B62" s="12">
        <v>0</v>
      </c>
      <c r="C62" s="36">
        <f t="shared" si="0"/>
        <v>0</v>
      </c>
      <c r="D62" s="12">
        <f t="shared" si="1"/>
        <v>0</v>
      </c>
      <c r="E62" s="12">
        <f t="shared" si="2"/>
        <v>0</v>
      </c>
      <c r="F62" s="12">
        <f>E62/Calculation!K$18*1000</f>
        <v>0</v>
      </c>
      <c r="G62" s="12">
        <f t="shared" si="3"/>
        <v>59.300763952726577</v>
      </c>
    </row>
    <row r="63" spans="1:7">
      <c r="A63" s="35">
        <v>29</v>
      </c>
      <c r="B63" s="12">
        <v>0</v>
      </c>
      <c r="C63" s="36">
        <f t="shared" si="0"/>
        <v>0</v>
      </c>
      <c r="D63" s="12">
        <f t="shared" si="1"/>
        <v>0</v>
      </c>
      <c r="E63" s="12">
        <f t="shared" si="2"/>
        <v>0</v>
      </c>
      <c r="F63" s="12">
        <f>E63/Calculation!K$18*1000</f>
        <v>0</v>
      </c>
      <c r="G63" s="12">
        <f t="shared" si="3"/>
        <v>59.300763952726577</v>
      </c>
    </row>
    <row r="64" spans="1:7">
      <c r="A64" s="35">
        <v>29.5</v>
      </c>
      <c r="B64" s="12">
        <v>0</v>
      </c>
      <c r="C64" s="36">
        <f t="shared" si="0"/>
        <v>0</v>
      </c>
      <c r="D64" s="12">
        <f t="shared" si="1"/>
        <v>0</v>
      </c>
      <c r="E64" s="12">
        <f t="shared" si="2"/>
        <v>0</v>
      </c>
      <c r="F64" s="12">
        <f>E64/Calculation!K$18*1000</f>
        <v>0</v>
      </c>
      <c r="G64" s="12">
        <f t="shared" si="3"/>
        <v>59.300763952726577</v>
      </c>
    </row>
    <row r="65" spans="1:7">
      <c r="A65" s="35">
        <v>30</v>
      </c>
      <c r="B65" s="12">
        <v>0</v>
      </c>
      <c r="C65" s="36">
        <f t="shared" si="0"/>
        <v>0</v>
      </c>
      <c r="D65" s="12">
        <f t="shared" si="1"/>
        <v>0</v>
      </c>
      <c r="E65" s="12">
        <f t="shared" si="2"/>
        <v>0</v>
      </c>
      <c r="F65" s="12">
        <f>E65/Calculation!K$18*1000</f>
        <v>0</v>
      </c>
      <c r="G65" s="12">
        <f t="shared" si="3"/>
        <v>59.300763952726577</v>
      </c>
    </row>
    <row r="66" spans="1:7">
      <c r="A66" s="35">
        <v>30.5</v>
      </c>
      <c r="B66" s="12">
        <v>0</v>
      </c>
      <c r="C66" s="36">
        <f t="shared" si="0"/>
        <v>0</v>
      </c>
      <c r="D66" s="12">
        <f t="shared" si="1"/>
        <v>0</v>
      </c>
      <c r="E66" s="12">
        <f t="shared" si="2"/>
        <v>0</v>
      </c>
      <c r="F66" s="12">
        <f>E66/Calculation!K$19*1000</f>
        <v>0</v>
      </c>
      <c r="G66" s="12">
        <f t="shared" si="3"/>
        <v>59.300763952726577</v>
      </c>
    </row>
    <row r="67" spans="1:7">
      <c r="A67" s="35">
        <v>31</v>
      </c>
      <c r="B67" s="12">
        <v>0</v>
      </c>
      <c r="C67" s="36">
        <f t="shared" si="0"/>
        <v>0</v>
      </c>
      <c r="D67" s="12">
        <f t="shared" si="1"/>
        <v>0</v>
      </c>
      <c r="E67" s="12">
        <f t="shared" si="2"/>
        <v>0</v>
      </c>
      <c r="F67" s="12">
        <f>E67/Calculation!K$19*1000</f>
        <v>0</v>
      </c>
      <c r="G67" s="12">
        <f t="shared" si="3"/>
        <v>59.300763952726577</v>
      </c>
    </row>
    <row r="68" spans="1:7">
      <c r="A68" s="35">
        <v>31.5</v>
      </c>
      <c r="B68" s="12">
        <v>0</v>
      </c>
      <c r="C68" s="36">
        <f t="shared" si="0"/>
        <v>0</v>
      </c>
      <c r="D68" s="12">
        <f t="shared" si="1"/>
        <v>0</v>
      </c>
      <c r="E68" s="12">
        <f t="shared" si="2"/>
        <v>0</v>
      </c>
      <c r="F68" s="12">
        <f>E68/Calculation!K$19*1000</f>
        <v>0</v>
      </c>
      <c r="G68" s="12">
        <f t="shared" si="3"/>
        <v>59.300763952726577</v>
      </c>
    </row>
    <row r="69" spans="1:7">
      <c r="A69" s="35">
        <v>32</v>
      </c>
      <c r="B69" s="12">
        <v>0</v>
      </c>
      <c r="C69" s="36">
        <f t="shared" si="0"/>
        <v>0</v>
      </c>
      <c r="D69" s="12">
        <f t="shared" si="1"/>
        <v>0</v>
      </c>
      <c r="E69" s="12">
        <f t="shared" si="2"/>
        <v>0</v>
      </c>
      <c r="F69" s="12">
        <f>E69/Calculation!K$19*1000</f>
        <v>0</v>
      </c>
      <c r="G69" s="12">
        <f t="shared" si="3"/>
        <v>59.300763952726577</v>
      </c>
    </row>
    <row r="70" spans="1:7">
      <c r="A70" s="35">
        <v>32.5</v>
      </c>
      <c r="B70" s="12">
        <v>0</v>
      </c>
      <c r="C70" s="36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E70/Calculation!K$19*1000</f>
        <v>0</v>
      </c>
      <c r="G70" s="12">
        <f t="shared" si="3"/>
        <v>59.300763952726577</v>
      </c>
    </row>
    <row r="71" spans="1:7">
      <c r="A71" s="35">
        <v>33</v>
      </c>
      <c r="B71" s="12">
        <v>0</v>
      </c>
      <c r="C71" s="36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E71/Calculation!K$19*1000</f>
        <v>0</v>
      </c>
      <c r="G71" s="12">
        <f t="shared" ref="G71:G101" si="7">G70+(F71+F70)/2*30</f>
        <v>59.300763952726577</v>
      </c>
    </row>
    <row r="72" spans="1:7">
      <c r="A72" s="35">
        <v>33.5</v>
      </c>
      <c r="B72" s="12">
        <v>0</v>
      </c>
      <c r="C72" s="36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E72/Calculation!K$19*1000</f>
        <v>0</v>
      </c>
      <c r="G72" s="12">
        <f t="shared" si="7"/>
        <v>59.300763952726577</v>
      </c>
    </row>
    <row r="73" spans="1:7">
      <c r="A73" s="35">
        <v>34</v>
      </c>
      <c r="B73" s="12">
        <v>0</v>
      </c>
      <c r="C73" s="36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E73/Calculation!K$19*1000</f>
        <v>0</v>
      </c>
      <c r="G73" s="12">
        <f t="shared" si="7"/>
        <v>59.300763952726577</v>
      </c>
    </row>
    <row r="74" spans="1:7">
      <c r="A74" s="35">
        <v>34.5</v>
      </c>
      <c r="B74" s="12">
        <v>0</v>
      </c>
      <c r="C74" s="36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E74/Calculation!K$19*1000</f>
        <v>0</v>
      </c>
      <c r="G74" s="12">
        <f t="shared" si="7"/>
        <v>59.300763952726577</v>
      </c>
    </row>
    <row r="75" spans="1:7">
      <c r="A75" s="35">
        <v>35</v>
      </c>
      <c r="B75" s="12">
        <v>0</v>
      </c>
      <c r="C75" s="36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E75/Calculation!K$19*1000</f>
        <v>0</v>
      </c>
      <c r="G75" s="12">
        <f t="shared" si="7"/>
        <v>59.300763952726577</v>
      </c>
    </row>
    <row r="76" spans="1:7">
      <c r="A76" s="35">
        <v>35.5</v>
      </c>
      <c r="B76" s="12">
        <v>0</v>
      </c>
      <c r="C76" s="36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E76/Calculation!K$19*1000</f>
        <v>0</v>
      </c>
      <c r="G76" s="12">
        <f t="shared" si="7"/>
        <v>59.300763952726577</v>
      </c>
    </row>
    <row r="77" spans="1:7">
      <c r="A77" s="35">
        <v>36</v>
      </c>
      <c r="B77" s="12">
        <v>0</v>
      </c>
      <c r="C77" s="36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E77/Calculation!K$19*1000</f>
        <v>0</v>
      </c>
      <c r="G77" s="12">
        <f t="shared" si="7"/>
        <v>59.300763952726577</v>
      </c>
    </row>
    <row r="78" spans="1:7">
      <c r="A78" s="35">
        <v>36.5</v>
      </c>
      <c r="B78" s="12">
        <v>0</v>
      </c>
      <c r="C78" s="36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E78/Calculation!K$19*1000</f>
        <v>0</v>
      </c>
      <c r="G78" s="12">
        <f t="shared" si="7"/>
        <v>59.300763952726577</v>
      </c>
    </row>
    <row r="79" spans="1:7">
      <c r="A79" s="35">
        <v>37</v>
      </c>
      <c r="B79" s="12">
        <v>0</v>
      </c>
      <c r="C79" s="36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E79/Calculation!K$19*1000</f>
        <v>0</v>
      </c>
      <c r="G79" s="12">
        <f t="shared" si="7"/>
        <v>59.300763952726577</v>
      </c>
    </row>
    <row r="80" spans="1:7">
      <c r="A80" s="35">
        <v>37.5</v>
      </c>
      <c r="B80" s="12">
        <v>0</v>
      </c>
      <c r="C80" s="36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59.300763952726577</v>
      </c>
    </row>
    <row r="81" spans="1:7">
      <c r="A81" s="35">
        <v>38</v>
      </c>
      <c r="B81" s="12">
        <v>0</v>
      </c>
      <c r="C81" s="36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E81/Calculation!K$19*1000</f>
        <v>0</v>
      </c>
      <c r="G81" s="12">
        <f t="shared" si="7"/>
        <v>59.300763952726577</v>
      </c>
    </row>
    <row r="82" spans="1:7">
      <c r="A82" s="35">
        <v>38.5</v>
      </c>
      <c r="B82" s="12">
        <v>0</v>
      </c>
      <c r="C82" s="36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59.300763952726577</v>
      </c>
    </row>
    <row r="83" spans="1:7">
      <c r="A83" s="35">
        <v>39</v>
      </c>
      <c r="B83" s="12">
        <v>0</v>
      </c>
      <c r="C83" s="36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E83/Calculation!K$19*1000</f>
        <v>0</v>
      </c>
      <c r="G83" s="12">
        <f t="shared" si="7"/>
        <v>59.300763952726577</v>
      </c>
    </row>
    <row r="84" spans="1:7">
      <c r="A84" s="35">
        <v>39.5</v>
      </c>
      <c r="B84" s="12">
        <v>0</v>
      </c>
      <c r="C84" s="36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59.300763952726577</v>
      </c>
    </row>
    <row r="85" spans="1:7">
      <c r="A85" s="35">
        <v>40</v>
      </c>
      <c r="B85" s="12">
        <v>0</v>
      </c>
      <c r="C85" s="36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E85/Calculation!K$19*1000</f>
        <v>0</v>
      </c>
      <c r="G85" s="12">
        <f t="shared" si="7"/>
        <v>59.300763952726577</v>
      </c>
    </row>
    <row r="86" spans="1:7">
      <c r="A86" s="35">
        <v>40.5</v>
      </c>
      <c r="B86" s="12">
        <v>0</v>
      </c>
      <c r="C86" s="36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59.300763952726577</v>
      </c>
    </row>
    <row r="87" spans="1:7">
      <c r="A87" s="35">
        <v>41</v>
      </c>
      <c r="B87" s="12">
        <v>0</v>
      </c>
      <c r="C87" s="36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E87/Calculation!K$19*1000</f>
        <v>0</v>
      </c>
      <c r="G87" s="12">
        <f t="shared" si="7"/>
        <v>59.300763952726577</v>
      </c>
    </row>
    <row r="88" spans="1:7">
      <c r="A88" s="35">
        <v>41.5</v>
      </c>
      <c r="B88" s="12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59.300763952726577</v>
      </c>
    </row>
    <row r="89" spans="1:7">
      <c r="A89" s="35">
        <v>42</v>
      </c>
      <c r="B89" s="12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59.300763952726577</v>
      </c>
    </row>
    <row r="90" spans="1:7">
      <c r="A90" s="35">
        <v>42.5</v>
      </c>
      <c r="B90" s="12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59.300763952726577</v>
      </c>
    </row>
    <row r="91" spans="1:7">
      <c r="A91" s="35">
        <v>43</v>
      </c>
      <c r="B91" s="12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59.300763952726577</v>
      </c>
    </row>
    <row r="92" spans="1:7">
      <c r="A92" s="35">
        <v>43.5</v>
      </c>
      <c r="B92" s="12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59.300763952726577</v>
      </c>
    </row>
    <row r="93" spans="1:7">
      <c r="A93" s="35">
        <v>44</v>
      </c>
      <c r="B93" s="12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59.300763952726577</v>
      </c>
    </row>
    <row r="94" spans="1:7">
      <c r="A94" s="35">
        <v>44.5</v>
      </c>
      <c r="B94" s="12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59.300763952726577</v>
      </c>
    </row>
    <row r="95" spans="1:7">
      <c r="A95" s="35">
        <v>45</v>
      </c>
      <c r="B95" s="12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59.300763952726577</v>
      </c>
    </row>
    <row r="96" spans="1:7">
      <c r="A96" s="35">
        <v>45.5</v>
      </c>
      <c r="B96" s="12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59.300763952726577</v>
      </c>
    </row>
    <row r="97" spans="1:7">
      <c r="A97" s="35">
        <v>46</v>
      </c>
      <c r="B97" s="12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59.300763952726577</v>
      </c>
    </row>
    <row r="98" spans="1:7">
      <c r="A98" s="35">
        <v>46.5</v>
      </c>
      <c r="B98" s="12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59.300763952726577</v>
      </c>
    </row>
    <row r="99" spans="1:7">
      <c r="A99" s="35">
        <v>47</v>
      </c>
      <c r="B99" s="12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59.300763952726577</v>
      </c>
    </row>
    <row r="100" spans="1:7">
      <c r="A100" s="35">
        <v>47.5</v>
      </c>
      <c r="B100" s="12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59.300763952726577</v>
      </c>
    </row>
    <row r="101" spans="1:7">
      <c r="A101" s="35">
        <v>48</v>
      </c>
      <c r="B101" s="12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59.300763952726577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4" t="s">
        <v>40</v>
      </c>
      <c r="B1" s="124"/>
      <c r="D1" s="152" t="s">
        <v>4</v>
      </c>
      <c r="E1" s="152" t="s">
        <v>5</v>
      </c>
      <c r="F1" s="124" t="s">
        <v>133</v>
      </c>
      <c r="G1" s="124"/>
      <c r="H1" s="124"/>
      <c r="I1" s="124"/>
      <c r="J1" s="124" t="s">
        <v>41</v>
      </c>
      <c r="K1" s="124"/>
      <c r="L1" s="124"/>
      <c r="M1" s="124"/>
      <c r="N1" s="150" t="s">
        <v>42</v>
      </c>
      <c r="O1" s="122"/>
      <c r="P1" s="122"/>
      <c r="Q1" s="151"/>
      <c r="R1" s="124" t="s">
        <v>64</v>
      </c>
      <c r="S1" s="124"/>
      <c r="T1" s="124"/>
      <c r="U1" s="124"/>
    </row>
    <row r="2" spans="1:21">
      <c r="A2" s="124" t="s">
        <v>34</v>
      </c>
      <c r="B2" s="124"/>
      <c r="D2" s="152"/>
      <c r="E2" s="152"/>
      <c r="F2" s="14" t="s">
        <v>47</v>
      </c>
      <c r="G2" s="14" t="s">
        <v>23</v>
      </c>
      <c r="H2" s="14" t="s">
        <v>47</v>
      </c>
      <c r="I2" s="14" t="s">
        <v>23</v>
      </c>
      <c r="J2" s="14" t="s">
        <v>47</v>
      </c>
      <c r="K2" s="14" t="s">
        <v>23</v>
      </c>
      <c r="L2" s="14" t="s">
        <v>47</v>
      </c>
      <c r="M2" s="14" t="s">
        <v>23</v>
      </c>
      <c r="N2" s="14" t="s">
        <v>47</v>
      </c>
      <c r="O2" s="14" t="s">
        <v>23</v>
      </c>
      <c r="P2" s="14" t="s">
        <v>47</v>
      </c>
      <c r="Q2" s="14" t="s">
        <v>23</v>
      </c>
      <c r="R2" s="14" t="s">
        <v>47</v>
      </c>
      <c r="S2" s="14" t="s">
        <v>23</v>
      </c>
      <c r="T2" s="14" t="s">
        <v>47</v>
      </c>
      <c r="U2" s="14" t="s">
        <v>23</v>
      </c>
    </row>
    <row r="3" spans="1:21">
      <c r="A3" s="124" t="s">
        <v>35</v>
      </c>
      <c r="B3" s="14" t="s">
        <v>37</v>
      </c>
      <c r="D3" s="16">
        <v>0</v>
      </c>
      <c r="E3" s="65">
        <v>-0.16666666666666666</v>
      </c>
      <c r="F3" s="70">
        <v>51.002812314979288</v>
      </c>
      <c r="G3" s="67">
        <v>3.8986285349512324E-2</v>
      </c>
      <c r="H3" s="13">
        <f>F3*Calculation!I3/Calculation!F22</f>
        <v>51.002812314979288</v>
      </c>
      <c r="I3" s="13">
        <f>G3*Calculation!I3/Calculation!F22</f>
        <v>3.8986285349512324E-2</v>
      </c>
      <c r="J3" s="13">
        <v>0.64387211367673169</v>
      </c>
      <c r="K3" s="13">
        <v>2.2202486678507972E-2</v>
      </c>
      <c r="L3" s="13">
        <f>J3*Calculation!I3/Calculation!F22</f>
        <v>0.64387211367673169</v>
      </c>
      <c r="M3" s="13">
        <f>K3*Calculation!I3/Calculation!F22</f>
        <v>2.2202486678507972E-2</v>
      </c>
      <c r="N3" s="13">
        <v>50.335831251734668</v>
      </c>
      <c r="O3" s="13">
        <v>0.18343282422268556</v>
      </c>
      <c r="P3" s="13">
        <f>N3*Calculation!I3/Calculation!F22</f>
        <v>50.33583125173466</v>
      </c>
      <c r="Q3" s="13">
        <f>O3*Calculation!I3/Calculation!F22</f>
        <v>0.18343282422268556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24"/>
      <c r="B4" s="14" t="s">
        <v>38</v>
      </c>
      <c r="D4" s="16">
        <v>0</v>
      </c>
      <c r="E4" s="65">
        <v>0.16666666666666666</v>
      </c>
      <c r="F4" s="71">
        <v>49.259917110716401</v>
      </c>
      <c r="G4" s="72">
        <v>0.12866591659793802</v>
      </c>
      <c r="H4" s="13">
        <f>F4*Calculation!I4/Calculation!K3</f>
        <v>49.292453383576856</v>
      </c>
      <c r="I4" s="13">
        <f>G4*Calculation!I4/Calculation!K3</f>
        <v>0.12875090069080325</v>
      </c>
      <c r="J4" s="13">
        <v>0.90290112492599173</v>
      </c>
      <c r="K4" s="13">
        <v>3.3914858606837212E-2</v>
      </c>
      <c r="L4" s="13">
        <f>J4*Calculation!I4/Calculation!K3</f>
        <v>0.90349749290810932</v>
      </c>
      <c r="M4" s="13">
        <f>K4*Calculation!I4/Calculation!K3</f>
        <v>3.3937259438149521E-2</v>
      </c>
      <c r="N4" s="13">
        <v>48.126561199000832</v>
      </c>
      <c r="O4" s="13">
        <v>0.29602645852841086</v>
      </c>
      <c r="P4" s="13">
        <f>N4*Calculation!I4/Calculation!K3</f>
        <v>48.158348888035839</v>
      </c>
      <c r="Q4" s="13">
        <f>O4*Calculation!I4/Calculation!K3</f>
        <v>0.29622198459084709</v>
      </c>
      <c r="R4" s="13">
        <v>0</v>
      </c>
      <c r="S4" s="13">
        <v>0</v>
      </c>
      <c r="T4" s="13">
        <f>R4*Calculation!I4/Calculation!K3</f>
        <v>0</v>
      </c>
      <c r="U4" s="13">
        <f>S4*Calculation!I4/Calculation!K3</f>
        <v>0</v>
      </c>
    </row>
    <row r="5" spans="1:21">
      <c r="A5" s="15" t="s">
        <v>39</v>
      </c>
      <c r="B5" s="15">
        <v>180.16</v>
      </c>
      <c r="D5" s="16">
        <v>1</v>
      </c>
      <c r="E5" s="65">
        <v>2</v>
      </c>
      <c r="F5" s="71">
        <v>48.208999407933696</v>
      </c>
      <c r="G5" s="72">
        <v>0.68083603505666024</v>
      </c>
      <c r="H5" s="13">
        <f>F5*Calculation!I5/Calculation!K4</f>
        <v>48.30665442826151</v>
      </c>
      <c r="I5" s="13">
        <f>G5*Calculation!I5/Calculation!K4</f>
        <v>0.68221517707702806</v>
      </c>
      <c r="J5" s="13">
        <v>0.88809946714031973</v>
      </c>
      <c r="K5" s="13">
        <v>2.2202486678508014E-2</v>
      </c>
      <c r="L5" s="13">
        <f>J5*Calculation!I5/Calculation!K4</f>
        <v>0.88989845431246239</v>
      </c>
      <c r="M5" s="13">
        <f>K5*Calculation!I5/Calculation!K4</f>
        <v>2.2247461357811582E-2</v>
      </c>
      <c r="N5" s="13">
        <v>47.127393838467945</v>
      </c>
      <c r="O5" s="13">
        <v>0.9484783257883862</v>
      </c>
      <c r="P5" s="13">
        <f>N5*Calculation!I5/Calculation!K4</f>
        <v>47.222857894138336</v>
      </c>
      <c r="Q5" s="13">
        <f>O5*Calculation!I5/Calculation!K4</f>
        <v>0.95039961997251954</v>
      </c>
      <c r="R5" s="13">
        <v>0</v>
      </c>
      <c r="S5" s="13">
        <v>0</v>
      </c>
      <c r="T5" s="13">
        <f>R5*Calculation!I5/Calculation!K4</f>
        <v>0</v>
      </c>
      <c r="U5" s="13">
        <f>S5*Calculation!I5/Calculation!K4</f>
        <v>0</v>
      </c>
    </row>
    <row r="6" spans="1:21">
      <c r="A6" s="15" t="s">
        <v>39</v>
      </c>
      <c r="B6" s="15">
        <v>180.16</v>
      </c>
      <c r="D6" s="16">
        <v>2</v>
      </c>
      <c r="E6" s="65">
        <v>3.3333333333333335</v>
      </c>
      <c r="F6" s="71">
        <v>47.927767910005926</v>
      </c>
      <c r="G6" s="72">
        <v>0.44187039211302664</v>
      </c>
      <c r="H6" s="13">
        <f>F6*Calculation!I6/Calculation!K5</f>
        <v>48.093313483779689</v>
      </c>
      <c r="I6" s="13">
        <f>G6*Calculation!I6/Calculation!K5</f>
        <v>0.44339664069053897</v>
      </c>
      <c r="J6" s="13">
        <v>0.87329780935464763</v>
      </c>
      <c r="K6" s="13">
        <v>1.2818611660515681E-2</v>
      </c>
      <c r="L6" s="13">
        <f>J6*Calculation!I6/Calculation!K5</f>
        <v>0.87631423580697987</v>
      </c>
      <c r="M6" s="13">
        <f>K6*Calculation!I6/Calculation!K5</f>
        <v>1.2862887964521903E-2</v>
      </c>
      <c r="N6" s="13">
        <v>47.060782681099084</v>
      </c>
      <c r="O6" s="13">
        <v>0.41731770478407104</v>
      </c>
      <c r="P6" s="13">
        <f>N6*Calculation!I6/Calculation!K5</f>
        <v>47.223333632476859</v>
      </c>
      <c r="Q6" s="13">
        <f>O6*Calculation!I6/Calculation!K5</f>
        <v>0.41875914681020815</v>
      </c>
      <c r="R6" s="13">
        <v>0</v>
      </c>
      <c r="S6" s="13">
        <v>0</v>
      </c>
      <c r="T6" s="13">
        <f>R6*Calculation!I6/Calculation!K5</f>
        <v>0</v>
      </c>
      <c r="U6" s="13">
        <f>S6*Calculation!I6/Calculation!K5</f>
        <v>0</v>
      </c>
    </row>
    <row r="7" spans="1:21">
      <c r="A7" s="32" t="s">
        <v>103</v>
      </c>
      <c r="B7" s="32">
        <v>46.03</v>
      </c>
      <c r="D7" s="16">
        <v>3</v>
      </c>
      <c r="E7" s="65">
        <v>4.666666666666667</v>
      </c>
      <c r="F7" s="71">
        <v>44.123741859088227</v>
      </c>
      <c r="G7" s="72">
        <v>0.20479712998848007</v>
      </c>
      <c r="H7" s="13">
        <f>F7*Calculation!I7/Calculation!K6</f>
        <v>44.407239565852322</v>
      </c>
      <c r="I7" s="13">
        <f>G7*Calculation!I7/Calculation!K6</f>
        <v>0.20611296391954195</v>
      </c>
      <c r="J7" s="13">
        <v>0.63647128478389592</v>
      </c>
      <c r="K7" s="13">
        <v>1.2818611660515681E-2</v>
      </c>
      <c r="L7" s="13">
        <f>J7*Calculation!I7/Calculation!K6</f>
        <v>0.64056065123503858</v>
      </c>
      <c r="M7" s="13">
        <f>K7*Calculation!I7/Calculation!K6</f>
        <v>1.2900972014749946E-2</v>
      </c>
      <c r="N7" s="13">
        <v>45.084651679156259</v>
      </c>
      <c r="O7" s="13">
        <v>0.58860798853451435</v>
      </c>
      <c r="P7" s="13">
        <f>N7*Calculation!I7/Calculation!K6</f>
        <v>45.374323289558596</v>
      </c>
      <c r="Q7" s="13">
        <f>O7*Calculation!I7/Calculation!K6</f>
        <v>0.59238983041604543</v>
      </c>
      <c r="R7" s="13">
        <v>0</v>
      </c>
      <c r="S7" s="13">
        <v>0</v>
      </c>
      <c r="T7" s="13">
        <f>R7*Calculation!I7/Calculation!K6</f>
        <v>0</v>
      </c>
      <c r="U7" s="13">
        <f>S7*Calculation!I7/Calculation!K6</f>
        <v>0</v>
      </c>
    </row>
    <row r="8" spans="1:21">
      <c r="A8" s="15" t="s">
        <v>42</v>
      </c>
      <c r="B8" s="15">
        <v>60.05</v>
      </c>
      <c r="D8" s="16">
        <v>4</v>
      </c>
      <c r="E8" s="65">
        <v>6</v>
      </c>
      <c r="F8" s="71">
        <v>39.775754884547069</v>
      </c>
      <c r="G8" s="72">
        <v>0.40758347581451732</v>
      </c>
      <c r="H8" s="13">
        <f>F8*Calculation!I8/Calculation!K7</f>
        <v>40.184928624837411</v>
      </c>
      <c r="I8" s="13">
        <f>G8*Calculation!I8/Calculation!K7</f>
        <v>0.41177629266396831</v>
      </c>
      <c r="J8" s="13">
        <v>0.69567791592658379</v>
      </c>
      <c r="K8" s="13">
        <v>2.5637223321031358E-2</v>
      </c>
      <c r="L8" s="13">
        <f>J8*Calculation!I8/Calculation!K7</f>
        <v>0.70283436426359969</v>
      </c>
      <c r="M8" s="13">
        <f>K8*Calculation!I8/Calculation!K7</f>
        <v>2.5900953791700577E-2</v>
      </c>
      <c r="N8" s="13">
        <v>43.608104357479874</v>
      </c>
      <c r="O8" s="13">
        <v>0.44351894211353199</v>
      </c>
      <c r="P8" s="13">
        <f>N8*Calculation!I8/Calculation!K7</f>
        <v>44.056701529770216</v>
      </c>
      <c r="Q8" s="13">
        <f>O8*Calculation!I8/Calculation!K7</f>
        <v>0.44808142760151237</v>
      </c>
      <c r="R8" s="13">
        <v>0.17379969585053226</v>
      </c>
      <c r="S8" s="13">
        <v>4.3449923962633065E-2</v>
      </c>
      <c r="T8" s="13">
        <f>R8*Calculation!I8/Calculation!K7</f>
        <v>0.17558757572406078</v>
      </c>
      <c r="U8" s="13">
        <f>S8*Calculation!I8/Calculation!K7</f>
        <v>4.3896893931015195E-2</v>
      </c>
    </row>
    <row r="9" spans="1:21">
      <c r="A9" s="32" t="s">
        <v>66</v>
      </c>
      <c r="B9" s="32">
        <v>74.08</v>
      </c>
      <c r="D9" s="16">
        <v>5</v>
      </c>
      <c r="E9" s="65">
        <v>7.333333333333333</v>
      </c>
      <c r="F9" s="71">
        <v>34.106719952634698</v>
      </c>
      <c r="G9" s="72">
        <v>9.0414385160379043E-2</v>
      </c>
      <c r="H9" s="13">
        <f>F9*Calculation!I9/Calculation!K8</f>
        <v>34.59377220578736</v>
      </c>
      <c r="I9" s="13">
        <f>G9*Calculation!I9/Calculation!K8</f>
        <v>9.1705524562553473E-2</v>
      </c>
      <c r="J9" s="13">
        <v>0.71788040260509167</v>
      </c>
      <c r="K9" s="13">
        <v>1.2818611660515681E-2</v>
      </c>
      <c r="L9" s="13">
        <f>J9*Calculation!I9/Calculation!K8</f>
        <v>0.72813190928965466</v>
      </c>
      <c r="M9" s="13">
        <f>K9*Calculation!I9/Calculation!K8</f>
        <v>1.3001664551565113E-2</v>
      </c>
      <c r="N9" s="13">
        <v>40.754926450180413</v>
      </c>
      <c r="O9" s="13">
        <v>8.381720161277359E-2</v>
      </c>
      <c r="P9" s="13">
        <f>N9*Calculation!I9/Calculation!K8</f>
        <v>41.336916708469616</v>
      </c>
      <c r="Q9" s="13">
        <f>O9*Calculation!I9/Calculation!K8</f>
        <v>8.5014131629941633E-2</v>
      </c>
      <c r="R9" s="13">
        <v>0.76761532333985083</v>
      </c>
      <c r="S9" s="13">
        <v>6.637085516628051E-2</v>
      </c>
      <c r="T9" s="13">
        <f>R9*Calculation!I9/Calculation!K8</f>
        <v>0.77857705678435651</v>
      </c>
      <c r="U9" s="13">
        <f>S9*Calculation!I9/Calculation!K8</f>
        <v>6.7318647114532892E-2</v>
      </c>
    </row>
    <row r="10" spans="1:21">
      <c r="A10" s="32" t="s">
        <v>65</v>
      </c>
      <c r="B10" s="32">
        <v>88.11</v>
      </c>
      <c r="D10" s="16">
        <v>6</v>
      </c>
      <c r="E10" s="65">
        <v>8.6666666666666661</v>
      </c>
      <c r="F10" s="71">
        <v>28.274866785079929</v>
      </c>
      <c r="G10" s="72">
        <v>0.17446973407528613</v>
      </c>
      <c r="H10" s="13">
        <f>F10*Calculation!I10/Calculation!K9</f>
        <v>28.796077900274582</v>
      </c>
      <c r="I10" s="13">
        <f>G10*Calculation!I10/Calculation!K9</f>
        <v>0.17768586115225185</v>
      </c>
      <c r="J10" s="13">
        <v>0.76228537596210777</v>
      </c>
      <c r="K10" s="13">
        <v>1.2818611660515681E-2</v>
      </c>
      <c r="L10" s="13">
        <f>J10*Calculation!I10/Calculation!K9</f>
        <v>0.77633713485886191</v>
      </c>
      <c r="M10" s="13">
        <f>K10*Calculation!I10/Calculation!K9</f>
        <v>1.3054906421145642E-2</v>
      </c>
      <c r="N10" s="13">
        <v>37.935054121565365</v>
      </c>
      <c r="O10" s="13">
        <v>6.661115736885935E-2</v>
      </c>
      <c r="P10" s="13">
        <f>N10*Calculation!I10/Calculation!K9</f>
        <v>38.63433847236216</v>
      </c>
      <c r="Q10" s="13">
        <f>O10*Calculation!I10/Calculation!K9</f>
        <v>6.7839049117405084E-2</v>
      </c>
      <c r="R10" s="13">
        <v>1.5786805706423348</v>
      </c>
      <c r="S10" s="13">
        <v>5.0171650592189816E-2</v>
      </c>
      <c r="T10" s="13">
        <f>R10*Calculation!I10/Calculation!K9</f>
        <v>1.6077815339471313</v>
      </c>
      <c r="U10" s="13">
        <f>S10*Calculation!I10/Calculation!K9</f>
        <v>5.1096500995733027E-2</v>
      </c>
    </row>
    <row r="11" spans="1:21">
      <c r="A11" s="15" t="s">
        <v>41</v>
      </c>
      <c r="B11" s="15">
        <v>90.08</v>
      </c>
      <c r="D11" s="16">
        <v>7</v>
      </c>
      <c r="E11" s="65">
        <v>10</v>
      </c>
      <c r="F11" s="71">
        <v>21.869449378330373</v>
      </c>
      <c r="G11" s="72">
        <v>0.12211367673179409</v>
      </c>
      <c r="H11" s="13">
        <f>F11*Calculation!I11/Calculation!K10</f>
        <v>22.386414015145014</v>
      </c>
      <c r="I11" s="13">
        <f>G11*Calculation!I11/Calculation!K10</f>
        <v>0.1250002813028403</v>
      </c>
      <c r="J11" s="13">
        <v>0.78448786264061576</v>
      </c>
      <c r="K11" s="13">
        <v>2.5637223321031275E-2</v>
      </c>
      <c r="L11" s="13">
        <f>J11*Calculation!I11/Calculation!K10</f>
        <v>0.80303211018794296</v>
      </c>
      <c r="M11" s="13">
        <f>K11*Calculation!I11/Calculation!K10</f>
        <v>2.6243253112354013E-2</v>
      </c>
      <c r="N11" s="13">
        <v>35.104079933388846</v>
      </c>
      <c r="O11" s="13">
        <v>0.1332223147377187</v>
      </c>
      <c r="P11" s="13">
        <f>N11*Calculation!I11/Calculation!K10</f>
        <v>35.933893598083039</v>
      </c>
      <c r="Q11" s="13">
        <f>O11*Calculation!I11/Calculation!K10</f>
        <v>0.13637151270619763</v>
      </c>
      <c r="R11" s="13">
        <v>2.708378593670794</v>
      </c>
      <c r="S11" s="13">
        <v>5.0171650592189976E-2</v>
      </c>
      <c r="T11" s="13">
        <f>R11*Calculation!I11/Calculation!K10</f>
        <v>2.772401054036024</v>
      </c>
      <c r="U11" s="13">
        <f>S11*Calculation!I11/Calculation!K10</f>
        <v>5.1357641545966913E-2</v>
      </c>
    </row>
    <row r="12" spans="1:21">
      <c r="A12" s="15" t="s">
        <v>43</v>
      </c>
      <c r="B12" s="15">
        <v>46.07</v>
      </c>
      <c r="D12" s="16">
        <v>8</v>
      </c>
      <c r="E12" s="65">
        <v>11.333333333333334</v>
      </c>
      <c r="F12" s="71">
        <v>14.598134991119007</v>
      </c>
      <c r="G12" s="72">
        <v>0.22939585168485596</v>
      </c>
      <c r="H12" s="13">
        <f>F12*Calculation!I12/Calculation!K11</f>
        <v>15.009335868988055</v>
      </c>
      <c r="I12" s="13">
        <f>G12*Calculation!I12/Calculation!K11</f>
        <v>0.2358574836433025</v>
      </c>
      <c r="J12" s="13">
        <v>0.91770278271166372</v>
      </c>
      <c r="K12" s="13">
        <v>3.3914858606837128E-2</v>
      </c>
      <c r="L12" s="13">
        <f>J12*Calculation!I12/Calculation!K11</f>
        <v>0.94355267313283597</v>
      </c>
      <c r="M12" s="13">
        <f>K12*Calculation!I12/Calculation!K11</f>
        <v>3.4870173764589826E-2</v>
      </c>
      <c r="N12" s="13">
        <v>31.329447682486816</v>
      </c>
      <c r="O12" s="13">
        <v>0.39734732541045137</v>
      </c>
      <c r="P12" s="13">
        <f>N12*Calculation!I12/Calculation!K11</f>
        <v>32.211936877033132</v>
      </c>
      <c r="Q12" s="13">
        <f>O12*Calculation!I12/Calculation!K11</f>
        <v>0.40853982151540563</v>
      </c>
      <c r="R12" s="13">
        <v>3.6642769208487214</v>
      </c>
      <c r="S12" s="13">
        <v>0.10934657738099404</v>
      </c>
      <c r="T12" s="13">
        <f>R12*Calculation!I12/Calculation!K11</f>
        <v>3.7674924266325047</v>
      </c>
      <c r="U12" s="13">
        <f>S12*Calculation!I12/Calculation!K11</f>
        <v>0.11242665635261574</v>
      </c>
    </row>
    <row r="13" spans="1:21">
      <c r="D13" s="16">
        <v>9</v>
      </c>
      <c r="E13" s="65">
        <v>12.666666666666666</v>
      </c>
      <c r="F13" s="71">
        <v>7.4045293072824148</v>
      </c>
      <c r="G13" s="72">
        <v>2.937112911927834E-2</v>
      </c>
      <c r="H13" s="13">
        <f>F13*Calculation!I13/Calculation!K12</f>
        <v>7.6479589172569886</v>
      </c>
      <c r="I13" s="13">
        <f>G13*Calculation!I13/Calculation!K12</f>
        <v>3.0336727634633919E-2</v>
      </c>
      <c r="J13" s="13">
        <v>1.8946121965660154</v>
      </c>
      <c r="K13" s="13">
        <v>1.2818611660515504E-2</v>
      </c>
      <c r="L13" s="13">
        <f>J13*Calculation!I13/Calculation!K12</f>
        <v>1.9568990333011387</v>
      </c>
      <c r="M13" s="13">
        <f>K13*Calculation!I13/Calculation!K12</f>
        <v>1.3240033402187301E-2</v>
      </c>
      <c r="N13" s="13">
        <v>30.30807660283098</v>
      </c>
      <c r="O13" s="13">
        <v>9.9916736053289018E-2</v>
      </c>
      <c r="P13" s="13">
        <f>N13*Calculation!I13/Calculation!K12</f>
        <v>31.304477989108218</v>
      </c>
      <c r="Q13" s="13">
        <f>O13*Calculation!I13/Calculation!K12</f>
        <v>0.10320157578826893</v>
      </c>
      <c r="R13" s="13">
        <v>4.7360417119270037</v>
      </c>
      <c r="S13" s="13">
        <v>4.34499239626331E-2</v>
      </c>
      <c r="T13" s="13">
        <f>R13*Calculation!I13/Calculation!K12</f>
        <v>4.8917427347622864</v>
      </c>
      <c r="U13" s="13">
        <f>S13*Calculation!I13/Calculation!K12</f>
        <v>4.4878373713415513E-2</v>
      </c>
    </row>
    <row r="14" spans="1:21">
      <c r="D14" s="16">
        <v>10</v>
      </c>
      <c r="E14" s="65">
        <v>14</v>
      </c>
      <c r="F14" s="71">
        <v>5.9206631142687982E-2</v>
      </c>
      <c r="G14" s="72">
        <v>6.4093058302578361E-3</v>
      </c>
      <c r="H14" s="13">
        <f>F14*Calculation!I14/Calculation!K13</f>
        <v>6.1504886323492755E-2</v>
      </c>
      <c r="I14" s="13">
        <f>G14*Calculation!I14/Calculation!K13</f>
        <v>6.6580992516273533E-3</v>
      </c>
      <c r="J14" s="13">
        <v>3.5597986974541147</v>
      </c>
      <c r="K14" s="13">
        <v>1.2818611660515681E-2</v>
      </c>
      <c r="L14" s="13">
        <f>J14*Calculation!I14/Calculation!K13</f>
        <v>3.6979812902000022</v>
      </c>
      <c r="M14" s="13">
        <f>K14*Calculation!I14/Calculation!K13</f>
        <v>1.3316198503254715E-2</v>
      </c>
      <c r="N14" s="13">
        <v>29.99722453510963</v>
      </c>
      <c r="O14" s="13">
        <v>0.32689274192251955</v>
      </c>
      <c r="P14" s="13">
        <f>N14*Calculation!I14/Calculation!K13</f>
        <v>31.161642698531754</v>
      </c>
      <c r="Q14" s="13">
        <f>O14*Calculation!I14/Calculation!K13</f>
        <v>0.33958191074011901</v>
      </c>
      <c r="R14" s="13">
        <v>5.6050401911796657</v>
      </c>
      <c r="S14" s="13">
        <v>7.5257475888284991E-2</v>
      </c>
      <c r="T14" s="13">
        <f>R14*Calculation!I14/Calculation!K13</f>
        <v>5.8226140069732457</v>
      </c>
      <c r="U14" s="13">
        <f>S14*Calculation!I14/Calculation!K13</f>
        <v>7.8178785216588192E-2</v>
      </c>
    </row>
    <row r="15" spans="1:21">
      <c r="D15" s="16">
        <v>11</v>
      </c>
      <c r="E15" s="65">
        <v>15.333333333333334</v>
      </c>
      <c r="F15" s="71">
        <v>0</v>
      </c>
      <c r="G15" s="72">
        <v>0</v>
      </c>
      <c r="H15" s="13">
        <f>F15*Calculation!I15/Calculation!K14</f>
        <v>0</v>
      </c>
      <c r="I15" s="13">
        <f>G15*Calculation!I15/Calculation!K14</f>
        <v>0</v>
      </c>
      <c r="J15" s="13">
        <v>3.4783895796329189</v>
      </c>
      <c r="K15" s="13">
        <v>5.5875032824679961E-2</v>
      </c>
      <c r="L15" s="13">
        <f>J15*Calculation!I15/Calculation!K14</f>
        <v>3.6206244708495214</v>
      </c>
      <c r="M15" s="13">
        <f>K15*Calculation!I15/Calculation!K14</f>
        <v>5.8159819802561019E-2</v>
      </c>
      <c r="N15" s="13">
        <v>29.097973910630035</v>
      </c>
      <c r="O15" s="13">
        <v>0.48531763517944854</v>
      </c>
      <c r="P15" s="13">
        <f>N15*Calculation!I15/Calculation!K14</f>
        <v>30.287819688123072</v>
      </c>
      <c r="Q15" s="13">
        <f>O15*Calculation!I15/Calculation!K14</f>
        <v>0.50516276737781851</v>
      </c>
      <c r="R15" s="13">
        <v>5.5471069592294882</v>
      </c>
      <c r="S15" s="13">
        <v>2.5085825296094995E-2</v>
      </c>
      <c r="T15" s="13">
        <f>R15*Calculation!I15/Calculation!K14</f>
        <v>5.7739338102333742</v>
      </c>
      <c r="U15" s="13">
        <f>S15*Calculation!I15/Calculation!K14</f>
        <v>2.6111610232020809E-2</v>
      </c>
    </row>
    <row r="16" spans="1:21">
      <c r="D16" s="16">
        <v>12</v>
      </c>
      <c r="E16" s="65">
        <v>16.666666666666668</v>
      </c>
      <c r="F16" s="71">
        <v>0</v>
      </c>
      <c r="G16" s="72">
        <v>0</v>
      </c>
      <c r="H16" s="13">
        <f>F16*Calculation!I16/Calculation!K15</f>
        <v>0</v>
      </c>
      <c r="I16" s="13">
        <f>G16*Calculation!I16/Calculation!K15</f>
        <v>0</v>
      </c>
      <c r="J16" s="13">
        <v>3.5968028419182949</v>
      </c>
      <c r="K16" s="13">
        <v>5.874225823855668E-2</v>
      </c>
      <c r="L16" s="13">
        <f>J16*Calculation!I16/Calculation!K15</f>
        <v>3.7517203578947407</v>
      </c>
      <c r="M16" s="13">
        <f>K16*Calculation!I16/Calculation!K15</f>
        <v>6.1272339849677365E-2</v>
      </c>
      <c r="N16" s="13">
        <v>28.809325562031638</v>
      </c>
      <c r="O16" s="13">
        <v>0.24016994341142334</v>
      </c>
      <c r="P16" s="13">
        <f>N16*Calculation!I16/Calculation!K15</f>
        <v>30.050168985811393</v>
      </c>
      <c r="Q16" s="13">
        <f>O16*Calculation!I16/Calculation!K15</f>
        <v>0.25051427772185159</v>
      </c>
      <c r="R16" s="13">
        <v>5.4746904192917665</v>
      </c>
      <c r="S16" s="13">
        <v>4.34499239626331E-2</v>
      </c>
      <c r="T16" s="13">
        <f>R16*Calculation!I16/Calculation!K15</f>
        <v>5.7104902331187573</v>
      </c>
      <c r="U16" s="13">
        <f>S16*Calculation!I16/Calculation!K15</f>
        <v>4.5321351056498108E-2</v>
      </c>
    </row>
    <row r="17" spans="4:21">
      <c r="D17" s="16">
        <v>13</v>
      </c>
      <c r="E17" s="65">
        <v>18</v>
      </c>
      <c r="F17" s="71">
        <v>0</v>
      </c>
      <c r="G17" s="72">
        <v>0</v>
      </c>
      <c r="H17" s="13">
        <f>F17*Calculation!I17/Calculation!K16</f>
        <v>0</v>
      </c>
      <c r="I17" s="13">
        <f>G17*Calculation!I17/Calculation!K16</f>
        <v>0</v>
      </c>
      <c r="J17" s="13">
        <v>3.8114268798105386</v>
      </c>
      <c r="K17" s="13">
        <v>6.4093058302578054E-2</v>
      </c>
      <c r="L17" s="13">
        <f>J17*Calculation!I17/Calculation!K16</f>
        <v>3.9755884450942207</v>
      </c>
      <c r="M17" s="13">
        <f>K17*Calculation!I17/Calculation!K16</f>
        <v>6.685360365909622E-2</v>
      </c>
      <c r="N17" s="13">
        <v>28.653899528170967</v>
      </c>
      <c r="O17" s="13">
        <v>0.38601917625786797</v>
      </c>
      <c r="P17" s="13">
        <f>N17*Calculation!I17/Calculation!K16</f>
        <v>29.888048613633607</v>
      </c>
      <c r="Q17" s="13">
        <f>O17*Calculation!I17/Calculation!K16</f>
        <v>0.40264536749865576</v>
      </c>
      <c r="R17" s="13">
        <v>5.5181403432543989</v>
      </c>
      <c r="S17" s="13">
        <v>7.5257475888284991E-2</v>
      </c>
      <c r="T17" s="13">
        <f>R17*Calculation!I17/Calculation!K16</f>
        <v>5.7558115841752553</v>
      </c>
      <c r="U17" s="13">
        <f>S17*Calculation!I17/Calculation!K16</f>
        <v>7.8498882697520159E-2</v>
      </c>
    </row>
    <row r="18" spans="4:21">
      <c r="D18" s="16">
        <v>14</v>
      </c>
      <c r="E18" s="65">
        <v>24</v>
      </c>
      <c r="F18" s="71">
        <v>0</v>
      </c>
      <c r="G18" s="72">
        <v>0</v>
      </c>
      <c r="H18" s="13">
        <f>F18*Calculation!I18/Calculation!K17</f>
        <v>0</v>
      </c>
      <c r="I18" s="13">
        <f>G18*Calculation!I18/Calculation!K17</f>
        <v>0</v>
      </c>
      <c r="J18" s="13">
        <v>4.3960923623445831</v>
      </c>
      <c r="K18" s="13">
        <v>3.8455834981547046E-2</v>
      </c>
      <c r="L18" s="13">
        <f>J18*Calculation!I18/Calculation!K17</f>
        <v>4.585435992982462</v>
      </c>
      <c r="M18" s="13">
        <f>K18*Calculation!I18/Calculation!K17</f>
        <v>4.0112162195457955E-2</v>
      </c>
      <c r="N18" s="13">
        <v>28.887038578961974</v>
      </c>
      <c r="O18" s="13">
        <v>0.43467714572194083</v>
      </c>
      <c r="P18" s="13">
        <f>N18*Calculation!I18/Calculation!K17</f>
        <v>30.131229171900291</v>
      </c>
      <c r="Q18" s="13">
        <f>O18*Calculation!I18/Calculation!K17</f>
        <v>0.4533990792352775</v>
      </c>
      <c r="R18" s="13">
        <v>5.6340068071547549</v>
      </c>
      <c r="S18" s="13">
        <v>6.6370855166280593E-2</v>
      </c>
      <c r="T18" s="13">
        <f>R18*Calculation!I18/Calculation!K17</f>
        <v>5.8766685203259179</v>
      </c>
      <c r="U18" s="13">
        <f>S18*Calculation!I18/Calculation!K17</f>
        <v>6.9229507271356475E-2</v>
      </c>
    </row>
    <row r="19" spans="4:21">
      <c r="D19" s="16">
        <v>15</v>
      </c>
      <c r="E19" s="65">
        <v>30</v>
      </c>
      <c r="F19" s="71">
        <v>0</v>
      </c>
      <c r="G19" s="72">
        <v>0</v>
      </c>
      <c r="H19" s="13">
        <f>F19*Calculation!I19/Calculation!K18</f>
        <v>0</v>
      </c>
      <c r="I19" s="13">
        <f>G19*Calculation!I19/Calculation!K18</f>
        <v>0</v>
      </c>
      <c r="J19" s="13">
        <v>4.4923031379514509</v>
      </c>
      <c r="K19" s="13">
        <v>2.5637223321031362E-2</v>
      </c>
      <c r="L19" s="13">
        <f>J19*Calculation!I19/Calculation!K18</f>
        <v>4.6857906527615389</v>
      </c>
      <c r="M19" s="13">
        <f>K19*Calculation!I19/Calculation!K18</f>
        <v>2.6741441463638639E-2</v>
      </c>
      <c r="N19" s="13">
        <v>29.020260893699692</v>
      </c>
      <c r="O19" s="13">
        <v>0.30036634490077596</v>
      </c>
      <c r="P19" s="13">
        <f>N19*Calculation!I19/Calculation!K18</f>
        <v>30.270189490909825</v>
      </c>
      <c r="Q19" s="13">
        <f>O19*Calculation!I19/Calculation!K18</f>
        <v>0.31330339207296282</v>
      </c>
      <c r="R19" s="13">
        <v>5.6484901151422982</v>
      </c>
      <c r="S19" s="13">
        <v>7.5257475888284991E-2</v>
      </c>
      <c r="T19" s="13">
        <f>R19*Calculation!I19/Calculation!K18</f>
        <v>5.8917756373447494</v>
      </c>
      <c r="U19" s="13">
        <f>S19*Calculation!I19/Calculation!K18</f>
        <v>7.8498882697520159E-2</v>
      </c>
    </row>
    <row r="20" spans="4:21">
      <c r="D20" s="16">
        <v>16</v>
      </c>
      <c r="E20" s="65">
        <v>48</v>
      </c>
      <c r="F20" s="71">
        <v>0</v>
      </c>
      <c r="G20" s="72">
        <v>0</v>
      </c>
      <c r="H20" s="13">
        <f>F20*Calculation!I20/Calculation!K19</f>
        <v>0</v>
      </c>
      <c r="I20" s="13">
        <f>G20*Calculation!I20/Calculation!K19</f>
        <v>0</v>
      </c>
      <c r="J20" s="13">
        <v>4.5663114268798104</v>
      </c>
      <c r="K20" s="13">
        <v>1.2818611660515681E-2</v>
      </c>
      <c r="L20" s="13">
        <f>J20*Calculation!I20/Calculation!K19</f>
        <v>4.7629865448992907</v>
      </c>
      <c r="M20" s="13">
        <f>K20*Calculation!I20/Calculation!K19</f>
        <v>1.3370720731819318E-2</v>
      </c>
      <c r="N20" s="13">
        <v>27.954482375797944</v>
      </c>
      <c r="O20" s="13">
        <v>8.3817201612775533E-2</v>
      </c>
      <c r="P20" s="13">
        <f>N20*Calculation!I20/Calculation!K19</f>
        <v>29.158506938833568</v>
      </c>
      <c r="Q20" s="13">
        <f>O20*Calculation!I20/Calculation!K19</f>
        <v>8.7427283466198158E-2</v>
      </c>
      <c r="R20" s="13">
        <v>5.7064233470924766</v>
      </c>
      <c r="S20" s="13">
        <v>9.0448229392402102E-2</v>
      </c>
      <c r="T20" s="13">
        <f>R20*Calculation!I20/Calculation!K19</f>
        <v>5.9522041054200816</v>
      </c>
      <c r="U20" s="13">
        <f>S20*Calculation!I20/Calculation!K19</f>
        <v>9.4343915544180632E-2</v>
      </c>
    </row>
    <row r="22" spans="4:21">
      <c r="D22" s="152" t="s">
        <v>4</v>
      </c>
      <c r="E22" s="152" t="s">
        <v>59</v>
      </c>
      <c r="F22" s="124" t="s">
        <v>43</v>
      </c>
      <c r="G22" s="124"/>
      <c r="H22" s="124"/>
      <c r="I22" s="124"/>
      <c r="J22" s="124" t="s">
        <v>65</v>
      </c>
      <c r="K22" s="124"/>
      <c r="L22" s="124"/>
      <c r="M22" s="124"/>
      <c r="N22" s="150" t="s">
        <v>66</v>
      </c>
      <c r="O22" s="122"/>
      <c r="P22" s="122"/>
      <c r="Q22" s="151"/>
    </row>
    <row r="23" spans="4:21">
      <c r="D23" s="152"/>
      <c r="E23" s="152"/>
      <c r="F23" s="20" t="s">
        <v>47</v>
      </c>
      <c r="G23" s="20" t="s">
        <v>23</v>
      </c>
      <c r="H23" s="20" t="s">
        <v>47</v>
      </c>
      <c r="I23" s="20" t="s">
        <v>23</v>
      </c>
      <c r="J23" s="20" t="s">
        <v>47</v>
      </c>
      <c r="K23" s="20" t="s">
        <v>23</v>
      </c>
      <c r="L23" s="20" t="s">
        <v>47</v>
      </c>
      <c r="M23" s="20" t="s">
        <v>23</v>
      </c>
      <c r="N23" s="20" t="s">
        <v>47</v>
      </c>
      <c r="O23" s="20" t="s">
        <v>23</v>
      </c>
      <c r="P23" s="20" t="s">
        <v>47</v>
      </c>
      <c r="Q23" s="20" t="s">
        <v>23</v>
      </c>
    </row>
    <row r="24" spans="4:21">
      <c r="D24" s="16">
        <v>0</v>
      </c>
      <c r="E24" s="65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6">
        <v>0</v>
      </c>
      <c r="O24" s="69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5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1.8613097264782659</v>
      </c>
      <c r="K25" s="13">
        <v>4.5397798206787014E-2</v>
      </c>
      <c r="L25" s="13">
        <f>J25*Calculation!I4/Calculation!K3</f>
        <v>1.862539125240801</v>
      </c>
      <c r="M25" s="13">
        <f>K25*Calculation!I4/Calculation!K3</f>
        <v>4.5427783542458598E-2</v>
      </c>
      <c r="N25" s="16">
        <v>0</v>
      </c>
      <c r="O25" s="69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5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3.38970226610676</v>
      </c>
      <c r="K26" s="13">
        <v>8.5936645039159806E-2</v>
      </c>
      <c r="L26" s="13">
        <f>J26*Calculation!I5/Calculation!K4</f>
        <v>3.3965686488935267</v>
      </c>
      <c r="M26" s="13">
        <f>K26*Calculation!I5/Calculation!K4</f>
        <v>8.6110723425379579E-2</v>
      </c>
      <c r="N26" s="16">
        <v>0</v>
      </c>
      <c r="O26" s="69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5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5.5460976809291411</v>
      </c>
      <c r="K27" s="13">
        <v>0.64375828007129854</v>
      </c>
      <c r="L27" s="13">
        <f>J27*Calculation!I6/Calculation!K5</f>
        <v>5.5652542568105527</v>
      </c>
      <c r="M27" s="13">
        <f>K27*Calculation!I6/Calculation!K5</f>
        <v>0.64598186231794352</v>
      </c>
      <c r="N27" s="16">
        <v>0</v>
      </c>
      <c r="O27" s="69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5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8.8677032497257233</v>
      </c>
      <c r="K28" s="13">
        <v>4.7251526488846556E-2</v>
      </c>
      <c r="L28" s="13">
        <f>J28*Calculation!I7/Calculation!K6</f>
        <v>8.9246787787638162</v>
      </c>
      <c r="M28" s="13">
        <f>K28*Calculation!I7/Calculation!K6</f>
        <v>4.755512040079244E-2</v>
      </c>
      <c r="N28" s="16">
        <v>0</v>
      </c>
      <c r="O28" s="69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5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13.79336435516211</v>
      </c>
      <c r="K29" s="13">
        <v>0.17631264249583556</v>
      </c>
      <c r="L29" s="13">
        <f>J29*Calculation!I8/Calculation!K7</f>
        <v>13.935256884939887</v>
      </c>
      <c r="M29" s="13">
        <f>K29*Calculation!I8/Calculation!K7</f>
        <v>0.17812637308623905</v>
      </c>
      <c r="N29" s="16">
        <v>0</v>
      </c>
      <c r="O29" s="69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5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19.452956531608216</v>
      </c>
      <c r="K30" s="13">
        <v>4.5397798206787014E-2</v>
      </c>
      <c r="L30" s="13">
        <f>J30*Calculation!I9/Calculation!K8</f>
        <v>19.73074948039832</v>
      </c>
      <c r="M30" s="13">
        <f>K30*Calculation!I9/Calculation!K8</f>
        <v>4.6046089802563216E-2</v>
      </c>
      <c r="N30" s="16">
        <v>0</v>
      </c>
      <c r="O30" s="69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5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25.907010176673097</v>
      </c>
      <c r="K31" s="13">
        <v>0.17036780159948237</v>
      </c>
      <c r="L31" s="13">
        <f>J31*Calculation!I10/Calculation!K9</f>
        <v>26.384572874604824</v>
      </c>
      <c r="M31" s="13">
        <f>K31*Calculation!I10/Calculation!K9</f>
        <v>0.17350831478173312</v>
      </c>
      <c r="N31" s="16">
        <v>0</v>
      </c>
      <c r="O31" s="69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5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32.70154730828888</v>
      </c>
      <c r="K32" s="13">
        <v>0.23296340662566745</v>
      </c>
      <c r="L32" s="13">
        <f>J32*Calculation!I11/Calculation!K10</f>
        <v>33.474568303698916</v>
      </c>
      <c r="M32" s="13">
        <f>K32*Calculation!I11/Calculation!K10</f>
        <v>0.2384703510765265</v>
      </c>
      <c r="N32" s="16">
        <v>0</v>
      </c>
      <c r="O32" s="69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5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38.33087428593047</v>
      </c>
      <c r="K33" s="13">
        <v>0.63651425969199626</v>
      </c>
      <c r="L33" s="13">
        <f>J33*Calculation!I12/Calculation!K11</f>
        <v>39.410579958295578</v>
      </c>
      <c r="M33" s="13">
        <f>K33*Calculation!I12/Calculation!K11</f>
        <v>0.65444362001923995</v>
      </c>
      <c r="N33" s="16">
        <v>0</v>
      </c>
      <c r="O33" s="69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5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46.585707259864556</v>
      </c>
      <c r="K34" s="13">
        <v>0.13682246676521892</v>
      </c>
      <c r="L34" s="13">
        <f>J34*Calculation!I13/Calculation!K12</f>
        <v>48.117248304277084</v>
      </c>
      <c r="M34" s="13">
        <f>K34*Calculation!I13/Calculation!K12</f>
        <v>0.14132061085219808</v>
      </c>
      <c r="N34" s="16">
        <v>0</v>
      </c>
      <c r="O34" s="69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5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52.593349222562708</v>
      </c>
      <c r="K35" s="13">
        <v>0.1179469395688701</v>
      </c>
      <c r="L35" s="13">
        <f>J35*Calculation!I14/Calculation!K13</f>
        <v>54.634893134009481</v>
      </c>
      <c r="M35" s="13">
        <f>K35*Calculation!I14/Calculation!K13</f>
        <v>0.12252534843444024</v>
      </c>
      <c r="N35" s="16">
        <v>0</v>
      </c>
      <c r="O35" s="69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5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52.101539741989171</v>
      </c>
      <c r="K36" s="13">
        <v>0.82041161221327719</v>
      </c>
      <c r="L36" s="13">
        <f>J36*Calculation!I15/Calculation!K14</f>
        <v>54.23202474597236</v>
      </c>
      <c r="M36" s="13">
        <f>K36*Calculation!I15/Calculation!K14</f>
        <v>0.85395907828759421</v>
      </c>
      <c r="N36" s="16">
        <v>0</v>
      </c>
      <c r="O36" s="69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5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52.593349222562708</v>
      </c>
      <c r="K37" s="13">
        <v>0.27520952566070056</v>
      </c>
      <c r="L37" s="13">
        <f>J37*Calculation!I16/Calculation!K15</f>
        <v>54.858591821763873</v>
      </c>
      <c r="M37" s="13">
        <f>K37*Calculation!I16/Calculation!K15</f>
        <v>0.28706304612379968</v>
      </c>
      <c r="N37" s="16">
        <v>0</v>
      </c>
      <c r="O37" s="69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5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52.313396133620863</v>
      </c>
      <c r="K38" s="13">
        <v>0.51578638723275871</v>
      </c>
      <c r="L38" s="13">
        <f>J38*Calculation!I17/Calculation!K16</f>
        <v>54.566580902844983</v>
      </c>
      <c r="M38" s="13">
        <f>K38*Calculation!I17/Calculation!K16</f>
        <v>0.53800176833547952</v>
      </c>
      <c r="N38" s="16">
        <v>0</v>
      </c>
      <c r="O38" s="69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5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53.864487572352743</v>
      </c>
      <c r="K39" s="13">
        <v>0.39771684185530137</v>
      </c>
      <c r="L39" s="13">
        <f>J39*Calculation!I18/Calculation!K17</f>
        <v>56.184479237395628</v>
      </c>
      <c r="M39" s="13">
        <f>K39*Calculation!I18/Calculation!K17</f>
        <v>0.41484686201769644</v>
      </c>
      <c r="N39" s="16">
        <v>0</v>
      </c>
      <c r="O39" s="69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5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54.265501456512688</v>
      </c>
      <c r="K40" s="13">
        <v>0.24482562989238321</v>
      </c>
      <c r="L40" s="13">
        <f>J40*Calculation!I19/Calculation!K18</f>
        <v>56.602765148279452</v>
      </c>
      <c r="M40" s="13">
        <f>K40*Calculation!I19/Calculation!K18</f>
        <v>0.25537048878436203</v>
      </c>
      <c r="N40" s="16">
        <v>0</v>
      </c>
      <c r="O40" s="69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5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56.020882987175121</v>
      </c>
      <c r="K41" s="13">
        <v>0.26761607360235279</v>
      </c>
      <c r="L41" s="13">
        <f>J41*Calculation!I20/Calculation!K19</f>
        <v>58.433752531770935</v>
      </c>
      <c r="M41" s="13">
        <f>K41*Calculation!I20/Calculation!K19</f>
        <v>0.27914253729246014</v>
      </c>
      <c r="N41" s="16">
        <v>0</v>
      </c>
      <c r="O41" s="69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133</v>
      </c>
      <c r="B2" s="17">
        <v>180.16</v>
      </c>
    </row>
    <row r="4" spans="1:8">
      <c r="A4" s="153" t="s">
        <v>134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8" t="s">
        <v>4</v>
      </c>
      <c r="B6" s="28" t="s">
        <v>5</v>
      </c>
      <c r="C6" s="28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2</v>
      </c>
      <c r="D7" s="19">
        <v>4.5940000000000003</v>
      </c>
      <c r="E7" s="19">
        <v>4.5979999999999999</v>
      </c>
      <c r="F7" s="19">
        <v>4.5910000000000002</v>
      </c>
      <c r="G7" s="19">
        <f>(C7*1000*AVERAGE(D7:F7)/$B$2)</f>
        <v>51.002812314979288</v>
      </c>
      <c r="H7" s="19">
        <f>(C7*1000*STDEV(D7:F7))/$B$2</f>
        <v>3.8986285349512324E-2</v>
      </c>
    </row>
    <row r="8" spans="1:8">
      <c r="A8" s="16">
        <v>0</v>
      </c>
      <c r="B8" s="65">
        <v>0.16666666666666666</v>
      </c>
      <c r="C8" s="16">
        <v>2</v>
      </c>
      <c r="D8" s="19">
        <v>4.4450000000000003</v>
      </c>
      <c r="E8" s="19">
        <v>4.4240000000000004</v>
      </c>
      <c r="F8" s="19">
        <v>4.4429999999999996</v>
      </c>
      <c r="G8" s="19">
        <f t="shared" ref="G8:G17" si="0">(C8*1000*AVERAGE(D8:F8))/$B$2</f>
        <v>49.259917110716401</v>
      </c>
      <c r="H8" s="19">
        <f t="shared" ref="H8:H17" si="1">(C8*1000*STDEV(D8:F8))/$B$2</f>
        <v>0.12866591659793802</v>
      </c>
    </row>
    <row r="9" spans="1:8">
      <c r="A9" s="16">
        <v>1</v>
      </c>
      <c r="B9" s="65">
        <v>2</v>
      </c>
      <c r="C9" s="16">
        <v>2</v>
      </c>
      <c r="D9" s="19">
        <v>4.2779999999999996</v>
      </c>
      <c r="E9" s="19">
        <v>4.4000000000000004</v>
      </c>
      <c r="F9" s="19">
        <v>4.3499999999999996</v>
      </c>
      <c r="G9" s="19">
        <f t="shared" si="0"/>
        <v>48.208999407933696</v>
      </c>
      <c r="H9" s="19">
        <f t="shared" si="1"/>
        <v>0.68083603505666024</v>
      </c>
    </row>
    <row r="10" spans="1:8">
      <c r="A10" s="16">
        <v>2</v>
      </c>
      <c r="B10" s="65">
        <v>3.3333333333333335</v>
      </c>
      <c r="C10" s="16">
        <v>2</v>
      </c>
      <c r="D10" s="19">
        <v>4.3630000000000004</v>
      </c>
      <c r="E10" s="19">
        <v>4.2990000000000004</v>
      </c>
      <c r="F10" s="19">
        <v>4.29</v>
      </c>
      <c r="G10" s="19">
        <f t="shared" si="0"/>
        <v>47.927767910005926</v>
      </c>
      <c r="H10" s="19">
        <f t="shared" si="1"/>
        <v>0.44187039211302664</v>
      </c>
    </row>
    <row r="11" spans="1:8">
      <c r="A11" s="16">
        <v>3</v>
      </c>
      <c r="B11" s="65">
        <v>4.666666666666667</v>
      </c>
      <c r="C11" s="16">
        <v>2</v>
      </c>
      <c r="D11" s="19">
        <v>3.9950000000000001</v>
      </c>
      <c r="E11" s="19">
        <v>3.9590000000000001</v>
      </c>
      <c r="F11" s="19">
        <v>3.97</v>
      </c>
      <c r="G11" s="19">
        <f t="shared" si="0"/>
        <v>44.123741859088227</v>
      </c>
      <c r="H11" s="19">
        <f t="shared" si="1"/>
        <v>0.20479712998848007</v>
      </c>
    </row>
    <row r="12" spans="1:8">
      <c r="A12" s="16">
        <v>4</v>
      </c>
      <c r="B12" s="65">
        <v>6</v>
      </c>
      <c r="C12" s="16">
        <v>2</v>
      </c>
      <c r="D12" s="19">
        <v>3.5990000000000002</v>
      </c>
      <c r="E12" s="19">
        <v>3.5409999999999999</v>
      </c>
      <c r="F12" s="19">
        <v>3.609</v>
      </c>
      <c r="G12" s="19">
        <f t="shared" si="0"/>
        <v>39.775754884547069</v>
      </c>
      <c r="H12" s="19">
        <f t="shared" si="1"/>
        <v>0.40758347581451732</v>
      </c>
    </row>
    <row r="13" spans="1:8">
      <c r="A13" s="16">
        <v>5</v>
      </c>
      <c r="B13" s="65">
        <v>7.333333333333333</v>
      </c>
      <c r="C13" s="16">
        <v>2</v>
      </c>
      <c r="D13" s="19">
        <v>3.0630000000000002</v>
      </c>
      <c r="E13" s="19">
        <v>3.0779999999999998</v>
      </c>
      <c r="F13" s="19">
        <v>3.0760000000000001</v>
      </c>
      <c r="G13" s="19">
        <f t="shared" si="0"/>
        <v>34.106719952634698</v>
      </c>
      <c r="H13" s="19">
        <f t="shared" si="1"/>
        <v>9.0414385160379043E-2</v>
      </c>
    </row>
    <row r="14" spans="1:8">
      <c r="A14" s="16">
        <v>6</v>
      </c>
      <c r="B14" s="65">
        <v>8.6666666666666661</v>
      </c>
      <c r="C14" s="16">
        <v>2</v>
      </c>
      <c r="D14" s="19">
        <v>2.544</v>
      </c>
      <c r="E14" s="19">
        <v>2.5640000000000001</v>
      </c>
      <c r="F14" s="19">
        <v>2.5329999999999999</v>
      </c>
      <c r="G14" s="19">
        <f t="shared" si="0"/>
        <v>28.274866785079929</v>
      </c>
      <c r="H14" s="19">
        <f t="shared" si="1"/>
        <v>0.17446973407528613</v>
      </c>
    </row>
    <row r="15" spans="1:8">
      <c r="A15" s="16">
        <v>7</v>
      </c>
      <c r="B15" s="65">
        <v>10</v>
      </c>
      <c r="C15" s="16">
        <v>2</v>
      </c>
      <c r="D15" s="19">
        <v>1.9590000000000001</v>
      </c>
      <c r="E15" s="19">
        <v>1.9810000000000001</v>
      </c>
      <c r="F15" s="19">
        <v>1.97</v>
      </c>
      <c r="G15" s="19">
        <f t="shared" si="0"/>
        <v>21.869449378330373</v>
      </c>
      <c r="H15" s="19">
        <f t="shared" si="1"/>
        <v>0.12211367673179409</v>
      </c>
    </row>
    <row r="16" spans="1:8">
      <c r="A16" s="16">
        <v>8</v>
      </c>
      <c r="B16" s="65">
        <v>11.333333333333334</v>
      </c>
      <c r="C16" s="16">
        <v>2</v>
      </c>
      <c r="D16" s="19">
        <v>1.3320000000000001</v>
      </c>
      <c r="E16" s="19">
        <v>1.321</v>
      </c>
      <c r="F16" s="19">
        <v>1.292</v>
      </c>
      <c r="G16" s="19">
        <f t="shared" si="0"/>
        <v>14.598134991119007</v>
      </c>
      <c r="H16" s="19">
        <f t="shared" si="1"/>
        <v>0.22939585168485596</v>
      </c>
    </row>
    <row r="17" spans="1:8">
      <c r="A17" s="16">
        <v>9</v>
      </c>
      <c r="B17" s="65">
        <v>12.666666666666666</v>
      </c>
      <c r="C17" s="16">
        <v>2</v>
      </c>
      <c r="D17" s="85">
        <v>0.67</v>
      </c>
      <c r="E17" s="86">
        <v>0.66500000000000004</v>
      </c>
      <c r="F17" s="86">
        <v>0.66600000000000004</v>
      </c>
      <c r="G17" s="19">
        <f t="shared" si="0"/>
        <v>7.4045293072824148</v>
      </c>
      <c r="H17" s="19">
        <f t="shared" si="1"/>
        <v>2.937112911927834E-2</v>
      </c>
    </row>
    <row r="18" spans="1:8">
      <c r="A18" s="16">
        <v>10</v>
      </c>
      <c r="B18" s="65">
        <v>14</v>
      </c>
      <c r="C18" s="16">
        <v>2</v>
      </c>
      <c r="D18" s="87">
        <v>5.0000000000000001E-3</v>
      </c>
      <c r="E18" s="88">
        <v>6.0000000000000001E-3</v>
      </c>
      <c r="F18" s="88">
        <v>5.0000000000000001E-3</v>
      </c>
      <c r="G18" s="19">
        <f t="shared" ref="G18:G24" si="2">(C18*1000*AVERAGE(D18:F18))/$B$2</f>
        <v>5.9206631142687982E-2</v>
      </c>
      <c r="H18" s="19">
        <f t="shared" ref="H18:H24" si="3">(C18*1000*STDEV(D18:F18))/$B$2</f>
        <v>6.4093058302578361E-3</v>
      </c>
    </row>
    <row r="19" spans="1:8">
      <c r="A19" s="16">
        <v>11</v>
      </c>
      <c r="B19" s="65">
        <v>15.333333333333334</v>
      </c>
      <c r="C19" s="16">
        <v>2</v>
      </c>
      <c r="D19" s="87">
        <v>0</v>
      </c>
      <c r="E19" s="88">
        <v>0</v>
      </c>
      <c r="F19" s="88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5">
        <v>16.666666666666668</v>
      </c>
      <c r="C20" s="16">
        <v>2</v>
      </c>
      <c r="D20" s="87">
        <v>0</v>
      </c>
      <c r="E20" s="88">
        <v>0</v>
      </c>
      <c r="F20" s="88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5">
        <v>18</v>
      </c>
      <c r="C21" s="16">
        <v>2</v>
      </c>
      <c r="D21" s="87">
        <v>0</v>
      </c>
      <c r="E21" s="88">
        <v>0</v>
      </c>
      <c r="F21" s="88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5">
        <v>24</v>
      </c>
      <c r="C22" s="16">
        <v>2</v>
      </c>
      <c r="D22" s="87">
        <v>0</v>
      </c>
      <c r="E22" s="88">
        <v>0</v>
      </c>
      <c r="F22" s="88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5">
        <v>30</v>
      </c>
      <c r="C23" s="16">
        <v>2</v>
      </c>
      <c r="D23" s="87">
        <v>0</v>
      </c>
      <c r="E23" s="88">
        <v>0</v>
      </c>
      <c r="F23" s="88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5">
        <v>48</v>
      </c>
      <c r="C24" s="16">
        <v>2</v>
      </c>
      <c r="D24" s="87">
        <v>0</v>
      </c>
      <c r="E24" s="88">
        <v>0</v>
      </c>
      <c r="F24" s="88">
        <v>0</v>
      </c>
      <c r="G24" s="19">
        <f t="shared" si="2"/>
        <v>0</v>
      </c>
      <c r="H24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E2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64</v>
      </c>
      <c r="B2" s="17">
        <v>46.03</v>
      </c>
    </row>
    <row r="4" spans="1:8">
      <c r="A4" s="153" t="s">
        <v>64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8" t="s">
        <v>4</v>
      </c>
      <c r="B6" s="28" t="s">
        <v>59</v>
      </c>
      <c r="C6" s="28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2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2</v>
      </c>
      <c r="D8" s="42">
        <v>0</v>
      </c>
      <c r="E8" s="42">
        <v>0</v>
      </c>
      <c r="F8" s="42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65">
        <v>2</v>
      </c>
      <c r="C9" s="16">
        <v>2</v>
      </c>
      <c r="D9" s="42">
        <v>0</v>
      </c>
      <c r="E9" s="42">
        <v>0</v>
      </c>
      <c r="F9" s="42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65">
        <v>3.3333333333333335</v>
      </c>
      <c r="C10" s="16">
        <v>2</v>
      </c>
      <c r="D10" s="42">
        <v>0</v>
      </c>
      <c r="E10" s="42">
        <v>0</v>
      </c>
      <c r="F10" s="42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65">
        <v>4.666666666666667</v>
      </c>
      <c r="C11" s="16">
        <v>2</v>
      </c>
      <c r="D11" s="42">
        <v>0</v>
      </c>
      <c r="E11" s="42">
        <v>0</v>
      </c>
      <c r="F11" s="42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65">
        <v>6</v>
      </c>
      <c r="C12" s="16">
        <v>2</v>
      </c>
      <c r="D12" s="42">
        <v>3.0000000000000001E-3</v>
      </c>
      <c r="E12" s="42">
        <v>5.0000000000000001E-3</v>
      </c>
      <c r="F12" s="42">
        <v>4.0000000000000001E-3</v>
      </c>
      <c r="G12" s="16">
        <f t="shared" si="0"/>
        <v>0.17379969585053226</v>
      </c>
      <c r="H12" s="19">
        <f t="shared" si="1"/>
        <v>4.3449923962633065E-2</v>
      </c>
    </row>
    <row r="13" spans="1:8">
      <c r="A13" s="16">
        <v>5</v>
      </c>
      <c r="B13" s="65">
        <v>7.333333333333333</v>
      </c>
      <c r="C13" s="16">
        <v>2</v>
      </c>
      <c r="D13" s="42">
        <v>1.7999999999999999E-2</v>
      </c>
      <c r="E13" s="42">
        <v>1.9E-2</v>
      </c>
      <c r="F13" s="42">
        <v>1.6E-2</v>
      </c>
      <c r="G13" s="16">
        <f t="shared" si="0"/>
        <v>0.76761532333985083</v>
      </c>
      <c r="H13" s="19">
        <f t="shared" si="1"/>
        <v>6.637085516628051E-2</v>
      </c>
    </row>
    <row r="14" spans="1:8">
      <c r="A14" s="16">
        <v>6</v>
      </c>
      <c r="B14" s="65">
        <v>8.6666666666666661</v>
      </c>
      <c r="C14" s="16">
        <v>2</v>
      </c>
      <c r="D14" s="42">
        <v>3.6999999999999998E-2</v>
      </c>
      <c r="E14" s="42">
        <v>3.6999999999999998E-2</v>
      </c>
      <c r="F14" s="42">
        <v>3.5000000000000003E-2</v>
      </c>
      <c r="G14" s="16">
        <f t="shared" si="0"/>
        <v>1.5786805706423348</v>
      </c>
      <c r="H14" s="19">
        <f t="shared" si="1"/>
        <v>5.0171650592189816E-2</v>
      </c>
    </row>
    <row r="15" spans="1:8">
      <c r="A15" s="16">
        <v>7</v>
      </c>
      <c r="B15" s="65">
        <v>10</v>
      </c>
      <c r="C15" s="16">
        <v>2</v>
      </c>
      <c r="D15" s="42">
        <v>6.3E-2</v>
      </c>
      <c r="E15" s="42">
        <v>6.0999999999999999E-2</v>
      </c>
      <c r="F15" s="42">
        <v>6.3E-2</v>
      </c>
      <c r="G15" s="16">
        <f t="shared" si="0"/>
        <v>2.708378593670794</v>
      </c>
      <c r="H15" s="19">
        <f t="shared" si="1"/>
        <v>5.0171650592189976E-2</v>
      </c>
    </row>
    <row r="16" spans="1:8">
      <c r="A16" s="16">
        <v>8</v>
      </c>
      <c r="B16" s="65">
        <v>11.333333333333334</v>
      </c>
      <c r="C16" s="16">
        <v>2</v>
      </c>
      <c r="D16" s="42">
        <v>8.6999999999999994E-2</v>
      </c>
      <c r="E16" s="42">
        <v>8.4000000000000005E-2</v>
      </c>
      <c r="F16" s="42">
        <v>8.2000000000000003E-2</v>
      </c>
      <c r="G16" s="16">
        <f t="shared" si="0"/>
        <v>3.6642769208487214</v>
      </c>
      <c r="H16" s="19">
        <f t="shared" si="1"/>
        <v>0.10934657738099404</v>
      </c>
    </row>
    <row r="17" spans="1:8">
      <c r="A17" s="16">
        <v>9</v>
      </c>
      <c r="B17" s="65">
        <v>12.666666666666666</v>
      </c>
      <c r="C17" s="16">
        <v>2</v>
      </c>
      <c r="D17" s="42">
        <v>0.11</v>
      </c>
      <c r="E17" s="42">
        <v>0.108</v>
      </c>
      <c r="F17" s="42">
        <v>0.109</v>
      </c>
      <c r="G17" s="16">
        <f t="shared" si="0"/>
        <v>4.7360417119270037</v>
      </c>
      <c r="H17" s="19">
        <f t="shared" si="1"/>
        <v>4.34499239626331E-2</v>
      </c>
    </row>
    <row r="18" spans="1:8">
      <c r="A18" s="16">
        <v>10</v>
      </c>
      <c r="B18" s="65">
        <v>14</v>
      </c>
      <c r="C18" s="16">
        <v>2</v>
      </c>
      <c r="D18" s="42">
        <v>0.128</v>
      </c>
      <c r="E18" s="42">
        <v>0.13100000000000001</v>
      </c>
      <c r="F18" s="42">
        <v>0.128</v>
      </c>
      <c r="G18" s="16">
        <f t="shared" ref="G18:G24" si="2">(C18*1000*AVERAGE(D18:F18))/$B$2</f>
        <v>5.6050401911796657</v>
      </c>
      <c r="H18" s="19">
        <f t="shared" ref="H18:H24" si="3">(C18*1000*STDEV(D18:F18))/$B$2</f>
        <v>7.5257475888284991E-2</v>
      </c>
    </row>
    <row r="19" spans="1:8">
      <c r="A19" s="16">
        <v>11</v>
      </c>
      <c r="B19" s="65">
        <v>15.333333333333334</v>
      </c>
      <c r="C19" s="16">
        <v>2</v>
      </c>
      <c r="D19" s="42">
        <v>0.128</v>
      </c>
      <c r="E19" s="42">
        <v>0.128</v>
      </c>
      <c r="F19" s="42">
        <v>0.127</v>
      </c>
      <c r="G19" s="16">
        <f t="shared" si="2"/>
        <v>5.5471069592294882</v>
      </c>
      <c r="H19" s="19">
        <f t="shared" si="3"/>
        <v>2.5085825296094995E-2</v>
      </c>
    </row>
    <row r="20" spans="1:8">
      <c r="A20" s="16">
        <v>12</v>
      </c>
      <c r="B20" s="65">
        <v>16.666666666666668</v>
      </c>
      <c r="C20" s="16">
        <v>2</v>
      </c>
      <c r="D20" s="42">
        <v>0.125</v>
      </c>
      <c r="E20" s="42">
        <v>0.127</v>
      </c>
      <c r="F20" s="42">
        <v>0.126</v>
      </c>
      <c r="G20" s="16">
        <f t="shared" si="2"/>
        <v>5.4746904192917665</v>
      </c>
      <c r="H20" s="19">
        <f t="shared" si="3"/>
        <v>4.34499239626331E-2</v>
      </c>
    </row>
    <row r="21" spans="1:8">
      <c r="A21" s="16">
        <v>13</v>
      </c>
      <c r="B21" s="65">
        <v>18</v>
      </c>
      <c r="C21" s="16">
        <v>2</v>
      </c>
      <c r="D21" s="42">
        <v>0.129</v>
      </c>
      <c r="E21" s="42">
        <v>0.126</v>
      </c>
      <c r="F21" s="42">
        <v>0.126</v>
      </c>
      <c r="G21" s="16">
        <f t="shared" si="2"/>
        <v>5.5181403432543989</v>
      </c>
      <c r="H21" s="19">
        <f t="shared" si="3"/>
        <v>7.5257475888284991E-2</v>
      </c>
    </row>
    <row r="22" spans="1:8">
      <c r="A22" s="16">
        <v>14</v>
      </c>
      <c r="B22" s="65">
        <v>24</v>
      </c>
      <c r="C22" s="16">
        <v>2</v>
      </c>
      <c r="D22" s="42">
        <v>0.13</v>
      </c>
      <c r="E22" s="42">
        <v>0.128</v>
      </c>
      <c r="F22" s="42">
        <v>0.13100000000000001</v>
      </c>
      <c r="G22" s="16">
        <f t="shared" si="2"/>
        <v>5.6340068071547549</v>
      </c>
      <c r="H22" s="19">
        <f t="shared" si="3"/>
        <v>6.6370855166280593E-2</v>
      </c>
    </row>
    <row r="23" spans="1:8">
      <c r="A23" s="16">
        <v>15</v>
      </c>
      <c r="B23" s="65">
        <v>30</v>
      </c>
      <c r="C23" s="16">
        <v>2</v>
      </c>
      <c r="D23" s="42">
        <v>0.128</v>
      </c>
      <c r="E23" s="42">
        <v>0.13100000000000001</v>
      </c>
      <c r="F23" s="42">
        <v>0.13100000000000001</v>
      </c>
      <c r="G23" s="16">
        <f t="shared" si="2"/>
        <v>5.6484901151422982</v>
      </c>
      <c r="H23" s="19">
        <f t="shared" si="3"/>
        <v>7.5257475888284991E-2</v>
      </c>
    </row>
    <row r="24" spans="1:8">
      <c r="A24" s="16">
        <v>16</v>
      </c>
      <c r="B24" s="65">
        <v>48</v>
      </c>
      <c r="C24" s="16">
        <v>2</v>
      </c>
      <c r="D24" s="42">
        <v>0.13200000000000001</v>
      </c>
      <c r="E24" s="42">
        <v>0.13300000000000001</v>
      </c>
      <c r="F24" s="42">
        <v>0.129</v>
      </c>
      <c r="G24" s="16">
        <f t="shared" si="2"/>
        <v>5.7064233470924766</v>
      </c>
      <c r="H24" s="19">
        <f t="shared" si="3"/>
        <v>9.0448229392402102E-2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42</v>
      </c>
      <c r="B2" s="17">
        <v>60.05</v>
      </c>
    </row>
    <row r="4" spans="1:8">
      <c r="A4" s="153" t="s">
        <v>42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2" t="s">
        <v>4</v>
      </c>
      <c r="B6" s="22" t="s">
        <v>59</v>
      </c>
      <c r="C6" s="22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2</v>
      </c>
      <c r="D7" s="19">
        <v>1.5049999999999999</v>
      </c>
      <c r="E7" s="19">
        <v>1.514</v>
      </c>
      <c r="F7" s="19">
        <v>1.5149999999999999</v>
      </c>
      <c r="G7" s="16">
        <f>(C7*1000*AVERAGE(D7:F7))/$B$2</f>
        <v>50.335831251734668</v>
      </c>
      <c r="H7" s="19">
        <f>(C7*1000*STDEV(D7:F7))/$B$2</f>
        <v>0.18343282422268556</v>
      </c>
    </row>
    <row r="8" spans="1:8">
      <c r="A8" s="16">
        <v>0</v>
      </c>
      <c r="B8" s="65">
        <v>0.16666666666666666</v>
      </c>
      <c r="C8" s="16">
        <v>2</v>
      </c>
      <c r="D8" s="19">
        <v>1.452</v>
      </c>
      <c r="E8" s="19">
        <v>1.4350000000000001</v>
      </c>
      <c r="F8" s="19">
        <v>1.448</v>
      </c>
      <c r="G8" s="16">
        <f t="shared" ref="G8:G17" si="0">(C8*1000*AVERAGE(D8:F8))/$B$2</f>
        <v>48.126561199000832</v>
      </c>
      <c r="H8" s="19">
        <f t="shared" ref="H8:H17" si="1">(C8*1000*STDEV(D8:F8))/$B$2</f>
        <v>0.29602645852841086</v>
      </c>
    </row>
    <row r="9" spans="1:8">
      <c r="A9" s="16">
        <v>1</v>
      </c>
      <c r="B9" s="65">
        <v>2</v>
      </c>
      <c r="C9" s="16">
        <v>2</v>
      </c>
      <c r="D9" s="19">
        <v>1.39</v>
      </c>
      <c r="E9" s="19">
        <v>1.446</v>
      </c>
      <c r="F9" s="19">
        <v>1.409</v>
      </c>
      <c r="G9" s="16">
        <f t="shared" si="0"/>
        <v>47.127393838467945</v>
      </c>
      <c r="H9" s="19">
        <f t="shared" si="1"/>
        <v>0.9484783257883862</v>
      </c>
    </row>
    <row r="10" spans="1:8">
      <c r="A10" s="16">
        <v>2</v>
      </c>
      <c r="B10" s="65">
        <v>3.3333333333333335</v>
      </c>
      <c r="C10" s="16">
        <v>2</v>
      </c>
      <c r="D10" s="19">
        <v>1.425</v>
      </c>
      <c r="E10" s="19">
        <v>1.4139999999999999</v>
      </c>
      <c r="F10" s="19">
        <v>1.4</v>
      </c>
      <c r="G10" s="16">
        <f t="shared" si="0"/>
        <v>47.060782681099084</v>
      </c>
      <c r="H10" s="19">
        <f t="shared" si="1"/>
        <v>0.41731770478407104</v>
      </c>
    </row>
    <row r="11" spans="1:8">
      <c r="A11" s="16">
        <v>3</v>
      </c>
      <c r="B11" s="65">
        <v>4.666666666666667</v>
      </c>
      <c r="C11" s="16">
        <v>2</v>
      </c>
      <c r="D11" s="19">
        <v>1.3740000000000001</v>
      </c>
      <c r="E11" s="19">
        <v>1.3420000000000001</v>
      </c>
      <c r="F11" s="19">
        <v>1.345</v>
      </c>
      <c r="G11" s="16">
        <f t="shared" si="0"/>
        <v>45.084651679156259</v>
      </c>
      <c r="H11" s="19">
        <f t="shared" si="1"/>
        <v>0.58860798853451435</v>
      </c>
    </row>
    <row r="12" spans="1:8">
      <c r="A12" s="16">
        <v>4</v>
      </c>
      <c r="B12" s="65">
        <v>6</v>
      </c>
      <c r="C12" s="16">
        <v>2</v>
      </c>
      <c r="D12" s="19">
        <v>1.306</v>
      </c>
      <c r="E12" s="19">
        <v>1.298</v>
      </c>
      <c r="F12" s="19">
        <v>1.3240000000000001</v>
      </c>
      <c r="G12" s="16">
        <f t="shared" si="0"/>
        <v>43.608104357479874</v>
      </c>
      <c r="H12" s="19">
        <f t="shared" si="1"/>
        <v>0.44351894211353199</v>
      </c>
    </row>
    <row r="13" spans="1:8">
      <c r="A13" s="16">
        <v>5</v>
      </c>
      <c r="B13" s="65">
        <v>7.333333333333333</v>
      </c>
      <c r="C13" s="16">
        <v>2</v>
      </c>
      <c r="D13" s="19">
        <v>1.224</v>
      </c>
      <c r="E13" s="19">
        <v>1.226</v>
      </c>
      <c r="F13" s="19">
        <v>1.2210000000000001</v>
      </c>
      <c r="G13" s="16">
        <f t="shared" si="0"/>
        <v>40.754926450180413</v>
      </c>
      <c r="H13" s="19">
        <f t="shared" si="1"/>
        <v>8.381720161277359E-2</v>
      </c>
    </row>
    <row r="14" spans="1:8">
      <c r="A14" s="16">
        <v>6</v>
      </c>
      <c r="B14" s="65">
        <v>8.6666666666666661</v>
      </c>
      <c r="C14" s="16">
        <v>2</v>
      </c>
      <c r="D14" s="19">
        <v>1.141</v>
      </c>
      <c r="E14" s="19">
        <v>1.137</v>
      </c>
      <c r="F14" s="19">
        <v>1.139</v>
      </c>
      <c r="G14" s="16">
        <f t="shared" si="0"/>
        <v>37.935054121565365</v>
      </c>
      <c r="H14" s="19">
        <f t="shared" si="1"/>
        <v>6.661115736885935E-2</v>
      </c>
    </row>
    <row r="15" spans="1:8">
      <c r="A15" s="16">
        <v>7</v>
      </c>
      <c r="B15" s="65">
        <v>10</v>
      </c>
      <c r="C15" s="16">
        <v>2</v>
      </c>
      <c r="D15" s="19">
        <v>1.05</v>
      </c>
      <c r="E15" s="19">
        <v>1.0580000000000001</v>
      </c>
      <c r="F15" s="19">
        <v>1.054</v>
      </c>
      <c r="G15" s="16">
        <f t="shared" si="0"/>
        <v>35.104079933388846</v>
      </c>
      <c r="H15" s="19">
        <f t="shared" si="1"/>
        <v>0.1332223147377187</v>
      </c>
    </row>
    <row r="16" spans="1:8">
      <c r="A16" s="16">
        <v>8</v>
      </c>
      <c r="B16" s="65">
        <v>11.333333333333334</v>
      </c>
      <c r="C16" s="16">
        <v>2</v>
      </c>
      <c r="D16" s="19">
        <v>0.93100000000000005</v>
      </c>
      <c r="E16" s="19">
        <v>0.95399999999999996</v>
      </c>
      <c r="F16" s="19">
        <v>0.93700000000000006</v>
      </c>
      <c r="G16" s="16">
        <f t="shared" si="0"/>
        <v>31.329447682486816</v>
      </c>
      <c r="H16" s="19">
        <f t="shared" si="1"/>
        <v>0.39734732541045137</v>
      </c>
    </row>
    <row r="17" spans="1:8">
      <c r="A17" s="16">
        <v>9</v>
      </c>
      <c r="B17" s="65">
        <v>12.666666666666666</v>
      </c>
      <c r="C17" s="16">
        <v>2</v>
      </c>
      <c r="D17" s="19">
        <v>0.90700000000000003</v>
      </c>
      <c r="E17" s="19">
        <v>0.91</v>
      </c>
      <c r="F17" s="19">
        <v>0.91300000000000003</v>
      </c>
      <c r="G17" s="16">
        <f t="shared" si="0"/>
        <v>30.30807660283098</v>
      </c>
      <c r="H17" s="19">
        <f t="shared" si="1"/>
        <v>9.9916736053289018E-2</v>
      </c>
    </row>
    <row r="18" spans="1:8">
      <c r="A18" s="16">
        <v>10</v>
      </c>
      <c r="B18" s="65">
        <v>14</v>
      </c>
      <c r="C18" s="16">
        <v>2</v>
      </c>
      <c r="D18" s="19">
        <v>0.89500000000000002</v>
      </c>
      <c r="E18" s="19">
        <v>0.91200000000000003</v>
      </c>
      <c r="F18" s="19">
        <v>0.89500000000000002</v>
      </c>
      <c r="G18" s="16">
        <f t="shared" ref="G18:G24" si="2">(C18*1000*AVERAGE(D18:F18))/$B$2</f>
        <v>29.99722453510963</v>
      </c>
      <c r="H18" s="19">
        <f t="shared" ref="H18:H24" si="3">(C18*1000*STDEV(D18:F18))/$B$2</f>
        <v>0.32689274192251955</v>
      </c>
    </row>
    <row r="19" spans="1:8">
      <c r="A19" s="16">
        <v>11</v>
      </c>
      <c r="B19" s="65">
        <v>15.333333333333334</v>
      </c>
      <c r="C19" s="16">
        <v>2</v>
      </c>
      <c r="D19" s="19">
        <v>0.88</v>
      </c>
      <c r="E19" s="19">
        <v>0.88400000000000001</v>
      </c>
      <c r="F19" s="19">
        <v>0.85699999999999998</v>
      </c>
      <c r="G19" s="16">
        <f t="shared" si="2"/>
        <v>29.097973910630035</v>
      </c>
      <c r="H19" s="19">
        <f t="shared" si="3"/>
        <v>0.48531763517944854</v>
      </c>
    </row>
    <row r="20" spans="1:8">
      <c r="A20" s="16">
        <v>12</v>
      </c>
      <c r="B20" s="65">
        <v>16.666666666666668</v>
      </c>
      <c r="C20" s="16">
        <v>2</v>
      </c>
      <c r="D20" s="19">
        <v>0.871</v>
      </c>
      <c r="E20" s="19">
        <v>0.86699999999999999</v>
      </c>
      <c r="F20" s="19">
        <v>0.85699999999999998</v>
      </c>
      <c r="G20" s="16">
        <f t="shared" si="2"/>
        <v>28.809325562031638</v>
      </c>
      <c r="H20" s="19">
        <f t="shared" si="3"/>
        <v>0.24016994341142334</v>
      </c>
    </row>
    <row r="21" spans="1:8">
      <c r="A21" s="16">
        <v>13</v>
      </c>
      <c r="B21" s="65">
        <v>18</v>
      </c>
      <c r="C21" s="16">
        <v>2</v>
      </c>
      <c r="D21" s="19">
        <v>0.871</v>
      </c>
      <c r="E21" s="19">
        <v>0.86199999999999999</v>
      </c>
      <c r="F21" s="19">
        <v>0.84799999999999998</v>
      </c>
      <c r="G21" s="16">
        <f t="shared" si="2"/>
        <v>28.653899528170967</v>
      </c>
      <c r="H21" s="19">
        <f t="shared" si="3"/>
        <v>0.38601917625786797</v>
      </c>
    </row>
    <row r="22" spans="1:8">
      <c r="A22" s="16">
        <v>14</v>
      </c>
      <c r="B22" s="65">
        <v>24</v>
      </c>
      <c r="C22" s="16">
        <v>2</v>
      </c>
      <c r="D22" s="19">
        <v>0.85699999999999998</v>
      </c>
      <c r="E22" s="19">
        <v>0.86299999999999999</v>
      </c>
      <c r="F22" s="19">
        <v>0.88200000000000001</v>
      </c>
      <c r="G22" s="16">
        <f t="shared" si="2"/>
        <v>28.887038578961974</v>
      </c>
      <c r="H22" s="19">
        <f t="shared" si="3"/>
        <v>0.43467714572194083</v>
      </c>
    </row>
    <row r="23" spans="1:8">
      <c r="A23" s="16">
        <v>15</v>
      </c>
      <c r="B23" s="65">
        <v>30</v>
      </c>
      <c r="C23" s="16">
        <v>2</v>
      </c>
      <c r="D23" s="19">
        <v>0.86199999999999999</v>
      </c>
      <c r="E23" s="19">
        <v>0.88</v>
      </c>
      <c r="F23" s="19">
        <v>0.872</v>
      </c>
      <c r="G23" s="16">
        <f t="shared" si="2"/>
        <v>29.020260893699692</v>
      </c>
      <c r="H23" s="19">
        <f t="shared" si="3"/>
        <v>0.30036634490077596</v>
      </c>
    </row>
    <row r="24" spans="1:8">
      <c r="A24" s="16">
        <v>16</v>
      </c>
      <c r="B24" s="65">
        <v>48</v>
      </c>
      <c r="C24" s="16">
        <v>2</v>
      </c>
      <c r="D24" s="19">
        <v>0.83699999999999997</v>
      </c>
      <c r="E24" s="19">
        <v>0.84199999999999997</v>
      </c>
      <c r="F24" s="19">
        <v>0.83899999999999997</v>
      </c>
      <c r="G24" s="16">
        <f t="shared" si="2"/>
        <v>27.954482375797944</v>
      </c>
      <c r="H24" s="19">
        <f t="shared" si="3"/>
        <v>8.3817201612775533E-2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0" sqref="B20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66</v>
      </c>
      <c r="B2" s="17">
        <v>74.08</v>
      </c>
    </row>
    <row r="4" spans="1:8">
      <c r="A4" s="153" t="s">
        <v>66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8" t="s">
        <v>4</v>
      </c>
      <c r="B6" s="28" t="s">
        <v>59</v>
      </c>
      <c r="C6" s="28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2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2</v>
      </c>
      <c r="D8" s="42">
        <v>0</v>
      </c>
      <c r="E8" s="42">
        <v>0</v>
      </c>
      <c r="F8" s="42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65">
        <v>2</v>
      </c>
      <c r="C9" s="16">
        <v>2</v>
      </c>
      <c r="D9" s="42">
        <v>0</v>
      </c>
      <c r="E9" s="42">
        <v>0</v>
      </c>
      <c r="F9" s="42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65">
        <v>3.3333333333333335</v>
      </c>
      <c r="C10" s="16">
        <v>2</v>
      </c>
      <c r="D10" s="42">
        <v>0</v>
      </c>
      <c r="E10" s="42">
        <v>0</v>
      </c>
      <c r="F10" s="42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65">
        <v>4.666666666666667</v>
      </c>
      <c r="C11" s="16">
        <v>2</v>
      </c>
      <c r="D11" s="42">
        <v>0</v>
      </c>
      <c r="E11" s="42">
        <v>0</v>
      </c>
      <c r="F11" s="42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65">
        <v>6</v>
      </c>
      <c r="C12" s="16">
        <v>2</v>
      </c>
      <c r="D12" s="42">
        <v>0</v>
      </c>
      <c r="E12" s="42">
        <v>0</v>
      </c>
      <c r="F12" s="42">
        <v>0</v>
      </c>
      <c r="G12" s="16">
        <f t="shared" si="0"/>
        <v>0</v>
      </c>
      <c r="H12" s="19">
        <f t="shared" si="1"/>
        <v>0</v>
      </c>
    </row>
    <row r="13" spans="1:8">
      <c r="A13" s="16">
        <v>5</v>
      </c>
      <c r="B13" s="65">
        <v>7.333333333333333</v>
      </c>
      <c r="C13" s="16">
        <v>2</v>
      </c>
      <c r="D13" s="42">
        <v>0</v>
      </c>
      <c r="E13" s="42">
        <v>0</v>
      </c>
      <c r="F13" s="42">
        <v>0</v>
      </c>
      <c r="G13" s="16">
        <f t="shared" si="0"/>
        <v>0</v>
      </c>
      <c r="H13" s="19">
        <f t="shared" si="1"/>
        <v>0</v>
      </c>
    </row>
    <row r="14" spans="1:8">
      <c r="A14" s="16">
        <v>6</v>
      </c>
      <c r="B14" s="65">
        <v>8.6666666666666661</v>
      </c>
      <c r="C14" s="16">
        <v>2</v>
      </c>
      <c r="D14" s="42">
        <v>0</v>
      </c>
      <c r="E14" s="42">
        <v>0</v>
      </c>
      <c r="F14" s="42">
        <v>0</v>
      </c>
      <c r="G14" s="16">
        <f t="shared" si="0"/>
        <v>0</v>
      </c>
      <c r="H14" s="19">
        <f t="shared" si="1"/>
        <v>0</v>
      </c>
    </row>
    <row r="15" spans="1:8">
      <c r="A15" s="16">
        <v>7</v>
      </c>
      <c r="B15" s="65">
        <v>10</v>
      </c>
      <c r="C15" s="16">
        <v>2</v>
      </c>
      <c r="D15" s="42">
        <v>0</v>
      </c>
      <c r="E15" s="42">
        <v>0</v>
      </c>
      <c r="F15" s="42">
        <v>0</v>
      </c>
      <c r="G15" s="16">
        <f t="shared" si="0"/>
        <v>0</v>
      </c>
      <c r="H15" s="19">
        <f t="shared" si="1"/>
        <v>0</v>
      </c>
    </row>
    <row r="16" spans="1:8">
      <c r="A16" s="16">
        <v>8</v>
      </c>
      <c r="B16" s="65">
        <v>11.333333333333334</v>
      </c>
      <c r="C16" s="16">
        <v>2</v>
      </c>
      <c r="D16" s="42">
        <v>0</v>
      </c>
      <c r="E16" s="42">
        <v>0</v>
      </c>
      <c r="F16" s="42">
        <v>0</v>
      </c>
      <c r="G16" s="16">
        <f t="shared" si="0"/>
        <v>0</v>
      </c>
      <c r="H16" s="19">
        <f t="shared" si="1"/>
        <v>0</v>
      </c>
    </row>
    <row r="17" spans="1:8">
      <c r="A17" s="16">
        <v>9</v>
      </c>
      <c r="B17" s="65">
        <v>12.666666666666666</v>
      </c>
      <c r="C17" s="16">
        <v>2</v>
      </c>
      <c r="D17" s="42">
        <v>0</v>
      </c>
      <c r="E17" s="42">
        <v>0</v>
      </c>
      <c r="F17" s="42">
        <v>0</v>
      </c>
      <c r="G17" s="16">
        <f t="shared" si="0"/>
        <v>0</v>
      </c>
      <c r="H17" s="19">
        <f t="shared" si="1"/>
        <v>0</v>
      </c>
    </row>
    <row r="18" spans="1:8">
      <c r="A18" s="16">
        <v>10</v>
      </c>
      <c r="B18" s="65">
        <v>14</v>
      </c>
      <c r="C18" s="16">
        <v>2</v>
      </c>
      <c r="D18" s="42">
        <v>0</v>
      </c>
      <c r="E18" s="42">
        <v>0</v>
      </c>
      <c r="F18" s="42">
        <v>0</v>
      </c>
      <c r="G18" s="16">
        <f t="shared" ref="G18:G24" si="2">(C18*1000*AVERAGE(D18:F18))/$B$2</f>
        <v>0</v>
      </c>
      <c r="H18" s="19">
        <f t="shared" ref="H18:H24" si="3">(C18*1000*STDEV(D18:F18))/$B$2</f>
        <v>0</v>
      </c>
    </row>
    <row r="19" spans="1:8">
      <c r="A19" s="16">
        <v>11</v>
      </c>
      <c r="B19" s="65">
        <v>15.333333333333334</v>
      </c>
      <c r="C19" s="16">
        <v>2</v>
      </c>
      <c r="D19" s="42">
        <v>0</v>
      </c>
      <c r="E19" s="42">
        <v>0</v>
      </c>
      <c r="F19" s="42">
        <v>0</v>
      </c>
      <c r="G19" s="16">
        <f t="shared" si="2"/>
        <v>0</v>
      </c>
      <c r="H19" s="19">
        <f t="shared" si="3"/>
        <v>0</v>
      </c>
    </row>
    <row r="20" spans="1:8">
      <c r="A20" s="16">
        <v>12</v>
      </c>
      <c r="B20" s="65">
        <v>16.666666666666668</v>
      </c>
      <c r="C20" s="16">
        <v>2</v>
      </c>
      <c r="D20" s="42">
        <v>0</v>
      </c>
      <c r="E20" s="42">
        <v>0</v>
      </c>
      <c r="F20" s="42">
        <v>0</v>
      </c>
      <c r="G20" s="16">
        <f t="shared" si="2"/>
        <v>0</v>
      </c>
      <c r="H20" s="19">
        <f t="shared" si="3"/>
        <v>0</v>
      </c>
    </row>
    <row r="21" spans="1:8">
      <c r="A21" s="16">
        <v>13</v>
      </c>
      <c r="B21" s="65">
        <v>18</v>
      </c>
      <c r="C21" s="16">
        <v>2</v>
      </c>
      <c r="D21" s="42">
        <v>0</v>
      </c>
      <c r="E21" s="42">
        <v>0</v>
      </c>
      <c r="F21" s="42">
        <v>0</v>
      </c>
      <c r="G21" s="16">
        <f t="shared" si="2"/>
        <v>0</v>
      </c>
      <c r="H21" s="19">
        <f t="shared" si="3"/>
        <v>0</v>
      </c>
    </row>
    <row r="22" spans="1:8">
      <c r="A22" s="16">
        <v>14</v>
      </c>
      <c r="B22" s="65">
        <v>24</v>
      </c>
      <c r="C22" s="16">
        <v>2</v>
      </c>
      <c r="D22" s="42">
        <v>0</v>
      </c>
      <c r="E22" s="42">
        <v>0</v>
      </c>
      <c r="F22" s="42">
        <v>0</v>
      </c>
      <c r="G22" s="16">
        <f t="shared" si="2"/>
        <v>0</v>
      </c>
      <c r="H22" s="19">
        <f t="shared" si="3"/>
        <v>0</v>
      </c>
    </row>
    <row r="23" spans="1:8">
      <c r="A23" s="16">
        <v>15</v>
      </c>
      <c r="B23" s="65">
        <v>30</v>
      </c>
      <c r="C23" s="16">
        <v>2</v>
      </c>
      <c r="D23" s="42">
        <v>0</v>
      </c>
      <c r="E23" s="42">
        <v>0</v>
      </c>
      <c r="F23" s="42">
        <v>0</v>
      </c>
      <c r="G23" s="16">
        <f t="shared" si="2"/>
        <v>0</v>
      </c>
      <c r="H23" s="19">
        <f t="shared" si="3"/>
        <v>0</v>
      </c>
    </row>
    <row r="24" spans="1:8">
      <c r="A24" s="16">
        <v>16</v>
      </c>
      <c r="B24" s="65">
        <v>48</v>
      </c>
      <c r="C24" s="16">
        <v>2</v>
      </c>
      <c r="D24" s="42">
        <v>0</v>
      </c>
      <c r="E24" s="42">
        <v>0</v>
      </c>
      <c r="F24" s="42">
        <v>0</v>
      </c>
      <c r="G24" s="16">
        <f t="shared" si="2"/>
        <v>0</v>
      </c>
      <c r="H24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65</v>
      </c>
      <c r="B2" s="17">
        <v>88.11</v>
      </c>
    </row>
    <row r="4" spans="1:8">
      <c r="A4" s="153" t="s">
        <v>65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8" t="s">
        <v>4</v>
      </c>
      <c r="B6" s="28" t="s">
        <v>59</v>
      </c>
      <c r="C6" s="28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2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2</v>
      </c>
      <c r="D8" s="42">
        <v>0.08</v>
      </c>
      <c r="E8" s="42">
        <v>8.4000000000000005E-2</v>
      </c>
      <c r="F8" s="42">
        <v>8.2000000000000003E-2</v>
      </c>
      <c r="G8" s="16">
        <f>(C8*1000*AVERAGE(D8:F8))/$B$2</f>
        <v>1.8613097264782659</v>
      </c>
      <c r="H8" s="19">
        <f t="shared" ref="H8:H17" si="0">(C8*1000*STDEV(D8:F8))/$B$2</f>
        <v>4.5397798206787014E-2</v>
      </c>
    </row>
    <row r="9" spans="1:8">
      <c r="A9" s="16">
        <v>1</v>
      </c>
      <c r="B9" s="65">
        <v>2</v>
      </c>
      <c r="C9" s="16">
        <v>2</v>
      </c>
      <c r="D9" s="42">
        <v>0.14499999999999999</v>
      </c>
      <c r="E9" s="42">
        <v>0.152</v>
      </c>
      <c r="F9" s="42">
        <v>0.151</v>
      </c>
      <c r="G9" s="16">
        <f t="shared" ref="G9:G17" si="1">(C9*1000*AVERAGE(D9:F9))/$B$2</f>
        <v>3.38970226610676</v>
      </c>
      <c r="H9" s="19">
        <f t="shared" si="0"/>
        <v>8.5936645039159806E-2</v>
      </c>
    </row>
    <row r="10" spans="1:8">
      <c r="A10" s="16">
        <v>2</v>
      </c>
      <c r="B10" s="65">
        <v>3.3333333333333335</v>
      </c>
      <c r="C10" s="16">
        <v>2</v>
      </c>
      <c r="D10" s="73">
        <v>0.27700000000000002</v>
      </c>
      <c r="E10" s="73">
        <v>0.23</v>
      </c>
      <c r="F10" s="73">
        <v>0.22600000000000001</v>
      </c>
      <c r="G10" s="16">
        <f t="shared" si="1"/>
        <v>5.5460976809291411</v>
      </c>
      <c r="H10" s="19">
        <f t="shared" si="0"/>
        <v>0.64375828007129854</v>
      </c>
    </row>
    <row r="11" spans="1:8">
      <c r="A11" s="16">
        <v>3</v>
      </c>
      <c r="B11" s="65">
        <v>4.666666666666667</v>
      </c>
      <c r="C11" s="16">
        <v>2</v>
      </c>
      <c r="D11" s="73">
        <v>0.39300000000000002</v>
      </c>
      <c r="E11" s="73">
        <v>0.38900000000000001</v>
      </c>
      <c r="F11" s="73">
        <v>0.39</v>
      </c>
      <c r="G11" s="16">
        <f t="shared" si="1"/>
        <v>8.8677032497257233</v>
      </c>
      <c r="H11" s="19">
        <f t="shared" si="0"/>
        <v>4.7251526488846556E-2</v>
      </c>
    </row>
    <row r="12" spans="1:8">
      <c r="A12" s="16">
        <v>4</v>
      </c>
      <c r="B12" s="65">
        <v>6</v>
      </c>
      <c r="C12" s="16">
        <v>2</v>
      </c>
      <c r="D12" s="74">
        <v>0.61</v>
      </c>
      <c r="E12" s="74">
        <v>0.59899999999999998</v>
      </c>
      <c r="F12" s="74">
        <v>0.61399999999999999</v>
      </c>
      <c r="G12" s="16">
        <f t="shared" si="1"/>
        <v>13.79336435516211</v>
      </c>
      <c r="H12" s="19">
        <f t="shared" si="0"/>
        <v>0.17631264249583556</v>
      </c>
    </row>
    <row r="13" spans="1:8">
      <c r="A13" s="16">
        <v>5</v>
      </c>
      <c r="B13" s="65">
        <v>7.333333333333333</v>
      </c>
      <c r="C13" s="16">
        <v>2</v>
      </c>
      <c r="D13" s="74">
        <v>0.85499999999999998</v>
      </c>
      <c r="E13" s="74">
        <v>0.85899999999999999</v>
      </c>
      <c r="F13" s="74">
        <v>0.85699999999999998</v>
      </c>
      <c r="G13" s="16">
        <f t="shared" si="1"/>
        <v>19.452956531608216</v>
      </c>
      <c r="H13" s="19">
        <f t="shared" si="0"/>
        <v>4.5397798206787014E-2</v>
      </c>
    </row>
    <row r="14" spans="1:8">
      <c r="A14" s="16">
        <v>6</v>
      </c>
      <c r="B14" s="65">
        <v>8.6666666666666661</v>
      </c>
      <c r="C14" s="16">
        <v>2</v>
      </c>
      <c r="D14" s="74">
        <v>1.141</v>
      </c>
      <c r="E14" s="74">
        <v>1.149</v>
      </c>
      <c r="F14" s="74">
        <v>1.1339999999999999</v>
      </c>
      <c r="G14" s="16">
        <f t="shared" si="1"/>
        <v>25.907010176673097</v>
      </c>
      <c r="H14" s="19">
        <f t="shared" si="0"/>
        <v>0.17036780159948237</v>
      </c>
    </row>
    <row r="15" spans="1:8">
      <c r="A15" s="16">
        <v>7</v>
      </c>
      <c r="B15" s="65">
        <v>10</v>
      </c>
      <c r="C15" s="16">
        <v>2</v>
      </c>
      <c r="D15" s="74">
        <v>1.4319999999999999</v>
      </c>
      <c r="E15" s="74">
        <v>1.452</v>
      </c>
      <c r="F15" s="74">
        <v>1.4379999999999999</v>
      </c>
      <c r="G15" s="16">
        <f t="shared" si="1"/>
        <v>32.70154730828888</v>
      </c>
      <c r="H15" s="19">
        <f t="shared" si="0"/>
        <v>0.23296340662566745</v>
      </c>
    </row>
    <row r="16" spans="1:8">
      <c r="A16" s="16">
        <v>8</v>
      </c>
      <c r="B16" s="65">
        <v>11.333333333333334</v>
      </c>
      <c r="C16" s="16">
        <v>2</v>
      </c>
      <c r="D16" s="74">
        <v>1.7130000000000001</v>
      </c>
      <c r="E16" s="74">
        <v>1.6950000000000001</v>
      </c>
      <c r="F16" s="74">
        <v>1.6579999999999999</v>
      </c>
      <c r="G16" s="16">
        <f t="shared" si="1"/>
        <v>38.33087428593047</v>
      </c>
      <c r="H16" s="19">
        <f t="shared" si="0"/>
        <v>0.63651425969199626</v>
      </c>
    </row>
    <row r="17" spans="1:8">
      <c r="A17" s="16">
        <v>9</v>
      </c>
      <c r="B17" s="65">
        <v>12.666666666666666</v>
      </c>
      <c r="C17" s="16">
        <v>2</v>
      </c>
      <c r="D17" s="74">
        <v>2.0579999999999998</v>
      </c>
      <c r="E17" s="74">
        <v>2.0459999999999998</v>
      </c>
      <c r="F17" s="74">
        <v>2.0529999999999999</v>
      </c>
      <c r="G17" s="16">
        <f t="shared" si="1"/>
        <v>46.585707259864556</v>
      </c>
      <c r="H17" s="19">
        <f t="shared" si="0"/>
        <v>0.13682246676521892</v>
      </c>
    </row>
    <row r="18" spans="1:8">
      <c r="A18" s="16">
        <v>10</v>
      </c>
      <c r="B18" s="65">
        <v>14</v>
      </c>
      <c r="C18" s="16">
        <v>2</v>
      </c>
      <c r="D18" s="74">
        <v>2.3140000000000001</v>
      </c>
      <c r="E18" s="74">
        <v>2.323</v>
      </c>
      <c r="F18" s="74">
        <v>2.3140000000000001</v>
      </c>
      <c r="G18" s="16">
        <f t="shared" ref="G18:G23" si="2">(C18*1000*AVERAGE(D18:F18))/$B$2</f>
        <v>52.593349222562708</v>
      </c>
      <c r="H18" s="19">
        <f t="shared" ref="H18:H24" si="3">(C18*1000*STDEV(D18:F18))/$B$2</f>
        <v>0.1179469395688701</v>
      </c>
    </row>
    <row r="19" spans="1:8">
      <c r="A19" s="16">
        <v>11</v>
      </c>
      <c r="B19" s="65">
        <v>15.333333333333334</v>
      </c>
      <c r="C19" s="16">
        <v>2</v>
      </c>
      <c r="D19" s="74">
        <v>2.3109999999999999</v>
      </c>
      <c r="E19" s="74">
        <v>2.3210000000000002</v>
      </c>
      <c r="F19" s="74">
        <v>2.254</v>
      </c>
      <c r="G19" s="16">
        <f t="shared" si="2"/>
        <v>52.101539741989171</v>
      </c>
      <c r="H19" s="19">
        <f t="shared" si="3"/>
        <v>0.82041161221327719</v>
      </c>
    </row>
    <row r="20" spans="1:8">
      <c r="A20" s="16">
        <v>12</v>
      </c>
      <c r="B20" s="65">
        <v>16.666666666666668</v>
      </c>
      <c r="C20" s="16">
        <v>2</v>
      </c>
      <c r="D20" s="74">
        <v>2.306</v>
      </c>
      <c r="E20" s="74">
        <v>2.3149999999999999</v>
      </c>
      <c r="F20" s="74">
        <v>2.33</v>
      </c>
      <c r="G20" s="16">
        <f t="shared" si="2"/>
        <v>52.593349222562708</v>
      </c>
      <c r="H20" s="19">
        <f t="shared" si="3"/>
        <v>0.27520952566070056</v>
      </c>
    </row>
    <row r="21" spans="1:8">
      <c r="A21" s="16">
        <v>13</v>
      </c>
      <c r="B21" s="65">
        <v>18</v>
      </c>
      <c r="C21" s="16">
        <v>2</v>
      </c>
      <c r="D21" s="74">
        <v>2.3290000000000002</v>
      </c>
      <c r="E21" s="74">
        <v>2.3010000000000002</v>
      </c>
      <c r="F21" s="74">
        <v>2.2839999999999998</v>
      </c>
      <c r="G21" s="16">
        <f t="shared" si="2"/>
        <v>52.313396133620863</v>
      </c>
      <c r="H21" s="19">
        <f t="shared" si="3"/>
        <v>0.51578638723275871</v>
      </c>
    </row>
    <row r="22" spans="1:8">
      <c r="A22" s="16">
        <v>14</v>
      </c>
      <c r="B22" s="65">
        <v>24</v>
      </c>
      <c r="C22" s="16">
        <v>2</v>
      </c>
      <c r="D22" s="74">
        <v>2.3559999999999999</v>
      </c>
      <c r="E22" s="74">
        <v>2.3719999999999999</v>
      </c>
      <c r="F22" s="74">
        <v>2.391</v>
      </c>
      <c r="G22" s="16">
        <f t="shared" si="2"/>
        <v>53.864487572352743</v>
      </c>
      <c r="H22" s="19">
        <f t="shared" si="3"/>
        <v>0.39771684185530137</v>
      </c>
    </row>
    <row r="23" spans="1:8">
      <c r="A23" s="16">
        <v>15</v>
      </c>
      <c r="B23" s="65">
        <v>30</v>
      </c>
      <c r="C23" s="16">
        <v>2</v>
      </c>
      <c r="D23" s="74">
        <v>2.3860000000000001</v>
      </c>
      <c r="E23" s="74">
        <v>2.403</v>
      </c>
      <c r="F23" s="74">
        <v>2.383</v>
      </c>
      <c r="G23" s="16">
        <f t="shared" si="2"/>
        <v>54.265501456512688</v>
      </c>
      <c r="H23" s="19">
        <f t="shared" si="3"/>
        <v>0.24482562989238321</v>
      </c>
    </row>
    <row r="24" spans="1:8">
      <c r="A24" s="16">
        <v>16</v>
      </c>
      <c r="B24" s="65">
        <v>48</v>
      </c>
      <c r="C24" s="16">
        <v>2</v>
      </c>
      <c r="D24" s="89">
        <v>2.4550000000000001</v>
      </c>
      <c r="E24" s="89">
        <v>2.4710000000000001</v>
      </c>
      <c r="F24" s="89">
        <v>2.4780000000000002</v>
      </c>
      <c r="G24" s="16">
        <f>(C24*1000*AVERAGE(D24:F24))/$B$2</f>
        <v>56.020882987175121</v>
      </c>
      <c r="H24" s="19">
        <f t="shared" si="3"/>
        <v>0.26761607360235279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41</v>
      </c>
      <c r="B2" s="17">
        <v>90.08</v>
      </c>
    </row>
    <row r="4" spans="1:8">
      <c r="A4" s="153" t="s">
        <v>41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2" t="s">
        <v>4</v>
      </c>
      <c r="B6" s="22" t="s">
        <v>59</v>
      </c>
      <c r="C6" s="22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2</v>
      </c>
      <c r="D7" s="42">
        <v>0.03</v>
      </c>
      <c r="E7" s="42">
        <v>2.9000000000000001E-2</v>
      </c>
      <c r="F7" s="42">
        <v>2.8000000000000001E-2</v>
      </c>
      <c r="G7" s="16">
        <f>(C7*1000*AVERAGE(D7:F7))/$B$2</f>
        <v>0.64387211367673169</v>
      </c>
      <c r="H7" s="19">
        <f>(C7*1000*STDEV(D7:F7))/$B$2</f>
        <v>2.2202486678507972E-2</v>
      </c>
    </row>
    <row r="8" spans="1:8">
      <c r="A8" s="16">
        <v>0</v>
      </c>
      <c r="B8" s="65">
        <v>0.16666666666666666</v>
      </c>
      <c r="C8" s="16">
        <v>2</v>
      </c>
      <c r="D8" s="42">
        <v>4.2000000000000003E-2</v>
      </c>
      <c r="E8" s="42">
        <v>4.1000000000000002E-2</v>
      </c>
      <c r="F8" s="42">
        <v>3.9E-2</v>
      </c>
      <c r="G8" s="16">
        <f t="shared" ref="G8:G17" si="0">(C8*1000*AVERAGE(D8:F8))/$B$2</f>
        <v>0.90290112492599173</v>
      </c>
      <c r="H8" s="19">
        <f t="shared" ref="H8:H17" si="1">(C8*1000*STDEV(D8:F8))/$B$2</f>
        <v>3.3914858606837212E-2</v>
      </c>
    </row>
    <row r="9" spans="1:8">
      <c r="A9" s="16">
        <v>1</v>
      </c>
      <c r="B9" s="65">
        <v>2</v>
      </c>
      <c r="C9" s="16">
        <v>2</v>
      </c>
      <c r="D9" s="42">
        <v>3.9E-2</v>
      </c>
      <c r="E9" s="42">
        <v>4.1000000000000002E-2</v>
      </c>
      <c r="F9" s="42">
        <v>0.04</v>
      </c>
      <c r="G9" s="16">
        <f t="shared" si="0"/>
        <v>0.88809946714031973</v>
      </c>
      <c r="H9" s="19">
        <f t="shared" si="1"/>
        <v>2.2202486678508014E-2</v>
      </c>
    </row>
    <row r="10" spans="1:8">
      <c r="A10" s="16">
        <v>2</v>
      </c>
      <c r="B10" s="65">
        <v>3.3333333333333335</v>
      </c>
      <c r="C10" s="16">
        <v>2</v>
      </c>
      <c r="D10" s="42">
        <v>3.9E-2</v>
      </c>
      <c r="E10" s="42">
        <v>3.9E-2</v>
      </c>
      <c r="F10" s="42">
        <v>0.04</v>
      </c>
      <c r="G10" s="16">
        <f t="shared" si="0"/>
        <v>0.87329780935464763</v>
      </c>
      <c r="H10" s="19">
        <f t="shared" si="1"/>
        <v>1.2818611660515681E-2</v>
      </c>
    </row>
    <row r="11" spans="1:8">
      <c r="A11" s="16">
        <v>3</v>
      </c>
      <c r="B11" s="65">
        <v>4.666666666666667</v>
      </c>
      <c r="C11" s="16">
        <v>2</v>
      </c>
      <c r="D11" s="42">
        <v>2.9000000000000001E-2</v>
      </c>
      <c r="E11" s="42">
        <v>2.9000000000000001E-2</v>
      </c>
      <c r="F11" s="42">
        <v>2.8000000000000001E-2</v>
      </c>
      <c r="G11" s="16">
        <f t="shared" si="0"/>
        <v>0.63647128478389592</v>
      </c>
      <c r="H11" s="19">
        <f t="shared" si="1"/>
        <v>1.2818611660515681E-2</v>
      </c>
    </row>
    <row r="12" spans="1:8">
      <c r="A12" s="16">
        <v>4</v>
      </c>
      <c r="B12" s="65">
        <v>6</v>
      </c>
      <c r="C12" s="16">
        <v>2</v>
      </c>
      <c r="D12" s="61">
        <v>3.2000000000000001E-2</v>
      </c>
      <c r="E12" s="61">
        <v>0.03</v>
      </c>
      <c r="F12" s="61">
        <v>3.2000000000000001E-2</v>
      </c>
      <c r="G12" s="16">
        <f t="shared" si="0"/>
        <v>0.69567791592658379</v>
      </c>
      <c r="H12" s="19">
        <f t="shared" si="1"/>
        <v>2.5637223321031358E-2</v>
      </c>
    </row>
    <row r="13" spans="1:8">
      <c r="A13" s="16">
        <v>5</v>
      </c>
      <c r="B13" s="65">
        <v>7.333333333333333</v>
      </c>
      <c r="C13" s="16">
        <v>2</v>
      </c>
      <c r="D13" s="61">
        <v>3.3000000000000002E-2</v>
      </c>
      <c r="E13" s="61">
        <v>3.2000000000000001E-2</v>
      </c>
      <c r="F13" s="61">
        <v>3.2000000000000001E-2</v>
      </c>
      <c r="G13" s="16">
        <f t="shared" si="0"/>
        <v>0.71788040260509167</v>
      </c>
      <c r="H13" s="19">
        <f t="shared" si="1"/>
        <v>1.2818611660515681E-2</v>
      </c>
    </row>
    <row r="14" spans="1:8">
      <c r="A14" s="16">
        <v>6</v>
      </c>
      <c r="B14" s="65">
        <v>8.6666666666666661</v>
      </c>
      <c r="C14" s="16">
        <v>2</v>
      </c>
      <c r="D14" s="61">
        <v>3.4000000000000002E-2</v>
      </c>
      <c r="E14" s="61">
        <v>3.5000000000000003E-2</v>
      </c>
      <c r="F14" s="61">
        <v>3.4000000000000002E-2</v>
      </c>
      <c r="G14" s="16">
        <f t="shared" si="0"/>
        <v>0.76228537596210777</v>
      </c>
      <c r="H14" s="19">
        <f t="shared" si="1"/>
        <v>1.2818611660515681E-2</v>
      </c>
    </row>
    <row r="15" spans="1:8">
      <c r="A15" s="16">
        <v>7</v>
      </c>
      <c r="B15" s="65">
        <v>10</v>
      </c>
      <c r="C15" s="16">
        <v>2</v>
      </c>
      <c r="D15" s="61">
        <v>3.4000000000000002E-2</v>
      </c>
      <c r="E15" s="61">
        <v>3.5999999999999997E-2</v>
      </c>
      <c r="F15" s="61">
        <v>3.5999999999999997E-2</v>
      </c>
      <c r="G15" s="16">
        <f t="shared" si="0"/>
        <v>0.78448786264061576</v>
      </c>
      <c r="H15" s="19">
        <f t="shared" si="1"/>
        <v>2.5637223321031275E-2</v>
      </c>
    </row>
    <row r="16" spans="1:8">
      <c r="A16" s="16">
        <v>8</v>
      </c>
      <c r="B16" s="65">
        <v>11.333333333333334</v>
      </c>
      <c r="C16" s="16">
        <v>2</v>
      </c>
      <c r="D16" s="61">
        <v>4.2999999999999997E-2</v>
      </c>
      <c r="E16" s="61">
        <v>4.1000000000000002E-2</v>
      </c>
      <c r="F16" s="61">
        <v>0.04</v>
      </c>
      <c r="G16" s="16">
        <f t="shared" si="0"/>
        <v>0.91770278271166372</v>
      </c>
      <c r="H16" s="19">
        <f t="shared" si="1"/>
        <v>3.3914858606837128E-2</v>
      </c>
    </row>
    <row r="17" spans="1:8">
      <c r="A17" s="16">
        <v>9</v>
      </c>
      <c r="B17" s="65">
        <v>12.666666666666666</v>
      </c>
      <c r="C17" s="16">
        <v>2</v>
      </c>
      <c r="D17" s="61">
        <v>8.5999999999999993E-2</v>
      </c>
      <c r="E17" s="61">
        <v>8.5000000000000006E-2</v>
      </c>
      <c r="F17" s="61">
        <v>8.5000000000000006E-2</v>
      </c>
      <c r="G17" s="16">
        <f t="shared" si="0"/>
        <v>1.8946121965660154</v>
      </c>
      <c r="H17" s="19">
        <f t="shared" si="1"/>
        <v>1.2818611660515504E-2</v>
      </c>
    </row>
    <row r="18" spans="1:8">
      <c r="A18" s="16">
        <v>10</v>
      </c>
      <c r="B18" s="65">
        <v>14</v>
      </c>
      <c r="C18" s="16">
        <v>2</v>
      </c>
      <c r="D18" s="42">
        <v>0.16</v>
      </c>
      <c r="E18" s="42">
        <v>0.161</v>
      </c>
      <c r="F18" s="42">
        <v>0.16</v>
      </c>
      <c r="G18" s="16">
        <f t="shared" ref="G18:G24" si="2">(C18*1000*AVERAGE(D18:F18))/$B$2</f>
        <v>3.5597986974541147</v>
      </c>
      <c r="H18" s="19">
        <f t="shared" ref="H18:H24" si="3">(C18*1000*STDEV(D18:F18))/$B$2</f>
        <v>1.2818611660515681E-2</v>
      </c>
    </row>
    <row r="19" spans="1:8">
      <c r="A19" s="16">
        <v>11</v>
      </c>
      <c r="B19" s="65">
        <v>15.333333333333334</v>
      </c>
      <c r="C19" s="16">
        <v>2</v>
      </c>
      <c r="D19" s="61">
        <v>0.159</v>
      </c>
      <c r="E19" s="61">
        <v>0.157</v>
      </c>
      <c r="F19" s="61">
        <v>0.154</v>
      </c>
      <c r="G19" s="16">
        <f t="shared" si="2"/>
        <v>3.4783895796329189</v>
      </c>
      <c r="H19" s="19">
        <f t="shared" si="3"/>
        <v>5.5875032824679961E-2</v>
      </c>
    </row>
    <row r="20" spans="1:8">
      <c r="A20" s="16">
        <v>12</v>
      </c>
      <c r="B20" s="65">
        <v>16.666666666666668</v>
      </c>
      <c r="C20" s="16">
        <v>2</v>
      </c>
      <c r="D20" s="61">
        <v>0.16300000000000001</v>
      </c>
      <c r="E20" s="61">
        <v>0.159</v>
      </c>
      <c r="F20" s="61">
        <v>0.16400000000000001</v>
      </c>
      <c r="G20" s="16">
        <f t="shared" si="2"/>
        <v>3.5968028419182949</v>
      </c>
      <c r="H20" s="19">
        <f t="shared" si="3"/>
        <v>5.874225823855668E-2</v>
      </c>
    </row>
    <row r="21" spans="1:8">
      <c r="A21" s="16">
        <v>13</v>
      </c>
      <c r="B21" s="65">
        <v>18</v>
      </c>
      <c r="C21" s="16">
        <v>2</v>
      </c>
      <c r="D21" s="61">
        <v>0.17499999999999999</v>
      </c>
      <c r="E21" s="61">
        <v>0.17</v>
      </c>
      <c r="F21" s="61">
        <v>0.17</v>
      </c>
      <c r="G21" s="16">
        <f t="shared" si="2"/>
        <v>3.8114268798105386</v>
      </c>
      <c r="H21" s="19">
        <f t="shared" si="3"/>
        <v>6.4093058302578054E-2</v>
      </c>
    </row>
    <row r="22" spans="1:8">
      <c r="A22" s="16">
        <v>14</v>
      </c>
      <c r="B22" s="65">
        <v>24</v>
      </c>
      <c r="C22" s="16">
        <v>2</v>
      </c>
      <c r="D22" s="61">
        <v>0.19700000000000001</v>
      </c>
      <c r="E22" s="61">
        <v>0.19700000000000001</v>
      </c>
      <c r="F22" s="61">
        <v>0.2</v>
      </c>
      <c r="G22" s="16">
        <f t="shared" si="2"/>
        <v>4.3960923623445831</v>
      </c>
      <c r="H22" s="19">
        <f t="shared" si="3"/>
        <v>3.8455834981547046E-2</v>
      </c>
    </row>
    <row r="23" spans="1:8">
      <c r="A23" s="16">
        <v>15</v>
      </c>
      <c r="B23" s="65">
        <v>30</v>
      </c>
      <c r="C23" s="16">
        <v>2</v>
      </c>
      <c r="D23" s="61">
        <v>0.20300000000000001</v>
      </c>
      <c r="E23" s="61">
        <v>0.20300000000000001</v>
      </c>
      <c r="F23" s="61">
        <v>0.20100000000000001</v>
      </c>
      <c r="G23" s="16">
        <f t="shared" si="2"/>
        <v>4.4923031379514509</v>
      </c>
      <c r="H23" s="19">
        <f t="shared" si="3"/>
        <v>2.5637223321031362E-2</v>
      </c>
    </row>
    <row r="24" spans="1:8">
      <c r="A24" s="16">
        <v>16</v>
      </c>
      <c r="B24" s="65">
        <v>48</v>
      </c>
      <c r="C24" s="16">
        <v>2</v>
      </c>
      <c r="D24" s="42">
        <v>0.20599999999999999</v>
      </c>
      <c r="E24" s="42">
        <v>0.20599999999999999</v>
      </c>
      <c r="F24" s="42">
        <v>0.20499999999999999</v>
      </c>
      <c r="G24" s="16">
        <f t="shared" si="2"/>
        <v>4.5663114268798104</v>
      </c>
      <c r="H24" s="19">
        <f t="shared" si="3"/>
        <v>1.2818611660515681E-2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7" sqref="B17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43</v>
      </c>
      <c r="B2" s="17">
        <v>46.07</v>
      </c>
    </row>
    <row r="4" spans="1:8">
      <c r="A4" s="153" t="s">
        <v>43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2" t="s">
        <v>4</v>
      </c>
      <c r="B6" s="22" t="s">
        <v>59</v>
      </c>
      <c r="C6" s="22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65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65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65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65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16">
        <v>5</v>
      </c>
      <c r="B13" s="65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16">
        <v>6</v>
      </c>
      <c r="B14" s="65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16">
        <v>7</v>
      </c>
      <c r="B15" s="65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16">
        <v>8</v>
      </c>
      <c r="B16" s="65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16">
        <v>9</v>
      </c>
      <c r="B17" s="65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16">
        <v>10</v>
      </c>
      <c r="B18" s="65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4" si="2">(C18*1000*AVERAGE(D18:F18))/$B$2</f>
        <v>0</v>
      </c>
      <c r="H18" s="19">
        <f t="shared" ref="H18:H24" si="3">(C18*1000*STDEV(D18:F18))/$B$2</f>
        <v>0</v>
      </c>
    </row>
    <row r="19" spans="1:8">
      <c r="A19" s="16">
        <v>11</v>
      </c>
      <c r="B19" s="65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16">
        <v>12</v>
      </c>
      <c r="B20" s="65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16">
        <v>13</v>
      </c>
      <c r="B21" s="65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16">
        <v>14</v>
      </c>
      <c r="B22" s="65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16">
        <v>15</v>
      </c>
      <c r="B23" s="65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16">
        <v>16</v>
      </c>
      <c r="B24" s="65">
        <v>48</v>
      </c>
      <c r="C24" s="16">
        <v>2</v>
      </c>
      <c r="D24" s="18">
        <v>0</v>
      </c>
      <c r="E24" s="18">
        <v>0</v>
      </c>
      <c r="F24" s="18">
        <v>0</v>
      </c>
      <c r="G24" s="16">
        <f t="shared" si="2"/>
        <v>0</v>
      </c>
      <c r="H24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9"/>
  <sheetViews>
    <sheetView workbookViewId="0">
      <selection activeCell="D18" sqref="D18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4">
      <c r="B1" s="30" t="s">
        <v>77</v>
      </c>
      <c r="C1" s="30" t="s">
        <v>78</v>
      </c>
    </row>
    <row r="2" spans="1:4">
      <c r="A2" s="30" t="s">
        <v>135</v>
      </c>
      <c r="B2" s="79">
        <f>Metabolites!H4-Metabolites!H20</f>
        <v>49.292453383576856</v>
      </c>
      <c r="C2" s="79">
        <f>Metabolites!I4+Metabolites!I20</f>
        <v>0.12875090069080325</v>
      </c>
      <c r="D2" s="79"/>
    </row>
    <row r="3" spans="1:4">
      <c r="A3" s="30" t="s">
        <v>110</v>
      </c>
      <c r="B3" s="79">
        <f>Metabolites!P4-Metabolites!P20</f>
        <v>18.999841949202271</v>
      </c>
      <c r="C3" s="79">
        <f>Metabolites!Q4+Metabolites!Q20</f>
        <v>0.38364926805704525</v>
      </c>
      <c r="D3" s="79"/>
    </row>
    <row r="4" spans="1:4">
      <c r="A4" s="30" t="s">
        <v>111</v>
      </c>
      <c r="B4" s="79">
        <f>Metabolites!T20-Metabolites!T4</f>
        <v>5.9522041054200816</v>
      </c>
      <c r="C4" s="79">
        <f>Metabolites!U4+Metabolites!U20</f>
        <v>9.4343915544180632E-2</v>
      </c>
      <c r="D4" s="79"/>
    </row>
    <row r="5" spans="1:4">
      <c r="A5" s="30" t="s">
        <v>112</v>
      </c>
      <c r="B5" s="79">
        <f>Metabolites!L20-Metabolites!L4</f>
        <v>3.8594890519911815</v>
      </c>
      <c r="C5" s="79">
        <f>Metabolites!M20+Metabolites!M4</f>
        <v>4.7307980169968837E-2</v>
      </c>
      <c r="D5" s="79"/>
    </row>
    <row r="6" spans="1:4">
      <c r="A6" s="30" t="s">
        <v>113</v>
      </c>
      <c r="B6" s="79">
        <f>Metabolites!L41-Metabolites!L25</f>
        <v>56.571213406530134</v>
      </c>
      <c r="C6" s="79">
        <f>Metabolites!M41+Metabolites!M25</f>
        <v>0.32457032083491871</v>
      </c>
      <c r="D6" s="79"/>
    </row>
    <row r="7" spans="1:4">
      <c r="A7" s="30" t="s">
        <v>79</v>
      </c>
      <c r="B7" s="79">
        <f>'H2'!G101</f>
        <v>75.666895339218812</v>
      </c>
      <c r="C7" s="79"/>
      <c r="D7" s="79"/>
    </row>
    <row r="8" spans="1:4">
      <c r="A8" s="30" t="s">
        <v>80</v>
      </c>
      <c r="B8" s="79">
        <f>'CO2'!G101</f>
        <v>59.300763952726577</v>
      </c>
      <c r="C8" s="79"/>
      <c r="D8" s="79"/>
    </row>
    <row r="9" spans="1:4">
      <c r="A9" s="30" t="s">
        <v>115</v>
      </c>
      <c r="B9" s="79">
        <f xml:space="preserve"> Calculation!G20*1.5/1000</f>
        <v>6.9000000000000006E-2</v>
      </c>
      <c r="C9" s="79"/>
      <c r="D9" s="79"/>
    </row>
    <row r="10" spans="1:4" ht="16">
      <c r="A10" s="30" t="s">
        <v>116</v>
      </c>
      <c r="B10" s="79">
        <f>Calculation!H20*1.5/1000</f>
        <v>6.0000000000000001E-3</v>
      </c>
      <c r="C10" s="79"/>
      <c r="D10" s="79"/>
    </row>
    <row r="12" spans="1:4">
      <c r="A12" s="30" t="s">
        <v>81</v>
      </c>
      <c r="B12" s="81">
        <f>((4*$B$6)+(3*$B$5)+($B$4)+(B8))/((6*$B$2)+(2*$B$3))</f>
        <v>0.90820161479793515</v>
      </c>
    </row>
    <row r="13" spans="1:4">
      <c r="A13" s="30" t="s">
        <v>114</v>
      </c>
    </row>
    <row r="15" spans="1:4">
      <c r="C15" t="s">
        <v>126</v>
      </c>
      <c r="D15" t="s">
        <v>127</v>
      </c>
    </row>
    <row r="16" spans="1:4">
      <c r="A16" t="s">
        <v>164</v>
      </c>
      <c r="B16" t="s">
        <v>118</v>
      </c>
      <c r="C16" s="31">
        <f>B2</f>
        <v>49.292453383576856</v>
      </c>
      <c r="D16" s="31">
        <f>B2</f>
        <v>49.292453383576856</v>
      </c>
    </row>
    <row r="17" spans="1:4">
      <c r="A17" t="s">
        <v>165</v>
      </c>
      <c r="B17" t="s">
        <v>119</v>
      </c>
      <c r="C17" s="79">
        <f>2*C16</f>
        <v>98.584906767153711</v>
      </c>
      <c r="D17" s="79">
        <f>2*B2</f>
        <v>98.584906767153711</v>
      </c>
    </row>
    <row r="18" spans="1:4">
      <c r="A18" t="s">
        <v>166</v>
      </c>
      <c r="B18" t="s">
        <v>120</v>
      </c>
      <c r="C18" s="79">
        <f>B5</f>
        <v>3.8594890519911815</v>
      </c>
      <c r="D18" s="79">
        <f>B5</f>
        <v>3.8594890519911815</v>
      </c>
    </row>
    <row r="19" spans="1:4">
      <c r="A19" t="s">
        <v>167</v>
      </c>
      <c r="B19" t="s">
        <v>129</v>
      </c>
      <c r="C19" s="79">
        <f>B4</f>
        <v>5.9522041054200816</v>
      </c>
      <c r="D19" s="79">
        <f>B4</f>
        <v>5.9522041054200816</v>
      </c>
    </row>
    <row r="20" spans="1:4">
      <c r="A20" t="s">
        <v>168</v>
      </c>
      <c r="B20" t="s">
        <v>121</v>
      </c>
      <c r="C20" s="84">
        <f>C17-C18</f>
        <v>94.725417715162536</v>
      </c>
      <c r="D20" s="84">
        <f>B8</f>
        <v>59.300763952726577</v>
      </c>
    </row>
    <row r="21" spans="1:4">
      <c r="A21" t="s">
        <v>169</v>
      </c>
      <c r="B21" s="82" t="s">
        <v>130</v>
      </c>
      <c r="C21" s="83">
        <f>C20-C19</f>
        <v>88.773213609742456</v>
      </c>
      <c r="D21" s="80">
        <f>B8</f>
        <v>59.300763952726577</v>
      </c>
    </row>
    <row r="22" spans="1:4">
      <c r="A22" t="s">
        <v>170</v>
      </c>
      <c r="B22" t="s">
        <v>122</v>
      </c>
      <c r="C22" s="79">
        <f>B3</f>
        <v>18.999841949202271</v>
      </c>
      <c r="D22" s="79">
        <f>B3</f>
        <v>18.999841949202271</v>
      </c>
    </row>
    <row r="23" spans="1:4">
      <c r="A23" t="s">
        <v>171</v>
      </c>
      <c r="B23" t="s">
        <v>138</v>
      </c>
      <c r="C23" s="79">
        <f>C20+C22</f>
        <v>113.72525966436481</v>
      </c>
      <c r="D23" s="79"/>
    </row>
    <row r="24" spans="1:4">
      <c r="A24" t="s">
        <v>172</v>
      </c>
      <c r="B24" t="s">
        <v>123</v>
      </c>
      <c r="C24" s="83">
        <f>C23/2</f>
        <v>56.862629832182407</v>
      </c>
      <c r="D24" s="83">
        <f>B6</f>
        <v>56.571213406530134</v>
      </c>
    </row>
    <row r="25" spans="1:4">
      <c r="A25" t="s">
        <v>143</v>
      </c>
      <c r="B25" t="s">
        <v>128</v>
      </c>
      <c r="C25" s="79">
        <f>C20-C22</f>
        <v>75.725575765960258</v>
      </c>
      <c r="D25" s="79">
        <f>B7</f>
        <v>75.666895339218812</v>
      </c>
    </row>
    <row r="26" spans="1:4">
      <c r="A26" t="s">
        <v>173</v>
      </c>
      <c r="B26" t="s">
        <v>137</v>
      </c>
      <c r="C26" s="83">
        <f>C25-C19</f>
        <v>69.773371660540178</v>
      </c>
      <c r="D26" s="83">
        <f>D25+F25</f>
        <v>75.666895339218812</v>
      </c>
    </row>
    <row r="28" spans="1:4">
      <c r="A28" t="s">
        <v>124</v>
      </c>
    </row>
    <row r="29" spans="1:4">
      <c r="A29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B1" workbookViewId="0">
      <selection activeCell="K3" sqref="K3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128" t="s">
        <v>4</v>
      </c>
      <c r="B1" s="128" t="s">
        <v>104</v>
      </c>
      <c r="C1" s="128" t="s">
        <v>104</v>
      </c>
      <c r="D1" s="128" t="s">
        <v>5</v>
      </c>
      <c r="E1" s="4" t="s">
        <v>7</v>
      </c>
      <c r="F1" s="4" t="s">
        <v>9</v>
      </c>
      <c r="G1" s="124" t="s">
        <v>11</v>
      </c>
      <c r="H1" s="124" t="s">
        <v>12</v>
      </c>
      <c r="I1" s="4" t="s">
        <v>13</v>
      </c>
      <c r="J1" s="4" t="s">
        <v>16</v>
      </c>
      <c r="K1" s="4" t="s">
        <v>16</v>
      </c>
    </row>
    <row r="2" spans="1:11">
      <c r="A2" s="129"/>
      <c r="B2" s="129"/>
      <c r="C2" s="129"/>
      <c r="D2" s="129"/>
      <c r="E2" s="5" t="s">
        <v>8</v>
      </c>
      <c r="F2" s="5" t="s">
        <v>10</v>
      </c>
      <c r="G2" s="124"/>
      <c r="H2" s="124"/>
      <c r="I2" s="5" t="s">
        <v>14</v>
      </c>
      <c r="J2" s="5" t="s">
        <v>17</v>
      </c>
      <c r="K2" s="5" t="s">
        <v>139</v>
      </c>
    </row>
    <row r="3" spans="1:11">
      <c r="A3" s="33" t="s">
        <v>6</v>
      </c>
      <c r="B3" s="52">
        <v>-10</v>
      </c>
      <c r="C3" s="53">
        <v>-10</v>
      </c>
      <c r="D3" s="65">
        <f>C3/60</f>
        <v>-0.16666666666666666</v>
      </c>
      <c r="E3" s="3">
        <v>61</v>
      </c>
      <c r="F3" s="1">
        <f>E3</f>
        <v>61</v>
      </c>
      <c r="G3" s="1">
        <v>0</v>
      </c>
      <c r="H3" s="1">
        <v>0</v>
      </c>
      <c r="I3" s="1">
        <f>F22+G3+H3</f>
        <v>1500</v>
      </c>
      <c r="J3" s="13">
        <f>F3*1500/I3</f>
        <v>61</v>
      </c>
      <c r="K3" s="13">
        <f>F23-J3</f>
        <v>1514</v>
      </c>
    </row>
    <row r="4" spans="1:11">
      <c r="A4" s="1">
        <v>0</v>
      </c>
      <c r="B4" s="54">
        <v>10</v>
      </c>
      <c r="C4" s="55">
        <v>10</v>
      </c>
      <c r="D4" s="65">
        <f t="shared" ref="D4:D19" si="0">C4/60</f>
        <v>0.16666666666666666</v>
      </c>
      <c r="E4" s="1">
        <v>49</v>
      </c>
      <c r="F4" s="1">
        <f>E4+F3</f>
        <v>110</v>
      </c>
      <c r="G4" s="1">
        <v>1</v>
      </c>
      <c r="H4" s="40">
        <v>0</v>
      </c>
      <c r="I4" s="1">
        <f t="shared" ref="I4:I19" si="1">$F$23-F3+G4+H4</f>
        <v>1515</v>
      </c>
      <c r="J4" s="13">
        <f>E4*K3/I4</f>
        <v>48.967656765676566</v>
      </c>
      <c r="K4" s="13">
        <f>K3-J4</f>
        <v>1465.0323432343234</v>
      </c>
    </row>
    <row r="5" spans="1:11">
      <c r="A5" s="1">
        <v>1</v>
      </c>
      <c r="B5" s="54">
        <v>110</v>
      </c>
      <c r="C5" s="55">
        <f>C4+B5</f>
        <v>120</v>
      </c>
      <c r="D5" s="65">
        <f t="shared" si="0"/>
        <v>2</v>
      </c>
      <c r="E5" s="1">
        <v>65</v>
      </c>
      <c r="F5" s="40">
        <f t="shared" ref="F5:F18" si="2">E5+F4</f>
        <v>175</v>
      </c>
      <c r="G5" s="40">
        <v>3</v>
      </c>
      <c r="H5" s="40">
        <v>0</v>
      </c>
      <c r="I5" s="40">
        <f t="shared" si="1"/>
        <v>1468</v>
      </c>
      <c r="J5" s="13">
        <f>E5*K4/I5</f>
        <v>64.868598303972092</v>
      </c>
      <c r="K5" s="13">
        <f>K4-J5</f>
        <v>1400.1637449303514</v>
      </c>
    </row>
    <row r="6" spans="1:11">
      <c r="A6" s="1">
        <v>2</v>
      </c>
      <c r="B6" s="54">
        <v>80</v>
      </c>
      <c r="C6" s="55">
        <f t="shared" ref="C6:C18" si="3">C5+B6</f>
        <v>200</v>
      </c>
      <c r="D6" s="65">
        <f t="shared" si="0"/>
        <v>3.3333333333333335</v>
      </c>
      <c r="E6" s="1">
        <v>54</v>
      </c>
      <c r="F6" s="40">
        <f t="shared" si="2"/>
        <v>229</v>
      </c>
      <c r="G6" s="40">
        <v>5</v>
      </c>
      <c r="H6" s="40">
        <v>0</v>
      </c>
      <c r="I6" s="40">
        <f t="shared" si="1"/>
        <v>1405</v>
      </c>
      <c r="J6" s="13">
        <f t="shared" ref="J6:J19" si="4">E6*K5/I6</f>
        <v>53.814122580953011</v>
      </c>
      <c r="K6" s="13">
        <f>K5-J6</f>
        <v>1346.3496223493985</v>
      </c>
    </row>
    <row r="7" spans="1:11">
      <c r="A7" s="1">
        <v>3</v>
      </c>
      <c r="B7" s="54">
        <v>80</v>
      </c>
      <c r="C7" s="55">
        <f>C6+B7</f>
        <v>280</v>
      </c>
      <c r="D7" s="65">
        <f t="shared" si="0"/>
        <v>4.666666666666667</v>
      </c>
      <c r="E7" s="1">
        <v>52</v>
      </c>
      <c r="F7" s="40">
        <f t="shared" si="2"/>
        <v>281</v>
      </c>
      <c r="G7" s="40">
        <v>9</v>
      </c>
      <c r="H7" s="40">
        <v>0</v>
      </c>
      <c r="I7" s="40">
        <f t="shared" si="1"/>
        <v>1355</v>
      </c>
      <c r="J7" s="13">
        <f t="shared" si="4"/>
        <v>51.668029787578398</v>
      </c>
      <c r="K7" s="13">
        <f t="shared" ref="K7:K19" si="5">K6-J7</f>
        <v>1294.68159256182</v>
      </c>
    </row>
    <row r="8" spans="1:11">
      <c r="A8" s="1">
        <v>4</v>
      </c>
      <c r="B8" s="54">
        <v>80</v>
      </c>
      <c r="C8" s="55">
        <f t="shared" si="3"/>
        <v>360</v>
      </c>
      <c r="D8" s="65">
        <f t="shared" si="0"/>
        <v>6</v>
      </c>
      <c r="E8" s="1">
        <v>43</v>
      </c>
      <c r="F8" s="40">
        <f t="shared" si="2"/>
        <v>324</v>
      </c>
      <c r="G8" s="40">
        <v>14</v>
      </c>
      <c r="H8" s="40">
        <v>0</v>
      </c>
      <c r="I8" s="40">
        <f t="shared" si="1"/>
        <v>1308</v>
      </c>
      <c r="J8" s="13">
        <f t="shared" si="4"/>
        <v>42.562162446604177</v>
      </c>
      <c r="K8" s="13">
        <f t="shared" si="5"/>
        <v>1252.1194301152159</v>
      </c>
    </row>
    <row r="9" spans="1:11">
      <c r="A9" s="1">
        <v>5</v>
      </c>
      <c r="B9" s="54">
        <v>80</v>
      </c>
      <c r="C9" s="55">
        <f t="shared" si="3"/>
        <v>440</v>
      </c>
      <c r="D9" s="65">
        <f t="shared" si="0"/>
        <v>7.333333333333333</v>
      </c>
      <c r="E9" s="1">
        <v>49</v>
      </c>
      <c r="F9" s="40">
        <f>E9+F8</f>
        <v>373</v>
      </c>
      <c r="G9" s="40">
        <v>19</v>
      </c>
      <c r="H9" s="40">
        <v>0</v>
      </c>
      <c r="I9" s="40">
        <f t="shared" si="1"/>
        <v>1270</v>
      </c>
      <c r="J9" s="13">
        <f t="shared" si="4"/>
        <v>48.310119744602815</v>
      </c>
      <c r="K9" s="13">
        <f>K8-J9</f>
        <v>1203.809310370613</v>
      </c>
    </row>
    <row r="10" spans="1:11">
      <c r="A10" s="1">
        <v>6</v>
      </c>
      <c r="B10" s="54">
        <v>80</v>
      </c>
      <c r="C10" s="55">
        <f t="shared" si="3"/>
        <v>520</v>
      </c>
      <c r="D10" s="65">
        <f t="shared" si="0"/>
        <v>8.6666666666666661</v>
      </c>
      <c r="E10" s="1">
        <v>52</v>
      </c>
      <c r="F10" s="40">
        <f t="shared" si="2"/>
        <v>425</v>
      </c>
      <c r="G10" s="40">
        <v>24</v>
      </c>
      <c r="H10" s="40">
        <v>0</v>
      </c>
      <c r="I10" s="40">
        <f t="shared" si="1"/>
        <v>1226</v>
      </c>
      <c r="J10" s="13">
        <f t="shared" si="4"/>
        <v>51.058796198427309</v>
      </c>
      <c r="K10" s="13">
        <f>K9-J10</f>
        <v>1152.7505141721858</v>
      </c>
    </row>
    <row r="11" spans="1:11">
      <c r="A11" s="1">
        <v>7</v>
      </c>
      <c r="B11" s="54">
        <v>80</v>
      </c>
      <c r="C11" s="55">
        <f t="shared" si="3"/>
        <v>600</v>
      </c>
      <c r="D11" s="65">
        <f t="shared" si="0"/>
        <v>10</v>
      </c>
      <c r="E11" s="1">
        <v>50</v>
      </c>
      <c r="F11" s="40">
        <f t="shared" si="2"/>
        <v>475</v>
      </c>
      <c r="G11" s="40">
        <v>30</v>
      </c>
      <c r="H11" s="40">
        <v>0</v>
      </c>
      <c r="I11" s="40">
        <f t="shared" si="1"/>
        <v>1180</v>
      </c>
      <c r="J11" s="13">
        <f>E11*K10/I11</f>
        <v>48.845360770007872</v>
      </c>
      <c r="K11" s="13">
        <f t="shared" si="5"/>
        <v>1103.905153402178</v>
      </c>
    </row>
    <row r="12" spans="1:11">
      <c r="A12" s="1">
        <v>8</v>
      </c>
      <c r="B12" s="54">
        <v>80</v>
      </c>
      <c r="C12" s="55">
        <f t="shared" si="3"/>
        <v>680</v>
      </c>
      <c r="D12" s="65">
        <f t="shared" si="0"/>
        <v>11.333333333333334</v>
      </c>
      <c r="E12" s="1">
        <v>43</v>
      </c>
      <c r="F12" s="40">
        <f t="shared" si="2"/>
        <v>518</v>
      </c>
      <c r="G12" s="40">
        <v>35</v>
      </c>
      <c r="H12" s="40">
        <v>0</v>
      </c>
      <c r="I12" s="40">
        <f t="shared" si="1"/>
        <v>1135</v>
      </c>
      <c r="J12" s="13">
        <f>E12*K11/I12</f>
        <v>41.821957353562695</v>
      </c>
      <c r="K12" s="13">
        <f t="shared" si="5"/>
        <v>1062.0831960486153</v>
      </c>
    </row>
    <row r="13" spans="1:11">
      <c r="A13" s="1">
        <v>9</v>
      </c>
      <c r="B13" s="54">
        <v>80</v>
      </c>
      <c r="C13" s="55">
        <f t="shared" si="3"/>
        <v>760</v>
      </c>
      <c r="D13" s="65">
        <f t="shared" si="0"/>
        <v>12.666666666666666</v>
      </c>
      <c r="E13" s="3">
        <v>54</v>
      </c>
      <c r="F13" s="40">
        <f t="shared" si="2"/>
        <v>572</v>
      </c>
      <c r="G13" s="40">
        <v>40</v>
      </c>
      <c r="H13" s="40">
        <v>0</v>
      </c>
      <c r="I13" s="40">
        <f t="shared" si="1"/>
        <v>1097</v>
      </c>
      <c r="J13" s="13">
        <f>E13*K12/I13</f>
        <v>52.28121475535572</v>
      </c>
      <c r="K13" s="13">
        <f t="shared" si="5"/>
        <v>1009.8019812932596</v>
      </c>
    </row>
    <row r="14" spans="1:11">
      <c r="A14" s="37">
        <v>10</v>
      </c>
      <c r="B14" s="54">
        <v>80</v>
      </c>
      <c r="C14" s="55">
        <f t="shared" si="3"/>
        <v>840</v>
      </c>
      <c r="D14" s="65">
        <f t="shared" si="0"/>
        <v>14</v>
      </c>
      <c r="E14" s="37">
        <v>47</v>
      </c>
      <c r="F14" s="40">
        <f t="shared" si="2"/>
        <v>619</v>
      </c>
      <c r="G14" s="40">
        <v>46</v>
      </c>
      <c r="H14" s="40">
        <v>0</v>
      </c>
      <c r="I14" s="40">
        <f t="shared" si="1"/>
        <v>1049</v>
      </c>
      <c r="J14" s="13">
        <f t="shared" si="4"/>
        <v>45.243749400174643</v>
      </c>
      <c r="K14" s="13">
        <f t="shared" si="5"/>
        <v>964.55823189308489</v>
      </c>
    </row>
    <row r="15" spans="1:11">
      <c r="A15" s="37">
        <v>11</v>
      </c>
      <c r="B15" s="54">
        <v>80</v>
      </c>
      <c r="C15" s="55">
        <f t="shared" si="3"/>
        <v>920</v>
      </c>
      <c r="D15" s="65">
        <f t="shared" si="0"/>
        <v>15.333333333333334</v>
      </c>
      <c r="E15" s="37">
        <v>49</v>
      </c>
      <c r="F15" s="40">
        <f t="shared" si="2"/>
        <v>668</v>
      </c>
      <c r="G15" s="40">
        <v>46</v>
      </c>
      <c r="H15" s="40">
        <v>2</v>
      </c>
      <c r="I15" s="40">
        <f t="shared" si="1"/>
        <v>1004</v>
      </c>
      <c r="J15" s="13">
        <f t="shared" si="4"/>
        <v>47.075053150160521</v>
      </c>
      <c r="K15" s="13">
        <f t="shared" si="5"/>
        <v>917.48317874292434</v>
      </c>
    </row>
    <row r="16" spans="1:11">
      <c r="A16" s="37">
        <v>12</v>
      </c>
      <c r="B16" s="54">
        <v>80</v>
      </c>
      <c r="C16" s="55">
        <f t="shared" si="3"/>
        <v>1000</v>
      </c>
      <c r="D16" s="65">
        <f t="shared" si="0"/>
        <v>16.666666666666668</v>
      </c>
      <c r="E16" s="37">
        <v>54</v>
      </c>
      <c r="F16" s="40">
        <f t="shared" si="2"/>
        <v>722</v>
      </c>
      <c r="G16" s="40">
        <v>46</v>
      </c>
      <c r="H16" s="40">
        <v>4</v>
      </c>
      <c r="I16" s="40">
        <f t="shared" si="1"/>
        <v>957</v>
      </c>
      <c r="J16" s="13">
        <f t="shared" si="4"/>
        <v>51.770210712766897</v>
      </c>
      <c r="K16" s="13">
        <f t="shared" si="5"/>
        <v>865.71296803015741</v>
      </c>
    </row>
    <row r="17" spans="1:11">
      <c r="A17" s="37">
        <v>13</v>
      </c>
      <c r="B17" s="54">
        <v>80</v>
      </c>
      <c r="C17" s="55">
        <f t="shared" si="3"/>
        <v>1080</v>
      </c>
      <c r="D17" s="65">
        <f t="shared" si="0"/>
        <v>18</v>
      </c>
      <c r="E17" s="37">
        <v>49</v>
      </c>
      <c r="F17" s="40">
        <f t="shared" si="2"/>
        <v>771</v>
      </c>
      <c r="G17" s="40">
        <v>46</v>
      </c>
      <c r="H17" s="40">
        <v>4</v>
      </c>
      <c r="I17" s="40">
        <f t="shared" si="1"/>
        <v>903</v>
      </c>
      <c r="J17" s="13">
        <f t="shared" si="4"/>
        <v>46.976672683806996</v>
      </c>
      <c r="K17" s="13">
        <f t="shared" si="5"/>
        <v>818.7362953463504</v>
      </c>
    </row>
    <row r="18" spans="1:11">
      <c r="A18" s="37">
        <v>14</v>
      </c>
      <c r="B18" s="54">
        <v>360</v>
      </c>
      <c r="C18" s="55">
        <f t="shared" si="3"/>
        <v>1440</v>
      </c>
      <c r="D18" s="65">
        <f t="shared" si="0"/>
        <v>24</v>
      </c>
      <c r="E18" s="2">
        <v>54</v>
      </c>
      <c r="F18" s="40">
        <f t="shared" si="2"/>
        <v>825</v>
      </c>
      <c r="G18" s="40">
        <v>46</v>
      </c>
      <c r="H18" s="40">
        <v>4</v>
      </c>
      <c r="I18" s="40">
        <f t="shared" si="1"/>
        <v>854</v>
      </c>
      <c r="J18" s="13">
        <f t="shared" si="4"/>
        <v>51.77021071276689</v>
      </c>
      <c r="K18" s="13">
        <f>K17-J18</f>
        <v>766.96608463358348</v>
      </c>
    </row>
    <row r="19" spans="1:11">
      <c r="A19" s="37">
        <v>15</v>
      </c>
      <c r="B19" s="54">
        <v>360</v>
      </c>
      <c r="C19" s="55">
        <f>C18+B19</f>
        <v>1800</v>
      </c>
      <c r="D19" s="65">
        <f t="shared" si="0"/>
        <v>30</v>
      </c>
      <c r="E19" s="37">
        <v>49</v>
      </c>
      <c r="F19" s="40">
        <f>E19+F18</f>
        <v>874</v>
      </c>
      <c r="G19" s="40">
        <v>46</v>
      </c>
      <c r="H19" s="40">
        <v>4</v>
      </c>
      <c r="I19" s="40">
        <f t="shared" si="1"/>
        <v>800</v>
      </c>
      <c r="J19" s="13">
        <f t="shared" si="4"/>
        <v>46.976672683806989</v>
      </c>
      <c r="K19" s="13">
        <f t="shared" si="5"/>
        <v>719.98941194977647</v>
      </c>
    </row>
    <row r="20" spans="1:11">
      <c r="A20" s="40">
        <v>16</v>
      </c>
      <c r="B20" s="54">
        <v>1080</v>
      </c>
      <c r="C20" s="55">
        <f>C19+B20</f>
        <v>2880</v>
      </c>
      <c r="D20" s="65">
        <f t="shared" ref="D20" si="6">C20/60</f>
        <v>48</v>
      </c>
      <c r="E20" s="40">
        <v>45</v>
      </c>
      <c r="F20" s="40">
        <f>E20+F19</f>
        <v>919</v>
      </c>
      <c r="G20" s="40">
        <v>46</v>
      </c>
      <c r="H20" s="40">
        <v>4</v>
      </c>
      <c r="I20" s="40">
        <f t="shared" ref="I20" si="7">$F$23-F19+G20+H20</f>
        <v>751</v>
      </c>
      <c r="J20" s="13">
        <f>E20*K19/I20</f>
        <v>43.141842260639066</v>
      </c>
      <c r="K20" s="13">
        <f>K19-J20</f>
        <v>676.84756968913734</v>
      </c>
    </row>
    <row r="22" spans="1:11">
      <c r="A22" s="121" t="s">
        <v>15</v>
      </c>
      <c r="B22" s="122"/>
      <c r="C22" s="122"/>
      <c r="D22" s="122"/>
      <c r="E22" s="123"/>
      <c r="F22" s="1">
        <v>1500</v>
      </c>
    </row>
    <row r="23" spans="1:11">
      <c r="A23" s="125" t="s">
        <v>140</v>
      </c>
      <c r="B23" s="126"/>
      <c r="C23" s="126"/>
      <c r="D23" s="126"/>
      <c r="E23" s="127"/>
      <c r="F23" s="53">
        <v>1575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D5" sqref="D5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28" t="s">
        <v>4</v>
      </c>
      <c r="B1" s="128" t="s">
        <v>104</v>
      </c>
      <c r="C1" s="128" t="s">
        <v>104</v>
      </c>
      <c r="D1" s="128" t="s">
        <v>5</v>
      </c>
      <c r="E1" s="133" t="s">
        <v>18</v>
      </c>
      <c r="F1" s="133"/>
      <c r="G1" s="133"/>
      <c r="H1" s="133"/>
      <c r="I1" s="133" t="s">
        <v>20</v>
      </c>
      <c r="J1" s="133"/>
      <c r="K1" s="133"/>
      <c r="L1" s="133"/>
      <c r="M1" s="133" t="s">
        <v>21</v>
      </c>
      <c r="N1" s="133"/>
      <c r="O1" s="133"/>
      <c r="P1" s="133"/>
      <c r="Q1" s="38" t="s">
        <v>22</v>
      </c>
      <c r="R1" s="38" t="s">
        <v>22</v>
      </c>
      <c r="S1" s="38" t="s">
        <v>22</v>
      </c>
    </row>
    <row r="2" spans="1:19">
      <c r="A2" s="129"/>
      <c r="B2" s="129"/>
      <c r="C2" s="129"/>
      <c r="D2" s="129"/>
      <c r="E2" s="41" t="s">
        <v>19</v>
      </c>
      <c r="F2" s="41" t="s">
        <v>67</v>
      </c>
      <c r="G2" s="41" t="s">
        <v>105</v>
      </c>
      <c r="H2" s="41" t="s">
        <v>69</v>
      </c>
      <c r="I2" s="41" t="s">
        <v>19</v>
      </c>
      <c r="J2" s="41" t="s">
        <v>67</v>
      </c>
      <c r="K2" s="41" t="s">
        <v>68</v>
      </c>
      <c r="L2" s="41" t="s">
        <v>69</v>
      </c>
      <c r="M2" s="41" t="s">
        <v>19</v>
      </c>
      <c r="N2" s="41" t="s">
        <v>67</v>
      </c>
      <c r="O2" s="41" t="s">
        <v>68</v>
      </c>
      <c r="P2" s="41" t="s">
        <v>70</v>
      </c>
      <c r="Q2" s="39" t="s">
        <v>69</v>
      </c>
      <c r="R2" s="39" t="s">
        <v>23</v>
      </c>
      <c r="S2" s="39" t="s">
        <v>71</v>
      </c>
    </row>
    <row r="3" spans="1:19" s="6" customFormat="1">
      <c r="A3" s="40" t="s">
        <v>6</v>
      </c>
      <c r="B3" s="52">
        <v>-10</v>
      </c>
      <c r="C3" s="53">
        <v>-10</v>
      </c>
      <c r="D3" s="65">
        <f>C3/60</f>
        <v>-0.16666666666666666</v>
      </c>
      <c r="Q3" s="130"/>
      <c r="R3" s="131"/>
      <c r="S3" s="132"/>
    </row>
    <row r="4" spans="1:19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40">
        <v>1</v>
      </c>
      <c r="B5" s="54">
        <v>110</v>
      </c>
      <c r="C5" s="55">
        <f>C4+B5</f>
        <v>120</v>
      </c>
      <c r="D5" s="65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40">
        <v>2</v>
      </c>
      <c r="B6" s="54">
        <v>80</v>
      </c>
      <c r="C6" s="55">
        <f t="shared" ref="C6:C18" si="2">C5+B6</f>
        <v>200</v>
      </c>
      <c r="D6" s="65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40">
        <v>4</v>
      </c>
      <c r="B8" s="54">
        <v>80</v>
      </c>
      <c r="C8" s="55">
        <f t="shared" si="2"/>
        <v>360</v>
      </c>
      <c r="D8" s="65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40">
        <v>5</v>
      </c>
      <c r="B9" s="54">
        <v>80</v>
      </c>
      <c r="C9" s="55">
        <f t="shared" si="2"/>
        <v>440</v>
      </c>
      <c r="D9" s="65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40">
        <v>6</v>
      </c>
      <c r="B10" s="54">
        <v>80</v>
      </c>
      <c r="C10" s="55">
        <f t="shared" si="2"/>
        <v>520</v>
      </c>
      <c r="D10" s="65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40">
        <v>7</v>
      </c>
      <c r="B11" s="54">
        <v>80</v>
      </c>
      <c r="C11" s="55">
        <f t="shared" si="2"/>
        <v>600</v>
      </c>
      <c r="D11" s="65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40">
        <v>8</v>
      </c>
      <c r="B12" s="54">
        <v>80</v>
      </c>
      <c r="C12" s="55">
        <f t="shared" si="2"/>
        <v>680</v>
      </c>
      <c r="D12" s="65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40">
        <v>9</v>
      </c>
      <c r="B13" s="54">
        <v>80</v>
      </c>
      <c r="C13" s="55">
        <f t="shared" si="2"/>
        <v>760</v>
      </c>
      <c r="D13" s="65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40">
        <v>10</v>
      </c>
      <c r="B14" s="54">
        <v>80</v>
      </c>
      <c r="C14" s="55">
        <f t="shared" si="2"/>
        <v>840</v>
      </c>
      <c r="D14" s="65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40">
        <v>11</v>
      </c>
      <c r="B15" s="54">
        <v>80</v>
      </c>
      <c r="C15" s="55">
        <f t="shared" si="2"/>
        <v>920</v>
      </c>
      <c r="D15" s="65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40">
        <v>12</v>
      </c>
      <c r="B16" s="54">
        <v>80</v>
      </c>
      <c r="C16" s="55">
        <f t="shared" si="2"/>
        <v>1000</v>
      </c>
      <c r="D16" s="65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40">
        <v>13</v>
      </c>
      <c r="B17" s="54">
        <v>80</v>
      </c>
      <c r="C17" s="55">
        <f t="shared" si="2"/>
        <v>1080</v>
      </c>
      <c r="D17" s="65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40">
        <v>14</v>
      </c>
      <c r="B18" s="54">
        <v>360</v>
      </c>
      <c r="C18" s="55">
        <f t="shared" si="2"/>
        <v>1440</v>
      </c>
      <c r="D18" s="65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40">
        <v>15</v>
      </c>
      <c r="B19" s="54">
        <v>360</v>
      </c>
      <c r="C19" s="55">
        <f>C18+B19</f>
        <v>1800</v>
      </c>
      <c r="D19" s="65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40">
        <v>16</v>
      </c>
      <c r="B20" s="54">
        <v>1080</v>
      </c>
      <c r="C20" s="55">
        <f>C19+B20</f>
        <v>2880</v>
      </c>
      <c r="D20" s="65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5"/>
  <sheetViews>
    <sheetView workbookViewId="0">
      <selection activeCell="H5" sqref="H5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128" t="s">
        <v>4</v>
      </c>
      <c r="B1" s="128" t="s">
        <v>104</v>
      </c>
      <c r="C1" s="128" t="s">
        <v>104</v>
      </c>
      <c r="D1" s="128" t="s">
        <v>5</v>
      </c>
      <c r="E1" s="124" t="s">
        <v>106</v>
      </c>
      <c r="F1" s="124"/>
      <c r="G1" s="124"/>
      <c r="H1" s="124"/>
      <c r="I1" s="124" t="s">
        <v>107</v>
      </c>
      <c r="J1" s="124"/>
      <c r="K1" s="124"/>
      <c r="L1" s="124"/>
      <c r="M1" s="124" t="s">
        <v>108</v>
      </c>
      <c r="N1" s="124"/>
      <c r="O1" s="124"/>
      <c r="P1" s="124"/>
      <c r="Q1" s="24" t="s">
        <v>109</v>
      </c>
      <c r="R1" s="24" t="s">
        <v>109</v>
      </c>
      <c r="S1" s="24" t="s">
        <v>109</v>
      </c>
      <c r="T1" s="59" t="s">
        <v>109</v>
      </c>
      <c r="U1" s="75" t="s">
        <v>106</v>
      </c>
      <c r="V1" s="75" t="s">
        <v>107</v>
      </c>
      <c r="W1" s="75" t="s">
        <v>108</v>
      </c>
      <c r="X1" s="75" t="s">
        <v>109</v>
      </c>
    </row>
    <row r="2" spans="1:24">
      <c r="A2" s="129"/>
      <c r="B2" s="129"/>
      <c r="C2" s="129"/>
      <c r="D2" s="129"/>
      <c r="E2" s="23" t="s">
        <v>19</v>
      </c>
      <c r="F2" s="23" t="s">
        <v>67</v>
      </c>
      <c r="G2" s="23" t="s">
        <v>68</v>
      </c>
      <c r="H2" s="23" t="s">
        <v>69</v>
      </c>
      <c r="I2" s="23" t="s">
        <v>19</v>
      </c>
      <c r="J2" s="23" t="s">
        <v>67</v>
      </c>
      <c r="K2" s="23" t="s">
        <v>68</v>
      </c>
      <c r="L2" s="23" t="s">
        <v>69</v>
      </c>
      <c r="M2" s="23" t="s">
        <v>19</v>
      </c>
      <c r="N2" s="23" t="s">
        <v>67</v>
      </c>
      <c r="O2" s="23" t="s">
        <v>68</v>
      </c>
      <c r="P2" s="23" t="s">
        <v>70</v>
      </c>
      <c r="Q2" s="25" t="s">
        <v>69</v>
      </c>
      <c r="R2" s="25" t="s">
        <v>23</v>
      </c>
      <c r="S2" s="25" t="s">
        <v>71</v>
      </c>
      <c r="T2" s="60" t="s">
        <v>131</v>
      </c>
      <c r="U2" s="76" t="s">
        <v>144</v>
      </c>
      <c r="V2" s="76" t="s">
        <v>144</v>
      </c>
      <c r="W2" s="76" t="s">
        <v>144</v>
      </c>
      <c r="X2" s="76" t="s">
        <v>145</v>
      </c>
    </row>
    <row r="3" spans="1:24">
      <c r="A3" s="40" t="s">
        <v>6</v>
      </c>
      <c r="B3" s="52">
        <v>-10</v>
      </c>
      <c r="C3" s="53">
        <v>-10</v>
      </c>
      <c r="D3" s="65">
        <v>-0.16666666666666666</v>
      </c>
      <c r="E3" s="43" t="s">
        <v>91</v>
      </c>
      <c r="F3" s="43" t="s">
        <v>91</v>
      </c>
      <c r="G3" s="43" t="s">
        <v>91</v>
      </c>
      <c r="H3" s="44" t="s">
        <v>91</v>
      </c>
      <c r="I3" s="43" t="s">
        <v>91</v>
      </c>
      <c r="J3" s="43" t="s">
        <v>91</v>
      </c>
      <c r="K3" s="43" t="s">
        <v>91</v>
      </c>
      <c r="L3" s="44" t="s">
        <v>91</v>
      </c>
      <c r="M3" s="43" t="s">
        <v>91</v>
      </c>
      <c r="N3" s="43" t="s">
        <v>91</v>
      </c>
      <c r="O3" s="43" t="s">
        <v>91</v>
      </c>
      <c r="P3" s="44" t="s">
        <v>91</v>
      </c>
      <c r="Q3" s="134" t="s">
        <v>91</v>
      </c>
      <c r="R3" s="135"/>
      <c r="S3" s="136"/>
      <c r="T3" s="44" t="s">
        <v>91</v>
      </c>
      <c r="U3" s="44" t="s">
        <v>91</v>
      </c>
      <c r="V3" s="44" t="s">
        <v>91</v>
      </c>
      <c r="W3" s="44" t="s">
        <v>91</v>
      </c>
      <c r="X3" s="44" t="s">
        <v>91</v>
      </c>
    </row>
    <row r="4" spans="1:24">
      <c r="A4" s="40">
        <v>0</v>
      </c>
      <c r="B4" s="54">
        <v>10</v>
      </c>
      <c r="C4" s="55">
        <v>10</v>
      </c>
      <c r="D4" s="65">
        <v>0.16666666666666666</v>
      </c>
      <c r="E4" s="32">
        <v>2</v>
      </c>
      <c r="F4" s="32">
        <v>13783</v>
      </c>
      <c r="G4" s="32">
        <v>7</v>
      </c>
      <c r="H4" s="44">
        <f>('Flow cytometer'!F4/'Flow cytometer'!G4)*POWER(10,'Flow cytometer'!E4+2)*10.2</f>
        <v>200838000</v>
      </c>
      <c r="I4" s="32">
        <v>2</v>
      </c>
      <c r="J4" s="32">
        <v>14313</v>
      </c>
      <c r="K4" s="32">
        <v>7</v>
      </c>
      <c r="L4" s="44">
        <f>('Flow cytometer'!J4/'Flow cytometer'!K4)*POWER(10,'Flow cytometer'!I4+2)*10.2</f>
        <v>208560857.14285713</v>
      </c>
      <c r="M4" s="32">
        <v>2</v>
      </c>
      <c r="N4" s="32">
        <v>13545</v>
      </c>
      <c r="O4" s="32">
        <v>7</v>
      </c>
      <c r="P4" s="44">
        <f>('Flow cytometer'!N4/'Flow cytometer'!O4)*POWER(10,'Flow cytometer'!M4+2)*10.2</f>
        <v>197370000</v>
      </c>
      <c r="Q4" s="47">
        <f>AVERAGE(H4,L4,P4)*Calculation!I4/Calculation!K3</f>
        <v>202389876.391772</v>
      </c>
      <c r="R4" s="48">
        <f>STDEV(H4,L4,P4)*Calculation!I4/Calculation!K3</f>
        <v>5732437.3525273101</v>
      </c>
      <c r="S4" s="49">
        <f>LOG(Q4)</f>
        <v>8.3061887851581329</v>
      </c>
      <c r="T4" s="49">
        <f>LN(Q4)</f>
        <v>19.125706476299438</v>
      </c>
      <c r="U4" s="49">
        <f>LOG(H4)</f>
        <v>8.3028458879000357</v>
      </c>
      <c r="V4" s="49">
        <f>LOG(L4)</f>
        <v>8.3192328030262495</v>
      </c>
      <c r="W4" s="49">
        <f>LOG(P4)</f>
        <v>8.2952811411168472</v>
      </c>
      <c r="X4" s="49">
        <f xml:space="preserve"> STDEV(U4:W4)*Calculation!I4/Calculation!K3</f>
        <v>1.225171446281766E-2</v>
      </c>
    </row>
    <row r="5" spans="1:24">
      <c r="A5" s="40">
        <v>1</v>
      </c>
      <c r="B5" s="54">
        <v>110</v>
      </c>
      <c r="C5" s="55">
        <f>C4+B5</f>
        <v>120</v>
      </c>
      <c r="D5" s="65">
        <v>2</v>
      </c>
      <c r="E5" s="32">
        <v>2</v>
      </c>
      <c r="F5" s="32">
        <v>18998</v>
      </c>
      <c r="G5" s="32">
        <v>7</v>
      </c>
      <c r="H5" s="44">
        <f>('Flow cytometer'!F5/'Flow cytometer'!G5)*POWER(10,'Flow cytometer'!E5+2)*10.2</f>
        <v>276828000</v>
      </c>
      <c r="I5" s="32">
        <v>2</v>
      </c>
      <c r="J5" s="32">
        <v>17760</v>
      </c>
      <c r="K5" s="32">
        <v>7</v>
      </c>
      <c r="L5" s="44">
        <f>('Flow cytometer'!J5/'Flow cytometer'!K5)*POWER(10,'Flow cytometer'!I5+2)*10.2</f>
        <v>258788571.42857143</v>
      </c>
      <c r="M5" s="32">
        <v>2</v>
      </c>
      <c r="N5" s="32">
        <v>18755</v>
      </c>
      <c r="O5" s="32">
        <v>7</v>
      </c>
      <c r="P5" s="44">
        <f>('Flow cytometer'!N5/'Flow cytometer'!O5)*POWER(10,'Flow cytometer'!M5+2)*10.2</f>
        <v>273287142.85714281</v>
      </c>
      <c r="Q5" s="47">
        <f>AVERAGE(H5,L5,P5)*Calculation!I5/Calculation!K4</f>
        <v>270180759.27476853</v>
      </c>
      <c r="R5" s="48">
        <f>STDEV(H5,L5,P5)*Calculation!I5/Calculation!K4</f>
        <v>9577667.388346998</v>
      </c>
      <c r="S5" s="49">
        <f t="shared" ref="S5:S19" si="0">LOG(Q5)</f>
        <v>8.4316544178232178</v>
      </c>
      <c r="T5" s="49">
        <f t="shared" ref="T5:T19" si="1">LN(Q5)</f>
        <v>19.41460177175713</v>
      </c>
      <c r="U5" s="49">
        <f t="shared" ref="U5:U19" si="2">LOG(H5)</f>
        <v>8.4422100150856352</v>
      </c>
      <c r="V5" s="49">
        <f t="shared" ref="V5:V19" si="3">LOG(L5)</f>
        <v>8.4129450931902436</v>
      </c>
      <c r="W5" s="49">
        <f t="shared" ref="W5:W19" si="4">LOG(P5)</f>
        <v>8.4366192002344018</v>
      </c>
      <c r="X5" s="49">
        <f xml:space="preserve"> STDEV(U5:W5)*Calculation!I5/Calculation!K4</f>
        <v>1.5567214981713998E-2</v>
      </c>
    </row>
    <row r="6" spans="1:24">
      <c r="A6" s="40">
        <v>2</v>
      </c>
      <c r="B6" s="54">
        <v>80</v>
      </c>
      <c r="C6" s="55">
        <f t="shared" ref="C6:C18" si="5">C5+B6</f>
        <v>200</v>
      </c>
      <c r="D6" s="65">
        <v>3.3333333333333335</v>
      </c>
      <c r="E6" s="32">
        <v>3</v>
      </c>
      <c r="F6" s="32">
        <v>2751</v>
      </c>
      <c r="G6" s="32">
        <v>7</v>
      </c>
      <c r="H6" s="44">
        <f>('Flow cytometer'!F6/'Flow cytometer'!G6)*POWER(10,'Flow cytometer'!E6+2)*10.2</f>
        <v>400860000</v>
      </c>
      <c r="I6" s="32">
        <v>3</v>
      </c>
      <c r="J6" s="32">
        <v>2996</v>
      </c>
      <c r="K6" s="32">
        <v>7</v>
      </c>
      <c r="L6" s="44">
        <f>('Flow cytometer'!J6/'Flow cytometer'!K6)*POWER(10,'Flow cytometer'!I6+2)*10.2</f>
        <v>436559999.99999994</v>
      </c>
      <c r="M6" s="32">
        <v>3</v>
      </c>
      <c r="N6" s="32">
        <v>3335</v>
      </c>
      <c r="O6" s="32">
        <v>7</v>
      </c>
      <c r="P6" s="44">
        <f>('Flow cytometer'!N6/'Flow cytometer'!O6)*POWER(10,'Flow cytometer'!M6+2)*10.2</f>
        <v>485957142.85714281</v>
      </c>
      <c r="Q6" s="47">
        <f>AVERAGE(H6,L6,P6)*Calculation!I6/Calculation!K5</f>
        <v>442649390.69841325</v>
      </c>
      <c r="R6" s="48">
        <f>STDEV(H6,L6,P6)*Calculation!I6/Calculation!K5</f>
        <v>42879498.281902149</v>
      </c>
      <c r="S6" s="49">
        <f t="shared" si="0"/>
        <v>8.6460598707548968</v>
      </c>
      <c r="T6" s="49">
        <f t="shared" si="1"/>
        <v>19.908288571534253</v>
      </c>
      <c r="U6" s="49">
        <f t="shared" si="2"/>
        <v>8.6029927221373441</v>
      </c>
      <c r="V6" s="49">
        <f t="shared" si="3"/>
        <v>8.6400439407750902</v>
      </c>
      <c r="W6" s="49">
        <f t="shared" si="4"/>
        <v>8.6865979700002285</v>
      </c>
      <c r="X6" s="49">
        <f xml:space="preserve"> STDEV(U6:W6)*Calculation!I6/Calculation!K5</f>
        <v>4.2037236444710725E-2</v>
      </c>
    </row>
    <row r="7" spans="1:24">
      <c r="A7" s="40">
        <v>3</v>
      </c>
      <c r="B7" s="54">
        <v>80</v>
      </c>
      <c r="C7" s="55">
        <f>C6+B7</f>
        <v>280</v>
      </c>
      <c r="D7" s="65">
        <v>4.666666666666667</v>
      </c>
      <c r="E7" s="32">
        <v>3</v>
      </c>
      <c r="F7" s="32">
        <v>6724</v>
      </c>
      <c r="G7" s="32">
        <v>7</v>
      </c>
      <c r="H7" s="44">
        <f>('Flow cytometer'!F7/'Flow cytometer'!G7)*POWER(10,'Flow cytometer'!E7+2)*10.2</f>
        <v>979782857.14285696</v>
      </c>
      <c r="I7" s="32">
        <v>3</v>
      </c>
      <c r="J7" s="32">
        <v>6930</v>
      </c>
      <c r="K7" s="32">
        <v>7</v>
      </c>
      <c r="L7" s="44">
        <f>('Flow cytometer'!J7/'Flow cytometer'!K7)*POWER(10,'Flow cytometer'!I7+2)*10.2</f>
        <v>1009799999.9999999</v>
      </c>
      <c r="M7" s="32">
        <v>3</v>
      </c>
      <c r="N7" s="32">
        <v>7988</v>
      </c>
      <c r="O7" s="32">
        <v>7</v>
      </c>
      <c r="P7" s="44">
        <f>('Flow cytometer'!N7/'Flow cytometer'!O7)*POWER(10,'Flow cytometer'!M7+2)*10.2</f>
        <v>1163965714.2857141</v>
      </c>
      <c r="Q7" s="47">
        <f>AVERAGE(H7,L7,P7)*Calculation!I7/Calculation!K6</f>
        <v>1057936770.4972919</v>
      </c>
      <c r="R7" s="48">
        <f>STDEV(H7,L7,P7)*Calculation!I7/Calculation!K6</f>
        <v>99454132.450268567</v>
      </c>
      <c r="S7" s="49">
        <f t="shared" si="0"/>
        <v>9.0244597120803505</v>
      </c>
      <c r="T7" s="49">
        <f t="shared" si="1"/>
        <v>20.779586405361552</v>
      </c>
      <c r="U7" s="49">
        <f t="shared" si="2"/>
        <v>8.9911298365150945</v>
      </c>
      <c r="V7" s="49">
        <f t="shared" si="3"/>
        <v>9.0042353663594668</v>
      </c>
      <c r="W7" s="49">
        <f t="shared" si="4"/>
        <v>9.0659401879463264</v>
      </c>
      <c r="X7" s="49">
        <f xml:space="preserve"> STDEV(U7:W7)*Calculation!I7/Calculation!K6</f>
        <v>4.0206289845499926E-2</v>
      </c>
    </row>
    <row r="8" spans="1:24">
      <c r="A8" s="40">
        <v>4</v>
      </c>
      <c r="B8" s="54">
        <v>80</v>
      </c>
      <c r="C8" s="55">
        <f t="shared" si="5"/>
        <v>360</v>
      </c>
      <c r="D8" s="65">
        <v>6</v>
      </c>
      <c r="E8" s="32">
        <v>3</v>
      </c>
      <c r="F8" s="32">
        <v>15855</v>
      </c>
      <c r="G8" s="32">
        <v>7</v>
      </c>
      <c r="H8" s="44">
        <f>('Flow cytometer'!F8/'Flow cytometer'!G8)*POWER(10,'Flow cytometer'!E8+2)*10.2</f>
        <v>2310300000</v>
      </c>
      <c r="I8" s="32">
        <v>3</v>
      </c>
      <c r="J8" s="32">
        <v>18903</v>
      </c>
      <c r="K8" s="32">
        <v>7</v>
      </c>
      <c r="L8" s="44">
        <f>('Flow cytometer'!J8/'Flow cytometer'!K8)*POWER(10,'Flow cytometer'!I8+2)*10.2</f>
        <v>2754437142.8571424</v>
      </c>
      <c r="M8" s="32">
        <v>3</v>
      </c>
      <c r="N8" s="32">
        <v>16685</v>
      </c>
      <c r="O8" s="32">
        <v>7</v>
      </c>
      <c r="P8" s="44">
        <f>('Flow cytometer'!N8/'Flow cytometer'!O8)*POWER(10,'Flow cytometer'!M8+2)*10.2</f>
        <v>2431242857.1428566</v>
      </c>
      <c r="Q8" s="47">
        <f>AVERAGE(H8,L8,P8)*Calculation!I8/Calculation!K7</f>
        <v>2524363749.9572649</v>
      </c>
      <c r="R8" s="48">
        <f>STDEV(H8,L8,P8)*Calculation!I8/Calculation!K7</f>
        <v>231977504.88997358</v>
      </c>
      <c r="S8" s="49">
        <f t="shared" si="0"/>
        <v>9.402151935047911</v>
      </c>
      <c r="T8" s="49">
        <f t="shared" si="1"/>
        <v>21.649254887706441</v>
      </c>
      <c r="U8" s="49">
        <f t="shared" si="2"/>
        <v>9.3636683781107681</v>
      </c>
      <c r="V8" s="49">
        <f t="shared" si="3"/>
        <v>9.4400328660824506</v>
      </c>
      <c r="W8" s="49">
        <f t="shared" si="4"/>
        <v>9.3858283427384723</v>
      </c>
      <c r="X8" s="49">
        <f xml:space="preserve"> STDEV(U8:W8)*Calculation!I8/Calculation!K7</f>
        <v>3.969097274402477E-2</v>
      </c>
    </row>
    <row r="9" spans="1:24">
      <c r="A9" s="40">
        <v>5</v>
      </c>
      <c r="B9" s="54">
        <v>80</v>
      </c>
      <c r="C9" s="55">
        <f t="shared" si="5"/>
        <v>440</v>
      </c>
      <c r="D9" s="65">
        <v>7.333333333333333</v>
      </c>
      <c r="E9" s="32">
        <v>3</v>
      </c>
      <c r="F9" s="32">
        <v>17200</v>
      </c>
      <c r="G9" s="32">
        <v>7</v>
      </c>
      <c r="H9" s="44">
        <f>('Flow cytometer'!F9/'Flow cytometer'!G9)*POWER(10,'Flow cytometer'!E9+2)*10.2</f>
        <v>2506285714.2857141</v>
      </c>
      <c r="I9" s="32">
        <v>3</v>
      </c>
      <c r="J9" s="32">
        <v>16753</v>
      </c>
      <c r="K9" s="32">
        <v>7</v>
      </c>
      <c r="L9" s="44">
        <f>('Flow cytometer'!J9/'Flow cytometer'!K9)*POWER(10,'Flow cytometer'!I9+2)*10.2</f>
        <v>2441151428.5714283</v>
      </c>
      <c r="M9" s="32">
        <v>3</v>
      </c>
      <c r="N9" s="32">
        <v>16958</v>
      </c>
      <c r="O9" s="32">
        <v>7</v>
      </c>
      <c r="P9" s="44">
        <f>('Flow cytometer'!N9/'Flow cytometer'!O9)*POWER(10,'Flow cytometer'!M9+2)*10.2</f>
        <v>2471022857.1428566</v>
      </c>
      <c r="Q9" s="47">
        <f>AVERAGE(H9,L9,P9)*Calculation!I9/Calculation!K8</f>
        <v>2508132470.8067365</v>
      </c>
      <c r="R9" s="48">
        <f>STDEV(H9,L9,P9)*Calculation!I9/Calculation!K8</f>
        <v>33069908.331395034</v>
      </c>
      <c r="S9" s="49">
        <f t="shared" si="0"/>
        <v>9.3993504706838191</v>
      </c>
      <c r="T9" s="49">
        <f t="shared" si="1"/>
        <v>21.642804277623128</v>
      </c>
      <c r="U9" s="49">
        <f t="shared" si="2"/>
        <v>9.3990305786552089</v>
      </c>
      <c r="V9" s="49">
        <f t="shared" si="3"/>
        <v>9.3875947202419283</v>
      </c>
      <c r="W9" s="49">
        <f t="shared" si="4"/>
        <v>9.3928767626765044</v>
      </c>
      <c r="X9" s="49">
        <f xml:space="preserve"> STDEV(U9:W9)*Calculation!I9/Calculation!K8</f>
        <v>5.8051970492389781E-3</v>
      </c>
    </row>
    <row r="10" spans="1:24">
      <c r="A10" s="40">
        <v>6</v>
      </c>
      <c r="B10" s="54">
        <v>80</v>
      </c>
      <c r="C10" s="55">
        <f t="shared" si="5"/>
        <v>520</v>
      </c>
      <c r="D10" s="65">
        <v>8.6666666666666661</v>
      </c>
      <c r="E10" s="32">
        <v>3</v>
      </c>
      <c r="F10" s="32">
        <v>19986</v>
      </c>
      <c r="G10" s="32">
        <v>7</v>
      </c>
      <c r="H10" s="44">
        <f>('Flow cytometer'!F10/'Flow cytometer'!G10)*POWER(10,'Flow cytometer'!E10+2)*10.2</f>
        <v>2912245714.2857141</v>
      </c>
      <c r="I10" s="32">
        <v>3</v>
      </c>
      <c r="J10" s="32">
        <v>18208</v>
      </c>
      <c r="K10" s="32">
        <v>7</v>
      </c>
      <c r="L10" s="44">
        <f>('Flow cytometer'!J10/'Flow cytometer'!K10)*POWER(10,'Flow cytometer'!I10+2)*10.2</f>
        <v>2653165714.2857141</v>
      </c>
      <c r="M10" s="32">
        <v>3</v>
      </c>
      <c r="N10" s="32">
        <v>19128</v>
      </c>
      <c r="O10" s="32">
        <v>7</v>
      </c>
      <c r="P10" s="44">
        <f>('Flow cytometer'!N10/'Flow cytometer'!O10)*POWER(10,'Flow cytometer'!M10+2)*10.2</f>
        <v>2787222857.1428571</v>
      </c>
      <c r="Q10" s="47">
        <f>AVERAGE(H10,L10,P10)*Calculation!I10/Calculation!K9</f>
        <v>2835534816.0396643</v>
      </c>
      <c r="R10" s="48">
        <f>STDEV(H10,L10,P10)*Calculation!I10/Calculation!K9</f>
        <v>131954638.55633862</v>
      </c>
      <c r="S10" s="49">
        <f t="shared" si="0"/>
        <v>9.4526349841281299</v>
      </c>
      <c r="T10" s="49">
        <f t="shared" si="1"/>
        <v>21.76549640396744</v>
      </c>
      <c r="U10" s="49">
        <f t="shared" si="2"/>
        <v>9.4642280148224813</v>
      </c>
      <c r="V10" s="49">
        <f t="shared" si="3"/>
        <v>9.4237643764626373</v>
      </c>
      <c r="W10" s="49">
        <f t="shared" si="4"/>
        <v>9.4451716948553788</v>
      </c>
      <c r="X10" s="49">
        <f xml:space="preserve"> STDEV(U10:W10)*Calculation!I10/Calculation!K9</f>
        <v>2.0616356587165832E-2</v>
      </c>
    </row>
    <row r="11" spans="1:24">
      <c r="A11" s="40">
        <v>7</v>
      </c>
      <c r="B11" s="54">
        <v>80</v>
      </c>
      <c r="C11" s="55">
        <f t="shared" si="5"/>
        <v>600</v>
      </c>
      <c r="D11" s="65">
        <v>10</v>
      </c>
      <c r="E11" s="32">
        <v>3</v>
      </c>
      <c r="F11" s="32">
        <v>26730</v>
      </c>
      <c r="G11" s="32">
        <v>7</v>
      </c>
      <c r="H11" s="44">
        <f>('Flow cytometer'!F11/'Flow cytometer'!G11)*POWER(10,'Flow cytometer'!E11+2)*10.2</f>
        <v>3894942857.1428571</v>
      </c>
      <c r="I11" s="32">
        <v>3</v>
      </c>
      <c r="J11" s="32">
        <v>27366</v>
      </c>
      <c r="K11" s="32">
        <v>7</v>
      </c>
      <c r="L11" s="44">
        <f>('Flow cytometer'!J11/'Flow cytometer'!K11)*POWER(10,'Flow cytometer'!I11+2)*10.2</f>
        <v>3987617142.8571424</v>
      </c>
      <c r="M11" s="32">
        <v>3</v>
      </c>
      <c r="N11" s="32">
        <v>27367</v>
      </c>
      <c r="O11" s="32">
        <v>7</v>
      </c>
      <c r="P11" s="44">
        <f>('Flow cytometer'!N11/'Flow cytometer'!O11)*POWER(10,'Flow cytometer'!M11+2)*10.2</f>
        <v>3987762857.1428571</v>
      </c>
      <c r="Q11" s="47">
        <f>AVERAGE(H11,L11,P11)*Calculation!I11/Calculation!K10</f>
        <v>4050307156.4411821</v>
      </c>
      <c r="R11" s="48">
        <f>STDEV(H11,L11,P11)*Calculation!I11/Calculation!K10</f>
        <v>54813432.244021125</v>
      </c>
      <c r="S11" s="49">
        <f t="shared" si="0"/>
        <v>9.6074879593354776</v>
      </c>
      <c r="T11" s="49">
        <f t="shared" si="1"/>
        <v>22.122058556285655</v>
      </c>
      <c r="U11" s="49">
        <f t="shared" si="2"/>
        <v>9.5905010905041976</v>
      </c>
      <c r="V11" s="49">
        <f t="shared" si="3"/>
        <v>9.6007134543722419</v>
      </c>
      <c r="W11" s="49">
        <f t="shared" si="4"/>
        <v>9.6007293239383884</v>
      </c>
      <c r="X11" s="49">
        <f xml:space="preserve"> STDEV(U11:W11)*Calculation!I11/Calculation!K10</f>
        <v>6.0401821374973241E-3</v>
      </c>
    </row>
    <row r="12" spans="1:24">
      <c r="A12" s="40">
        <v>8</v>
      </c>
      <c r="B12" s="54">
        <v>80</v>
      </c>
      <c r="C12" s="55">
        <f t="shared" si="5"/>
        <v>680</v>
      </c>
      <c r="D12" s="65">
        <v>11.333333333333334</v>
      </c>
      <c r="E12" s="32">
        <v>3</v>
      </c>
      <c r="F12" s="32">
        <v>30630</v>
      </c>
      <c r="G12" s="32">
        <v>7</v>
      </c>
      <c r="H12" s="44">
        <f>('Flow cytometer'!F12/'Flow cytometer'!G12)*POWER(10,'Flow cytometer'!E12+2)*10.2</f>
        <v>4463228571.4285707</v>
      </c>
      <c r="I12" s="32">
        <v>3</v>
      </c>
      <c r="J12" s="32">
        <v>31676</v>
      </c>
      <c r="K12" s="32">
        <v>7</v>
      </c>
      <c r="L12" s="44">
        <f>('Flow cytometer'!J12/'Flow cytometer'!K12)*POWER(10,'Flow cytometer'!I12+2)*10.2</f>
        <v>4615645714.2857132</v>
      </c>
      <c r="M12" s="32">
        <v>3</v>
      </c>
      <c r="N12" s="32">
        <v>29320</v>
      </c>
      <c r="O12" s="32">
        <v>7</v>
      </c>
      <c r="P12" s="44">
        <f>('Flow cytometer'!N12/'Flow cytometer'!O12)*POWER(10,'Flow cytometer'!M12+2)*10.2</f>
        <v>4272342857.1428571</v>
      </c>
      <c r="Q12" s="47">
        <f>AVERAGE(H12,L12,P12)*Calculation!I12/Calculation!K11</f>
        <v>4575764928.8498354</v>
      </c>
      <c r="R12" s="48">
        <f>STDEV(H12,L12,P12)*Calculation!I12/Calculation!K11</f>
        <v>176855460.08144397</v>
      </c>
      <c r="S12" s="49">
        <f t="shared" si="0"/>
        <v>9.6604637053117006</v>
      </c>
      <c r="T12" s="49">
        <f t="shared" si="1"/>
        <v>22.244039719260748</v>
      </c>
      <c r="U12" s="49">
        <f t="shared" si="2"/>
        <v>9.6496491285542341</v>
      </c>
      <c r="V12" s="49">
        <f t="shared" si="3"/>
        <v>9.6642324660411525</v>
      </c>
      <c r="W12" s="49">
        <f t="shared" si="4"/>
        <v>9.6306660977167518</v>
      </c>
      <c r="X12" s="49">
        <f xml:space="preserve"> STDEV(U12:W12)*Calculation!I12/Calculation!K11</f>
        <v>1.7305274019000481E-2</v>
      </c>
    </row>
    <row r="13" spans="1:24">
      <c r="A13" s="40">
        <v>9</v>
      </c>
      <c r="B13" s="54">
        <v>80</v>
      </c>
      <c r="C13" s="55">
        <f t="shared" si="5"/>
        <v>760</v>
      </c>
      <c r="D13" s="65">
        <v>12.666666666666666</v>
      </c>
      <c r="E13" s="32">
        <v>3</v>
      </c>
      <c r="F13" s="32">
        <v>36288</v>
      </c>
      <c r="G13" s="32">
        <v>7</v>
      </c>
      <c r="H13" s="44">
        <f>('Flow cytometer'!F13/'Flow cytometer'!G13)*POWER(10,'Flow cytometer'!E13+2)*10.2</f>
        <v>5287680000</v>
      </c>
      <c r="I13" s="32">
        <v>3</v>
      </c>
      <c r="J13" s="32">
        <v>36195</v>
      </c>
      <c r="K13" s="32">
        <v>7</v>
      </c>
      <c r="L13" s="44">
        <f>('Flow cytometer'!J13/'Flow cytometer'!K13)*POWER(10,'Flow cytometer'!I13+2)*10.2</f>
        <v>5274128571.4285707</v>
      </c>
      <c r="M13" s="32">
        <v>3</v>
      </c>
      <c r="N13" s="32">
        <v>26931</v>
      </c>
      <c r="O13" s="32">
        <v>7</v>
      </c>
      <c r="P13" s="44">
        <f>('Flow cytometer'!N13/'Flow cytometer'!O13)*POWER(10,'Flow cytometer'!M13+2)*10.2</f>
        <v>3924231428.5714278</v>
      </c>
      <c r="Q13" s="47">
        <f>AVERAGE(H13,L13,P13)*Calculation!I13/Calculation!K12</f>
        <v>4987426577.981123</v>
      </c>
      <c r="R13" s="48">
        <f>STDEV(H13,L13,P13)*Calculation!I13/Calculation!K12</f>
        <v>809056492.78304517</v>
      </c>
      <c r="S13" s="49">
        <f t="shared" si="0"/>
        <v>9.6978765153088684</v>
      </c>
      <c r="T13" s="49">
        <f t="shared" si="1"/>
        <v>22.330185897847244</v>
      </c>
      <c r="U13" s="49">
        <f t="shared" si="2"/>
        <v>9.7232651646244541</v>
      </c>
      <c r="V13" s="49">
        <f t="shared" si="3"/>
        <v>9.7221507127121285</v>
      </c>
      <c r="W13" s="49">
        <f t="shared" si="4"/>
        <v>9.5937546116507679</v>
      </c>
      <c r="X13" s="49">
        <f xml:space="preserve"> STDEV(U13:W13)*Calculation!I13/Calculation!K12</f>
        <v>7.6901033707931832E-2</v>
      </c>
    </row>
    <row r="14" spans="1:24">
      <c r="A14" s="40">
        <v>10</v>
      </c>
      <c r="B14" s="54">
        <v>80</v>
      </c>
      <c r="C14" s="55">
        <f t="shared" si="5"/>
        <v>840</v>
      </c>
      <c r="D14" s="65">
        <v>14</v>
      </c>
      <c r="E14" s="32">
        <v>3</v>
      </c>
      <c r="F14" s="32">
        <v>38334</v>
      </c>
      <c r="G14" s="32">
        <v>7</v>
      </c>
      <c r="H14" s="44">
        <f>('Flow cytometer'!F14/'Flow cytometer'!G14)*POWER(10,'Flow cytometer'!E14+2)*10.2</f>
        <v>5585811428.5714283</v>
      </c>
      <c r="I14" s="32">
        <v>3</v>
      </c>
      <c r="J14" s="32">
        <v>32554</v>
      </c>
      <c r="K14" s="32">
        <v>7</v>
      </c>
      <c r="L14" s="44">
        <f>('Flow cytometer'!J14/'Flow cytometer'!K14)*POWER(10,'Flow cytometer'!I14+2)*10.2</f>
        <v>4743582857.1428566</v>
      </c>
      <c r="M14" s="32">
        <v>3</v>
      </c>
      <c r="N14" s="32">
        <v>32136</v>
      </c>
      <c r="O14" s="32">
        <v>7</v>
      </c>
      <c r="P14" s="44">
        <f>('Flow cytometer'!N14/'Flow cytometer'!O14)*POWER(10,'Flow cytometer'!M14+2)*10.2</f>
        <v>4682674285.7142859</v>
      </c>
      <c r="Q14" s="47">
        <f>AVERAGE(H14,L14,P14)*Calculation!I14/Calculation!K13</f>
        <v>5198266664.5396633</v>
      </c>
      <c r="R14" s="48">
        <f>STDEV(H14,L14,P14)*Calculation!I14/Calculation!K13</f>
        <v>524356893.412085</v>
      </c>
      <c r="S14" s="49">
        <f t="shared" si="0"/>
        <v>9.7158585544969611</v>
      </c>
      <c r="T14" s="49">
        <f t="shared" si="1"/>
        <v>22.371591073223378</v>
      </c>
      <c r="U14" s="49">
        <f t="shared" si="2"/>
        <v>9.7470862702634449</v>
      </c>
      <c r="V14" s="49">
        <f t="shared" si="3"/>
        <v>9.676106490894492</v>
      </c>
      <c r="W14" s="49">
        <f t="shared" si="4"/>
        <v>9.6704939504712755</v>
      </c>
      <c r="X14" s="49">
        <f xml:space="preserve"> STDEV(U14:W14)*Calculation!I14/Calculation!K13</f>
        <v>4.4349952214111796E-2</v>
      </c>
    </row>
    <row r="15" spans="1:24">
      <c r="A15" s="40">
        <v>11</v>
      </c>
      <c r="B15" s="54">
        <v>80</v>
      </c>
      <c r="C15" s="55">
        <f t="shared" si="5"/>
        <v>920</v>
      </c>
      <c r="D15" s="65">
        <v>15.333333333333334</v>
      </c>
      <c r="E15" s="32">
        <v>3</v>
      </c>
      <c r="F15" s="32">
        <v>38532</v>
      </c>
      <c r="G15" s="32">
        <v>7</v>
      </c>
      <c r="H15" s="44">
        <f>('Flow cytometer'!F15/'Flow cytometer'!G15)*POWER(10,'Flow cytometer'!E15+2)*10.2</f>
        <v>5614662857.1428566</v>
      </c>
      <c r="I15" s="32">
        <v>3</v>
      </c>
      <c r="J15" s="32">
        <v>37178</v>
      </c>
      <c r="K15" s="32">
        <v>7</v>
      </c>
      <c r="L15" s="44">
        <f>('Flow cytometer'!J15/'Flow cytometer'!K15)*POWER(10,'Flow cytometer'!I15+2)*10.2</f>
        <v>5417365714.2857132</v>
      </c>
      <c r="M15" s="32">
        <v>3</v>
      </c>
      <c r="N15" s="32">
        <v>36262</v>
      </c>
      <c r="O15" s="32">
        <v>7</v>
      </c>
      <c r="P15" s="44">
        <f>('Flow cytometer'!N15/'Flow cytometer'!O15)*POWER(10,'Flow cytometer'!M15+2)*10.2</f>
        <v>5283891428.5714283</v>
      </c>
      <c r="Q15" s="47">
        <f>AVERAGE(H15,L15,P15)*Calculation!I15/Calculation!K14</f>
        <v>5661031526.6121216</v>
      </c>
      <c r="R15" s="48">
        <f>STDEV(H15,L15,P15)*Calculation!I15/Calculation!K14</f>
        <v>173213400.84628123</v>
      </c>
      <c r="S15" s="49">
        <f t="shared" si="0"/>
        <v>9.7528955735024265</v>
      </c>
      <c r="T15" s="49">
        <f t="shared" si="1"/>
        <v>22.456871961074302</v>
      </c>
      <c r="U15" s="49">
        <f t="shared" si="2"/>
        <v>9.7493236833617889</v>
      </c>
      <c r="V15" s="49">
        <f t="shared" si="3"/>
        <v>9.7337881548294156</v>
      </c>
      <c r="W15" s="49">
        <f t="shared" si="4"/>
        <v>9.7229538853132791</v>
      </c>
      <c r="X15" s="49">
        <f xml:space="preserve"> STDEV(U15:W15)*Calculation!I15/Calculation!K14</f>
        <v>1.3796553284384278E-2</v>
      </c>
    </row>
    <row r="16" spans="1:24">
      <c r="A16" s="40">
        <v>12</v>
      </c>
      <c r="B16" s="54">
        <v>80</v>
      </c>
      <c r="C16" s="55">
        <f t="shared" si="5"/>
        <v>1000</v>
      </c>
      <c r="D16" s="65">
        <v>16.666666666666668</v>
      </c>
      <c r="E16" s="32">
        <v>3</v>
      </c>
      <c r="F16" s="32">
        <v>38845</v>
      </c>
      <c r="G16" s="32">
        <v>7</v>
      </c>
      <c r="H16" s="44">
        <f>('Flow cytometer'!F16/'Flow cytometer'!G16)*POWER(10,'Flow cytometer'!E16+2)*10.2</f>
        <v>5660271428.5714283</v>
      </c>
      <c r="I16" s="32">
        <v>3</v>
      </c>
      <c r="J16" s="32">
        <v>38949</v>
      </c>
      <c r="K16" s="32">
        <v>7</v>
      </c>
      <c r="L16" s="44">
        <f>('Flow cytometer'!J16/'Flow cytometer'!K16)*POWER(10,'Flow cytometer'!I16+2)*10.2</f>
        <v>5675425714.2857141</v>
      </c>
      <c r="M16" s="32">
        <v>3</v>
      </c>
      <c r="N16" s="32">
        <v>39092</v>
      </c>
      <c r="O16" s="32">
        <v>7</v>
      </c>
      <c r="P16" s="44">
        <f>('Flow cytometer'!N16/'Flow cytometer'!O16)*POWER(10,'Flow cytometer'!M16+2)*10.2</f>
        <v>5696262857.1428566</v>
      </c>
      <c r="Q16" s="47">
        <f>AVERAGE(H16,L16,P16)*Calculation!I16/Calculation!K15</f>
        <v>5921847251.1334867</v>
      </c>
      <c r="R16" s="48">
        <f>STDEV(H16,L16,P16)*Calculation!I16/Calculation!K15</f>
        <v>18848639.466549911</v>
      </c>
      <c r="S16" s="49">
        <f t="shared" si="0"/>
        <v>9.7724572009517274</v>
      </c>
      <c r="T16" s="49">
        <f t="shared" si="1"/>
        <v>22.501914272833762</v>
      </c>
      <c r="U16" s="49">
        <f t="shared" si="2"/>
        <v>9.7528372575318034</v>
      </c>
      <c r="V16" s="49">
        <f t="shared" si="3"/>
        <v>9.7539984435622262</v>
      </c>
      <c r="W16" s="49">
        <f t="shared" si="4"/>
        <v>9.7555900218459186</v>
      </c>
      <c r="X16" s="49">
        <f xml:space="preserve"> STDEV(U16:W16)*Calculation!I16/Calculation!K15</f>
        <v>1.441501446652125E-3</v>
      </c>
    </row>
    <row r="17" spans="1:24">
      <c r="A17" s="40">
        <v>13</v>
      </c>
      <c r="B17" s="54">
        <v>80</v>
      </c>
      <c r="C17" s="55">
        <f t="shared" si="5"/>
        <v>1080</v>
      </c>
      <c r="D17" s="65">
        <v>18</v>
      </c>
      <c r="E17" s="32">
        <v>3</v>
      </c>
      <c r="F17" s="32">
        <v>39255</v>
      </c>
      <c r="G17" s="32">
        <v>7</v>
      </c>
      <c r="H17" s="44">
        <f>('Flow cytometer'!F17/'Flow cytometer'!G17)*POWER(10,'Flow cytometer'!E17+2)*10.2</f>
        <v>5720014285.7142849</v>
      </c>
      <c r="I17" s="32">
        <v>3</v>
      </c>
      <c r="J17" s="32">
        <v>36757</v>
      </c>
      <c r="K17" s="32">
        <v>7</v>
      </c>
      <c r="L17" s="44">
        <f>('Flow cytometer'!J17/'Flow cytometer'!K17)*POWER(10,'Flow cytometer'!I17+2)*10.2</f>
        <v>5356020000</v>
      </c>
      <c r="M17" s="32">
        <v>3</v>
      </c>
      <c r="N17" s="32">
        <v>40514</v>
      </c>
      <c r="O17" s="32">
        <v>7</v>
      </c>
      <c r="P17" s="44">
        <f>('Flow cytometer'!N17/'Flow cytometer'!O17)*POWER(10,'Flow cytometer'!M17+2)*10.2</f>
        <v>5903468571.4285707</v>
      </c>
      <c r="Q17" s="47">
        <f>AVERAGE(H17,L17,P17)*Calculation!I17/Calculation!K16</f>
        <v>5903608411.491374</v>
      </c>
      <c r="R17" s="48">
        <f>STDEV(H17,L17,P17)*Calculation!I17/Calculation!K16</f>
        <v>290643069.5759142</v>
      </c>
      <c r="S17" s="49">
        <f t="shared" si="0"/>
        <v>9.7711175428582475</v>
      </c>
      <c r="T17" s="49">
        <f t="shared" si="1"/>
        <v>22.498829596078011</v>
      </c>
      <c r="U17" s="49">
        <f t="shared" si="2"/>
        <v>9.757397113443222</v>
      </c>
      <c r="V17" s="49">
        <f t="shared" si="3"/>
        <v>9.7288421900489741</v>
      </c>
      <c r="W17" s="49">
        <f t="shared" si="4"/>
        <v>9.7711072555080918</v>
      </c>
      <c r="X17" s="49">
        <f xml:space="preserve"> STDEV(U17:W17)*Calculation!I17/Calculation!K16</f>
        <v>2.2491373243960999E-2</v>
      </c>
    </row>
    <row r="18" spans="1:24">
      <c r="A18" s="40">
        <v>14</v>
      </c>
      <c r="B18" s="54">
        <v>360</v>
      </c>
      <c r="C18" s="55">
        <f t="shared" si="5"/>
        <v>1440</v>
      </c>
      <c r="D18" s="65">
        <v>24</v>
      </c>
      <c r="E18" s="32">
        <v>3</v>
      </c>
      <c r="F18" s="32">
        <v>47356</v>
      </c>
      <c r="G18" s="32">
        <v>7</v>
      </c>
      <c r="H18" s="44">
        <f>('Flow cytometer'!F18/'Flow cytometer'!G18)*POWER(10,'Flow cytometer'!E18+2)*10.2</f>
        <v>6900445714.2857141</v>
      </c>
      <c r="I18" s="32">
        <v>3</v>
      </c>
      <c r="J18" s="32">
        <v>43550</v>
      </c>
      <c r="K18" s="32">
        <v>7</v>
      </c>
      <c r="L18" s="44">
        <f>('Flow cytometer'!J18/'Flow cytometer'!K18)*POWER(10,'Flow cytometer'!I18+2)*10.2</f>
        <v>6345857142.8571434</v>
      </c>
      <c r="M18" s="32">
        <v>3</v>
      </c>
      <c r="N18" s="32">
        <v>48562</v>
      </c>
      <c r="O18" s="32">
        <v>7</v>
      </c>
      <c r="P18" s="44">
        <f>('Flow cytometer'!N18/'Flow cytometer'!O18)*POWER(10,'Flow cytometer'!M18+2)*10.2</f>
        <v>7076177142.8571424</v>
      </c>
      <c r="Q18" s="47">
        <f>AVERAGE(H18,L18,P18)*Calculation!I18/Calculation!K17</f>
        <v>7065929131.1284943</v>
      </c>
      <c r="R18" s="48">
        <f>STDEV(H18,L18,P18)*Calculation!I18/Calculation!K17</f>
        <v>397604186.51133358</v>
      </c>
      <c r="S18" s="49">
        <f t="shared" si="0"/>
        <v>9.8491692772943864</v>
      </c>
      <c r="T18" s="49">
        <f t="shared" si="1"/>
        <v>22.678550356272989</v>
      </c>
      <c r="U18" s="49">
        <f t="shared" si="2"/>
        <v>9.8388771436362514</v>
      </c>
      <c r="V18" s="49">
        <f t="shared" si="3"/>
        <v>9.8024902910913436</v>
      </c>
      <c r="W18" s="49">
        <f t="shared" si="4"/>
        <v>9.8497986963691737</v>
      </c>
      <c r="X18" s="49">
        <f xml:space="preserve"> STDEV(U18:W18)*Calculation!I18/Calculation!K17</f>
        <v>2.5837045595351431E-2</v>
      </c>
    </row>
    <row r="19" spans="1:24">
      <c r="A19" s="40">
        <v>15</v>
      </c>
      <c r="B19" s="54">
        <v>360</v>
      </c>
      <c r="C19" s="55">
        <f>C18+B19</f>
        <v>1800</v>
      </c>
      <c r="D19" s="65">
        <v>30</v>
      </c>
      <c r="E19" s="32">
        <v>3</v>
      </c>
      <c r="F19" s="32">
        <v>47967</v>
      </c>
      <c r="G19" s="32">
        <v>7</v>
      </c>
      <c r="H19" s="44">
        <f>('Flow cytometer'!F19/'Flow cytometer'!G19)*POWER(10,'Flow cytometer'!E19+2)*10.2</f>
        <v>6989477142.8571424</v>
      </c>
      <c r="I19" s="32">
        <v>3</v>
      </c>
      <c r="J19" s="32">
        <v>47766</v>
      </c>
      <c r="K19" s="32">
        <v>7</v>
      </c>
      <c r="L19" s="44">
        <f>('Flow cytometer'!J19/'Flow cytometer'!K19)*POWER(10,'Flow cytometer'!I19+2)*10.2</f>
        <v>6960188571.4285707</v>
      </c>
      <c r="M19" s="32">
        <v>3</v>
      </c>
      <c r="N19" s="32">
        <v>48886</v>
      </c>
      <c r="O19" s="32">
        <v>7</v>
      </c>
      <c r="P19" s="44">
        <f>('Flow cytometer'!N19/'Flow cytometer'!O19)*POWER(10,'Flow cytometer'!M19+2)*10.2</f>
        <v>7123388571.4285707</v>
      </c>
      <c r="Q19" s="47">
        <f>AVERAGE(H19,L19,P19)*Calculation!I19/Calculation!K18</f>
        <v>7326896528.3410645</v>
      </c>
      <c r="R19" s="48">
        <f>STDEV(H19,L19,P19)*Calculation!I19/Calculation!K18</f>
        <v>90757489.164432809</v>
      </c>
      <c r="S19" s="49">
        <f t="shared" si="0"/>
        <v>9.8649200584029586</v>
      </c>
      <c r="T19" s="49">
        <f t="shared" si="1"/>
        <v>22.714817870056603</v>
      </c>
      <c r="U19" s="49">
        <f t="shared" si="2"/>
        <v>9.8444446889838737</v>
      </c>
      <c r="V19" s="49">
        <f t="shared" si="3"/>
        <v>9.8426210060504289</v>
      </c>
      <c r="W19" s="49">
        <f t="shared" si="4"/>
        <v>9.8526866351805236</v>
      </c>
      <c r="X19" s="49">
        <f xml:space="preserve"> STDEV(U19:W19)*Calculation!I19/Calculation!K18</f>
        <v>5.5940179331755626E-3</v>
      </c>
    </row>
    <row r="20" spans="1:24">
      <c r="A20" s="40">
        <v>16</v>
      </c>
      <c r="B20" s="54">
        <v>1080</v>
      </c>
      <c r="C20" s="55">
        <f>C19+B20</f>
        <v>2880</v>
      </c>
      <c r="D20" s="65">
        <v>48</v>
      </c>
      <c r="E20" s="32">
        <v>3</v>
      </c>
      <c r="F20" s="32">
        <v>29636</v>
      </c>
      <c r="G20" s="32">
        <v>7</v>
      </c>
      <c r="H20" s="44">
        <f>('Flow cytometer'!F20/'Flow cytometer'!G20)*POWER(10,'Flow cytometer'!E20+2)*10.2</f>
        <v>4318388571.4285707</v>
      </c>
      <c r="I20" s="32">
        <v>3</v>
      </c>
      <c r="J20" s="32">
        <v>28371</v>
      </c>
      <c r="K20" s="32">
        <v>7</v>
      </c>
      <c r="L20" s="44">
        <f>('Flow cytometer'!J20/'Flow cytometer'!K20)*POWER(10,'Flow cytometer'!I20+2)*10.2</f>
        <v>4134059999.9999995</v>
      </c>
      <c r="M20" s="32">
        <v>3</v>
      </c>
      <c r="N20" s="32">
        <v>34281</v>
      </c>
      <c r="O20" s="32">
        <v>7</v>
      </c>
      <c r="P20" s="44">
        <f>('Flow cytometer'!N20/'Flow cytometer'!O20)*POWER(10,'Flow cytometer'!M20+2)*10.2</f>
        <v>4995231428.5714283</v>
      </c>
      <c r="Q20" s="47">
        <f>AVERAGE(H20,L20,P20)*Calculation!I20/Calculation!K19</f>
        <v>4675627869.1426449</v>
      </c>
      <c r="R20" s="48">
        <f>STDEV(H20,L20,P20)*Calculation!I20/Calculation!K19</f>
        <v>472982047.90390879</v>
      </c>
      <c r="S20" s="49">
        <f>LOG(Q20)</f>
        <v>9.6698399385870797</v>
      </c>
      <c r="T20" s="49">
        <f>LN(Q20)</f>
        <v>22.265629294229068</v>
      </c>
      <c r="U20" s="49">
        <f>LOG(H20)</f>
        <v>9.6353217178580337</v>
      </c>
      <c r="V20" s="49">
        <f>LOG(L20)</f>
        <v>9.6163767755036105</v>
      </c>
      <c r="W20" s="49">
        <f>LOG(P20)</f>
        <v>9.6985556138479314</v>
      </c>
      <c r="X20" s="49">
        <f xml:space="preserve"> STDEV(U20:W20)*Calculation!I20/Calculation!K19</f>
        <v>4.4885991854349404E-2</v>
      </c>
    </row>
    <row r="71" spans="17:21">
      <c r="Q71" s="62"/>
      <c r="R71" s="62"/>
      <c r="S71" s="62"/>
      <c r="T71" s="62"/>
      <c r="U71" s="62"/>
    </row>
    <row r="72" spans="17:21">
      <c r="Q72" s="62"/>
      <c r="R72" s="62"/>
      <c r="S72" s="62"/>
      <c r="T72" s="62"/>
      <c r="U72" s="62"/>
    </row>
    <row r="73" spans="17:21">
      <c r="R73" s="63"/>
      <c r="S73" s="62"/>
      <c r="T73" s="63"/>
      <c r="U73" s="62"/>
    </row>
    <row r="74" spans="17:21">
      <c r="Q74" s="62"/>
      <c r="R74" s="62"/>
      <c r="S74" s="62"/>
      <c r="T74" s="62"/>
      <c r="U74" s="62"/>
    </row>
    <row r="75" spans="17:21">
      <c r="Q75" s="62"/>
      <c r="R75" s="62"/>
      <c r="S75" s="62"/>
      <c r="T75" s="62"/>
      <c r="U75" s="62"/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17" workbookViewId="0">
      <selection activeCell="G13" sqref="G13"/>
    </sheetView>
  </sheetViews>
  <sheetFormatPr baseColWidth="10" defaultColWidth="8.83203125" defaultRowHeight="14" x14ac:dyDescent="0"/>
  <cols>
    <col min="1" max="2" width="8.83203125" style="90"/>
    <col min="3" max="3" width="9.83203125" style="90" customWidth="1"/>
    <col min="4" max="17" width="8.83203125" style="90"/>
    <col min="18" max="18" width="13.83203125" style="90" bestFit="1" customWidth="1"/>
    <col min="19" max="16384" width="8.83203125" style="90"/>
  </cols>
  <sheetData>
    <row r="1" spans="2:18">
      <c r="B1" s="140" t="s">
        <v>4</v>
      </c>
      <c r="C1" s="142" t="s">
        <v>207</v>
      </c>
      <c r="D1" s="143" t="s">
        <v>18</v>
      </c>
      <c r="E1" s="143"/>
      <c r="F1" s="143"/>
      <c r="G1" s="143"/>
      <c r="H1" s="143" t="s">
        <v>20</v>
      </c>
      <c r="I1" s="143"/>
      <c r="J1" s="143"/>
      <c r="K1" s="143"/>
      <c r="L1" s="143" t="s">
        <v>21</v>
      </c>
      <c r="M1" s="143"/>
      <c r="N1" s="143"/>
      <c r="O1" s="143"/>
      <c r="P1" s="101" t="s">
        <v>22</v>
      </c>
      <c r="Q1" s="101" t="s">
        <v>22</v>
      </c>
      <c r="R1" s="101" t="s">
        <v>22</v>
      </c>
    </row>
    <row r="2" spans="2:18">
      <c r="B2" s="141"/>
      <c r="C2" s="141"/>
      <c r="D2" s="100" t="s">
        <v>19</v>
      </c>
      <c r="E2" s="100" t="s">
        <v>67</v>
      </c>
      <c r="F2" s="100" t="s">
        <v>68</v>
      </c>
      <c r="G2" s="100" t="s">
        <v>69</v>
      </c>
      <c r="H2" s="100" t="s">
        <v>19</v>
      </c>
      <c r="I2" s="100" t="s">
        <v>67</v>
      </c>
      <c r="J2" s="100" t="s">
        <v>68</v>
      </c>
      <c r="K2" s="100" t="s">
        <v>69</v>
      </c>
      <c r="L2" s="100" t="s">
        <v>19</v>
      </c>
      <c r="M2" s="100" t="s">
        <v>67</v>
      </c>
      <c r="N2" s="100" t="s">
        <v>68</v>
      </c>
      <c r="O2" s="100" t="s">
        <v>70</v>
      </c>
      <c r="P2" s="99" t="s">
        <v>69</v>
      </c>
      <c r="Q2" s="99" t="s">
        <v>23</v>
      </c>
      <c r="R2" s="99" t="s">
        <v>71</v>
      </c>
    </row>
    <row r="3" spans="2:18">
      <c r="B3" s="98"/>
      <c r="C3" s="98"/>
      <c r="D3" s="97"/>
      <c r="E3" s="97"/>
      <c r="F3" s="97"/>
      <c r="G3" s="95"/>
      <c r="H3" s="97"/>
      <c r="I3" s="97"/>
      <c r="J3" s="97"/>
      <c r="K3" s="95"/>
      <c r="L3" s="97"/>
      <c r="M3" s="97"/>
      <c r="N3" s="97"/>
      <c r="O3" s="95"/>
      <c r="P3" s="137"/>
      <c r="Q3" s="138"/>
      <c r="R3" s="139"/>
    </row>
    <row r="4" spans="2:18">
      <c r="B4" s="103" t="s">
        <v>191</v>
      </c>
      <c r="C4" s="96">
        <v>500</v>
      </c>
      <c r="D4" s="96">
        <v>3</v>
      </c>
      <c r="E4" s="96">
        <v>14133</v>
      </c>
      <c r="F4" s="96">
        <v>7</v>
      </c>
      <c r="G4" s="95">
        <f>(E4/F4)*(10.2)*POWER(10,D4+2)</f>
        <v>2059380000</v>
      </c>
      <c r="H4" s="96">
        <v>3</v>
      </c>
      <c r="I4" s="96">
        <v>15082</v>
      </c>
      <c r="J4" s="96">
        <v>7</v>
      </c>
      <c r="K4" s="95">
        <f t="shared" ref="K4:K18" si="0">(I4/J4)*(10.2)*POWER(10,H4+2)</f>
        <v>2197662857.1428571</v>
      </c>
      <c r="L4" s="96">
        <v>3</v>
      </c>
      <c r="M4" s="96">
        <v>15922</v>
      </c>
      <c r="N4" s="96">
        <v>7</v>
      </c>
      <c r="O4" s="95">
        <f t="shared" ref="O4:O19" si="1">(M4/N4)*(10.2)*POWER(10,L4+2)</f>
        <v>2320062857.1428571</v>
      </c>
      <c r="P4" s="94">
        <f t="shared" ref="P4:P10" si="2">AVERAGE(O4,K4,G4)</f>
        <v>2192368571.4285712</v>
      </c>
      <c r="Q4" s="94">
        <f t="shared" ref="Q4:Q10" si="3">STDEV(O4,K4,G4)</f>
        <v>130422046.05801573</v>
      </c>
      <c r="R4" s="93">
        <f>LOG(P4)</f>
        <v>9.3409135676416426</v>
      </c>
    </row>
    <row r="5" spans="2:18">
      <c r="B5" s="103" t="s">
        <v>192</v>
      </c>
      <c r="C5" s="96">
        <v>500</v>
      </c>
      <c r="D5" s="96">
        <v>2</v>
      </c>
      <c r="E5" s="96">
        <v>16544</v>
      </c>
      <c r="F5" s="96">
        <v>7</v>
      </c>
      <c r="G5" s="95">
        <f t="shared" ref="G5:G19" si="4">(E5/F5)*(10.2)*POWER(10,D5+2)</f>
        <v>241069714.2857143</v>
      </c>
      <c r="H5" s="96">
        <v>2</v>
      </c>
      <c r="I5" s="96">
        <v>15924</v>
      </c>
      <c r="J5" s="96">
        <v>7</v>
      </c>
      <c r="K5" s="95">
        <f t="shared" si="0"/>
        <v>232035428.57142854</v>
      </c>
      <c r="L5" s="96">
        <v>2</v>
      </c>
      <c r="M5" s="96">
        <v>15173</v>
      </c>
      <c r="N5" s="96">
        <v>7</v>
      </c>
      <c r="O5" s="95">
        <f t="shared" si="1"/>
        <v>221092285.71428567</v>
      </c>
      <c r="P5" s="94">
        <f t="shared" si="2"/>
        <v>231399142.85714284</v>
      </c>
      <c r="Q5" s="94">
        <f t="shared" si="3"/>
        <v>10003902.124385577</v>
      </c>
      <c r="R5" s="93">
        <f t="shared" ref="R5:R19" si="5">LOG(P5)</f>
        <v>8.3643617459160655</v>
      </c>
    </row>
    <row r="6" spans="2:18">
      <c r="B6" s="103" t="s">
        <v>193</v>
      </c>
      <c r="C6" s="96">
        <v>500</v>
      </c>
      <c r="D6" s="96">
        <v>1</v>
      </c>
      <c r="E6" s="96">
        <v>18107</v>
      </c>
      <c r="F6" s="96">
        <v>7</v>
      </c>
      <c r="G6" s="95">
        <f t="shared" si="4"/>
        <v>26384485.714285713</v>
      </c>
      <c r="H6" s="96">
        <v>1</v>
      </c>
      <c r="I6" s="96">
        <v>18423</v>
      </c>
      <c r="J6" s="96">
        <v>7</v>
      </c>
      <c r="K6" s="95">
        <f t="shared" si="0"/>
        <v>26844942.857142854</v>
      </c>
      <c r="L6" s="96">
        <v>1</v>
      </c>
      <c r="M6" s="96">
        <v>17005</v>
      </c>
      <c r="N6" s="96">
        <v>7</v>
      </c>
      <c r="O6" s="95">
        <f t="shared" si="1"/>
        <v>24778714.285714284</v>
      </c>
      <c r="P6" s="94">
        <f t="shared" si="2"/>
        <v>26002714.285714284</v>
      </c>
      <c r="Q6" s="94">
        <f t="shared" si="3"/>
        <v>1084729.0883451225</v>
      </c>
      <c r="R6" s="93">
        <f t="shared" si="5"/>
        <v>7.4150186840393397</v>
      </c>
    </row>
    <row r="7" spans="2:18">
      <c r="B7" s="103" t="s">
        <v>194</v>
      </c>
      <c r="C7" s="96">
        <v>500</v>
      </c>
      <c r="D7" s="96">
        <v>1</v>
      </c>
      <c r="E7" s="96">
        <v>1825</v>
      </c>
      <c r="F7" s="96">
        <v>7</v>
      </c>
      <c r="G7" s="95">
        <f t="shared" si="4"/>
        <v>2659285.7142857141</v>
      </c>
      <c r="H7" s="96">
        <v>1</v>
      </c>
      <c r="I7" s="96">
        <v>1808</v>
      </c>
      <c r="J7" s="96">
        <v>7</v>
      </c>
      <c r="K7" s="95">
        <f t="shared" si="0"/>
        <v>2634514.2857142854</v>
      </c>
      <c r="L7" s="96">
        <v>1</v>
      </c>
      <c r="M7" s="96">
        <v>1822</v>
      </c>
      <c r="N7" s="96">
        <v>7</v>
      </c>
      <c r="O7" s="95">
        <f t="shared" si="1"/>
        <v>2654914.2857142854</v>
      </c>
      <c r="P7" s="94">
        <f t="shared" si="2"/>
        <v>2649571.4285714286</v>
      </c>
      <c r="Q7" s="94">
        <f t="shared" si="3"/>
        <v>13221.78165770719</v>
      </c>
      <c r="R7" s="93">
        <f t="shared" si="5"/>
        <v>6.4231756319523594</v>
      </c>
    </row>
    <row r="8" spans="2:18">
      <c r="B8" s="103" t="s">
        <v>195</v>
      </c>
      <c r="C8" s="96">
        <v>500</v>
      </c>
      <c r="D8" s="96">
        <v>0</v>
      </c>
      <c r="E8" s="96">
        <v>2306</v>
      </c>
      <c r="F8" s="96">
        <v>7</v>
      </c>
      <c r="G8" s="95">
        <f t="shared" si="4"/>
        <v>336017.14285714284</v>
      </c>
      <c r="H8" s="96">
        <v>0</v>
      </c>
      <c r="I8" s="96">
        <v>2052</v>
      </c>
      <c r="J8" s="96">
        <v>7</v>
      </c>
      <c r="K8" s="95">
        <f t="shared" si="0"/>
        <v>299005.71428571432</v>
      </c>
      <c r="L8" s="96">
        <v>0</v>
      </c>
      <c r="M8" s="96">
        <v>2049</v>
      </c>
      <c r="N8" s="96">
        <v>7</v>
      </c>
      <c r="O8" s="95">
        <f t="shared" si="1"/>
        <v>298568.57142857142</v>
      </c>
      <c r="P8" s="94">
        <f t="shared" si="2"/>
        <v>311197.14285714284</v>
      </c>
      <c r="Q8" s="94">
        <f t="shared" si="3"/>
        <v>21495.861775453133</v>
      </c>
      <c r="R8" s="93">
        <f t="shared" si="5"/>
        <v>5.4930356010198587</v>
      </c>
    </row>
    <row r="9" spans="2:18">
      <c r="B9" s="103" t="s">
        <v>196</v>
      </c>
      <c r="C9" s="96">
        <v>1000</v>
      </c>
      <c r="D9" s="96">
        <v>3</v>
      </c>
      <c r="E9" s="96">
        <v>13995</v>
      </c>
      <c r="F9" s="96">
        <v>7</v>
      </c>
      <c r="G9" s="95">
        <f t="shared" si="4"/>
        <v>2039271428.5714283</v>
      </c>
      <c r="H9" s="96">
        <v>3</v>
      </c>
      <c r="I9" s="96">
        <v>13769</v>
      </c>
      <c r="J9" s="96">
        <v>7</v>
      </c>
      <c r="K9" s="95">
        <f t="shared" si="0"/>
        <v>2006339999.9999998</v>
      </c>
      <c r="L9" s="96">
        <v>3</v>
      </c>
      <c r="M9" s="96">
        <v>15093</v>
      </c>
      <c r="N9" s="96">
        <v>7</v>
      </c>
      <c r="O9" s="95">
        <f t="shared" si="1"/>
        <v>2199265714.2857146</v>
      </c>
      <c r="P9" s="94">
        <f t="shared" si="2"/>
        <v>2081625714.2857141</v>
      </c>
      <c r="Q9" s="94">
        <f t="shared" si="3"/>
        <v>103201244.89045103</v>
      </c>
      <c r="R9" s="93">
        <f t="shared" si="5"/>
        <v>9.3184026440827186</v>
      </c>
    </row>
    <row r="10" spans="2:18">
      <c r="B10" s="103" t="s">
        <v>197</v>
      </c>
      <c r="C10" s="96">
        <v>900</v>
      </c>
      <c r="D10" s="96">
        <v>3</v>
      </c>
      <c r="E10" s="96">
        <v>6387</v>
      </c>
      <c r="F10" s="96">
        <v>7</v>
      </c>
      <c r="G10" s="95">
        <f t="shared" si="4"/>
        <v>930677142.85714281</v>
      </c>
      <c r="H10" s="96">
        <v>3</v>
      </c>
      <c r="I10" s="96">
        <v>7378</v>
      </c>
      <c r="J10" s="96">
        <v>7</v>
      </c>
      <c r="K10" s="95">
        <f t="shared" si="0"/>
        <v>1075080000</v>
      </c>
      <c r="L10" s="96">
        <v>3</v>
      </c>
      <c r="M10" s="96">
        <v>6564</v>
      </c>
      <c r="N10" s="96">
        <v>7</v>
      </c>
      <c r="O10" s="95">
        <f t="shared" si="1"/>
        <v>956468571.42857134</v>
      </c>
      <c r="P10" s="94">
        <f t="shared" si="2"/>
        <v>987408571.42857134</v>
      </c>
      <c r="Q10" s="94">
        <f t="shared" si="3"/>
        <v>77013044.270143658</v>
      </c>
      <c r="R10" s="93">
        <f t="shared" si="5"/>
        <v>8.9944968928936131</v>
      </c>
    </row>
    <row r="11" spans="2:18">
      <c r="B11" s="103" t="s">
        <v>198</v>
      </c>
      <c r="C11" s="96">
        <v>900</v>
      </c>
      <c r="D11" s="96">
        <v>3</v>
      </c>
      <c r="E11" s="96">
        <v>3341</v>
      </c>
      <c r="F11" s="96">
        <v>7</v>
      </c>
      <c r="G11" s="95">
        <f t="shared" si="4"/>
        <v>486831428.5714286</v>
      </c>
      <c r="H11" s="96">
        <v>3</v>
      </c>
      <c r="I11" s="96">
        <v>3712</v>
      </c>
      <c r="J11" s="96">
        <v>7</v>
      </c>
      <c r="K11" s="95">
        <f t="shared" si="0"/>
        <v>540891428.57142866</v>
      </c>
      <c r="L11" s="96">
        <v>3</v>
      </c>
      <c r="M11" s="96">
        <v>3690</v>
      </c>
      <c r="N11" s="96">
        <v>7</v>
      </c>
      <c r="O11" s="95">
        <f t="shared" si="1"/>
        <v>537685714.28571427</v>
      </c>
      <c r="P11" s="94">
        <f t="shared" ref="P11:P19" si="6">AVERAGE(O11,K11,G11)</f>
        <v>521802857.14285713</v>
      </c>
      <c r="Q11" s="94">
        <f t="shared" ref="Q11:Q19" si="7">STDEV(O11,K11,G11)</f>
        <v>30328530.516088422</v>
      </c>
      <c r="R11" s="93">
        <f t="shared" si="5"/>
        <v>8.7175064527595634</v>
      </c>
    </row>
    <row r="12" spans="2:18">
      <c r="B12" s="103" t="s">
        <v>199</v>
      </c>
      <c r="C12" s="96">
        <v>900</v>
      </c>
      <c r="D12" s="96">
        <v>2</v>
      </c>
      <c r="E12" s="96">
        <v>19134</v>
      </c>
      <c r="F12" s="96">
        <v>7</v>
      </c>
      <c r="G12" s="95">
        <f>(E12/F12)*(10.2)*POWER(10,D12+2)</f>
        <v>278809714.28571427</v>
      </c>
      <c r="H12" s="96">
        <v>2</v>
      </c>
      <c r="I12" s="96">
        <v>18838</v>
      </c>
      <c r="J12" s="96">
        <v>7</v>
      </c>
      <c r="K12" s="95">
        <f t="shared" si="0"/>
        <v>274496571.42857146</v>
      </c>
      <c r="L12" s="96">
        <v>2</v>
      </c>
      <c r="M12" s="96">
        <v>18096</v>
      </c>
      <c r="N12" s="96">
        <v>7</v>
      </c>
      <c r="O12" s="95">
        <f t="shared" si="1"/>
        <v>263684571.42857143</v>
      </c>
      <c r="P12" s="94">
        <f t="shared" si="6"/>
        <v>272330285.71428573</v>
      </c>
      <c r="Q12" s="94">
        <f t="shared" si="7"/>
        <v>7791795.8109272597</v>
      </c>
      <c r="R12" s="93">
        <f t="shared" si="5"/>
        <v>8.4350959416969342</v>
      </c>
    </row>
    <row r="13" spans="2:18">
      <c r="B13" s="103" t="s">
        <v>200</v>
      </c>
      <c r="C13" s="96">
        <v>900</v>
      </c>
      <c r="D13" s="96">
        <v>2</v>
      </c>
      <c r="E13" s="96">
        <v>9224</v>
      </c>
      <c r="F13" s="96">
        <v>7</v>
      </c>
      <c r="G13" s="95">
        <f t="shared" si="4"/>
        <v>134406857.14285713</v>
      </c>
      <c r="H13" s="96">
        <v>2</v>
      </c>
      <c r="I13" s="96">
        <v>9341</v>
      </c>
      <c r="J13" s="96">
        <v>7</v>
      </c>
      <c r="K13" s="95">
        <f t="shared" si="0"/>
        <v>136111714.28571427</v>
      </c>
      <c r="L13" s="96">
        <v>2</v>
      </c>
      <c r="M13" s="96">
        <v>9173</v>
      </c>
      <c r="N13" s="96">
        <v>7</v>
      </c>
      <c r="O13" s="95">
        <f t="shared" si="1"/>
        <v>133663714.28571427</v>
      </c>
      <c r="P13" s="94">
        <f t="shared" si="6"/>
        <v>134727428.57142857</v>
      </c>
      <c r="Q13" s="94">
        <f t="shared" si="7"/>
        <v>1255089.8496172463</v>
      </c>
      <c r="R13" s="93">
        <f t="shared" si="5"/>
        <v>8.1294560208497231</v>
      </c>
    </row>
    <row r="14" spans="2:18">
      <c r="B14" s="103" t="s">
        <v>201</v>
      </c>
      <c r="C14" s="96">
        <v>900</v>
      </c>
      <c r="D14" s="96">
        <v>2</v>
      </c>
      <c r="E14" s="96">
        <v>4238</v>
      </c>
      <c r="F14" s="96">
        <v>7</v>
      </c>
      <c r="G14" s="95">
        <f t="shared" si="4"/>
        <v>61753714.285714284</v>
      </c>
      <c r="H14" s="96">
        <v>2</v>
      </c>
      <c r="I14" s="96">
        <v>4832</v>
      </c>
      <c r="J14" s="96">
        <v>7</v>
      </c>
      <c r="K14" s="95">
        <f t="shared" si="0"/>
        <v>70409142.857142866</v>
      </c>
      <c r="L14" s="96">
        <v>2</v>
      </c>
      <c r="M14" s="96">
        <v>4770</v>
      </c>
      <c r="N14" s="96">
        <v>7</v>
      </c>
      <c r="O14" s="95">
        <f t="shared" si="1"/>
        <v>69505714.285714284</v>
      </c>
      <c r="P14" s="94">
        <f t="shared" si="6"/>
        <v>67222857.142857134</v>
      </c>
      <c r="Q14" s="94">
        <f t="shared" si="7"/>
        <v>4757907.9950957391</v>
      </c>
      <c r="R14" s="93">
        <f t="shared" si="5"/>
        <v>7.8275169671487372</v>
      </c>
    </row>
    <row r="15" spans="2:18">
      <c r="B15" s="103" t="s">
        <v>202</v>
      </c>
      <c r="C15" s="96">
        <v>900</v>
      </c>
      <c r="D15" s="96">
        <v>1</v>
      </c>
      <c r="E15" s="96">
        <v>22411</v>
      </c>
      <c r="F15" s="96">
        <v>7</v>
      </c>
      <c r="G15" s="95">
        <f t="shared" si="4"/>
        <v>32656028.571428567</v>
      </c>
      <c r="H15" s="96">
        <v>1</v>
      </c>
      <c r="I15" s="96">
        <v>23826</v>
      </c>
      <c r="J15" s="96">
        <v>7</v>
      </c>
      <c r="K15" s="95">
        <f t="shared" si="0"/>
        <v>34717885.714285716</v>
      </c>
      <c r="L15" s="96">
        <v>1</v>
      </c>
      <c r="M15" s="96">
        <v>24471</v>
      </c>
      <c r="N15" s="96">
        <v>7</v>
      </c>
      <c r="O15" s="95">
        <f t="shared" si="1"/>
        <v>35657742.857142851</v>
      </c>
      <c r="P15" s="94">
        <f t="shared" si="6"/>
        <v>34343885.714285709</v>
      </c>
      <c r="Q15" s="94">
        <f t="shared" si="7"/>
        <v>1535408.4678890193</v>
      </c>
      <c r="R15" s="93">
        <f t="shared" si="5"/>
        <v>7.5358494302775298</v>
      </c>
    </row>
    <row r="16" spans="2:18">
      <c r="B16" s="103" t="s">
        <v>203</v>
      </c>
      <c r="C16" s="96">
        <v>900</v>
      </c>
      <c r="D16" s="96">
        <v>1</v>
      </c>
      <c r="E16" s="96">
        <v>12012</v>
      </c>
      <c r="F16" s="96">
        <v>7</v>
      </c>
      <c r="G16" s="95">
        <f t="shared" si="4"/>
        <v>17503199.999999996</v>
      </c>
      <c r="H16" s="96">
        <v>1</v>
      </c>
      <c r="I16" s="96">
        <v>12668</v>
      </c>
      <c r="J16" s="96">
        <v>7</v>
      </c>
      <c r="K16" s="95">
        <f t="shared" si="0"/>
        <v>18459085.714285713</v>
      </c>
      <c r="L16" s="96">
        <v>1</v>
      </c>
      <c r="M16" s="96">
        <v>11470</v>
      </c>
      <c r="N16" s="96">
        <v>7</v>
      </c>
      <c r="O16" s="95">
        <f t="shared" si="1"/>
        <v>16713428.571428573</v>
      </c>
      <c r="P16" s="94">
        <f t="shared" si="6"/>
        <v>17558571.428571429</v>
      </c>
      <c r="Q16" s="94">
        <f t="shared" si="7"/>
        <v>874144.84579420183</v>
      </c>
      <c r="R16" s="93">
        <f t="shared" si="5"/>
        <v>7.2444891786585481</v>
      </c>
    </row>
    <row r="17" spans="2:18">
      <c r="B17" s="103" t="s">
        <v>204</v>
      </c>
      <c r="C17" s="96">
        <v>900</v>
      </c>
      <c r="D17" s="96">
        <v>1</v>
      </c>
      <c r="E17" s="96">
        <v>5750</v>
      </c>
      <c r="F17" s="96">
        <v>7</v>
      </c>
      <c r="G17" s="95">
        <f t="shared" si="4"/>
        <v>8378571.4285714272</v>
      </c>
      <c r="H17" s="96">
        <v>1</v>
      </c>
      <c r="I17" s="96">
        <v>5481</v>
      </c>
      <c r="J17" s="96">
        <v>7</v>
      </c>
      <c r="K17" s="95">
        <f t="shared" si="0"/>
        <v>7986599.9999999991</v>
      </c>
      <c r="L17" s="96">
        <v>1</v>
      </c>
      <c r="M17" s="96">
        <v>5831</v>
      </c>
      <c r="N17" s="96">
        <v>7</v>
      </c>
      <c r="O17" s="95">
        <f t="shared" si="1"/>
        <v>8496599.9999999981</v>
      </c>
      <c r="P17" s="94">
        <f t="shared" si="6"/>
        <v>8287257.1428571418</v>
      </c>
      <c r="Q17" s="94">
        <f t="shared" si="7"/>
        <v>266980.75601367303</v>
      </c>
      <c r="R17" s="93">
        <f t="shared" si="5"/>
        <v>6.9184108146481318</v>
      </c>
    </row>
    <row r="18" spans="2:18">
      <c r="B18" s="103" t="s">
        <v>205</v>
      </c>
      <c r="C18" s="96">
        <v>900</v>
      </c>
      <c r="D18" s="96">
        <v>1</v>
      </c>
      <c r="E18" s="96">
        <v>2868</v>
      </c>
      <c r="F18" s="96">
        <v>7</v>
      </c>
      <c r="G18" s="95">
        <f t="shared" si="4"/>
        <v>4179085.7142857141</v>
      </c>
      <c r="H18" s="96">
        <v>1</v>
      </c>
      <c r="I18" s="96">
        <v>2835</v>
      </c>
      <c r="J18" s="96">
        <v>7</v>
      </c>
      <c r="K18" s="95">
        <f t="shared" si="0"/>
        <v>4131000</v>
      </c>
      <c r="L18" s="96">
        <v>1</v>
      </c>
      <c r="M18" s="96">
        <v>2976</v>
      </c>
      <c r="N18" s="96">
        <v>7</v>
      </c>
      <c r="O18" s="95">
        <f t="shared" si="1"/>
        <v>4336457.1428571427</v>
      </c>
      <c r="P18" s="94">
        <f t="shared" si="6"/>
        <v>4215514.2857142854</v>
      </c>
      <c r="Q18" s="94">
        <f t="shared" si="7"/>
        <v>107463.6682790979</v>
      </c>
      <c r="R18" s="93">
        <f t="shared" si="5"/>
        <v>6.6248505653956435</v>
      </c>
    </row>
    <row r="19" spans="2:18">
      <c r="B19" s="103" t="s">
        <v>206</v>
      </c>
      <c r="C19" s="96">
        <v>900</v>
      </c>
      <c r="D19" s="96">
        <v>0</v>
      </c>
      <c r="E19" s="96">
        <v>10096</v>
      </c>
      <c r="F19" s="96">
        <v>7</v>
      </c>
      <c r="G19" s="95">
        <f t="shared" si="4"/>
        <v>1471131.4285714284</v>
      </c>
      <c r="H19" s="96">
        <v>0</v>
      </c>
      <c r="I19" s="96">
        <v>8923</v>
      </c>
      <c r="J19" s="96">
        <v>7</v>
      </c>
      <c r="K19" s="95">
        <f>(I19/J19)*(10.2)*POWER(10,H19+2)</f>
        <v>1300208.5714285716</v>
      </c>
      <c r="L19" s="96">
        <v>0</v>
      </c>
      <c r="M19" s="96">
        <v>8050</v>
      </c>
      <c r="N19" s="96">
        <v>7</v>
      </c>
      <c r="O19" s="95">
        <f t="shared" si="1"/>
        <v>1173000</v>
      </c>
      <c r="P19" s="94">
        <f t="shared" si="6"/>
        <v>1314780</v>
      </c>
      <c r="Q19" s="94">
        <f t="shared" si="7"/>
        <v>149598.9039848533</v>
      </c>
      <c r="R19" s="93">
        <f t="shared" si="5"/>
        <v>6.118853089115321</v>
      </c>
    </row>
    <row r="20" spans="2:18" ht="15" thickBot="1"/>
    <row r="21" spans="2:18" ht="55" customHeight="1" thickBot="1">
      <c r="B21" s="106" t="s">
        <v>4</v>
      </c>
      <c r="C21" s="106" t="s">
        <v>180</v>
      </c>
      <c r="D21" s="106" t="s">
        <v>179</v>
      </c>
      <c r="E21" s="106" t="s">
        <v>178</v>
      </c>
      <c r="F21" s="106" t="s">
        <v>177</v>
      </c>
      <c r="G21" s="107" t="s">
        <v>215</v>
      </c>
      <c r="H21" s="109" t="s">
        <v>216</v>
      </c>
      <c r="I21" s="109" t="s">
        <v>211</v>
      </c>
      <c r="J21" s="109" t="s">
        <v>212</v>
      </c>
      <c r="K21" s="109" t="s">
        <v>213</v>
      </c>
      <c r="L21" s="109" t="s">
        <v>214</v>
      </c>
      <c r="M21" s="108" t="s">
        <v>231</v>
      </c>
    </row>
    <row r="23" spans="2:18">
      <c r="B23" s="103" t="s">
        <v>191</v>
      </c>
      <c r="C23" s="110">
        <v>16.382114410400391</v>
      </c>
      <c r="D23" s="110">
        <v>16.2430419921875</v>
      </c>
      <c r="E23" s="110">
        <v>16.416009902954102</v>
      </c>
      <c r="F23" s="110">
        <f>AVERAGE(C23:E23)</f>
        <v>16.347055435180664</v>
      </c>
      <c r="G23" s="90">
        <f>15*180/4*1000/900</f>
        <v>750</v>
      </c>
      <c r="H23" s="90">
        <f>LOG(G23)/LOG(2)</f>
        <v>9.5507467853832431</v>
      </c>
      <c r="I23" s="96">
        <f>C23-H23</f>
        <v>6.8313676250171476</v>
      </c>
      <c r="J23" s="96">
        <f>D23-H23</f>
        <v>6.6922952068042569</v>
      </c>
      <c r="K23" s="96">
        <f>E23-H23</f>
        <v>6.8652631175708585</v>
      </c>
      <c r="L23" s="91">
        <f>AVERAGE(I23:K23)</f>
        <v>6.796308649797421</v>
      </c>
    </row>
    <row r="24" spans="2:18">
      <c r="B24" s="103" t="s">
        <v>192</v>
      </c>
      <c r="C24" s="110">
        <v>20.246736526489258</v>
      </c>
      <c r="D24" s="110">
        <v>20.337041854858398</v>
      </c>
      <c r="E24" s="110">
        <v>20.223323822021484</v>
      </c>
      <c r="F24" s="110">
        <f t="shared" ref="F24:F38" si="8">AVERAGE(C24:E24)</f>
        <v>20.269034067789715</v>
      </c>
      <c r="G24" s="90">
        <f t="shared" ref="G24:G26" si="9">15*180/4*1000/900</f>
        <v>750</v>
      </c>
      <c r="H24" s="90">
        <f t="shared" ref="H24:H38" si="10">LOG(G24)/LOG(2)</f>
        <v>9.5507467853832431</v>
      </c>
      <c r="I24" s="96">
        <f t="shared" ref="I24:I38" si="11">C24-H24</f>
        <v>10.695989741106015</v>
      </c>
      <c r="J24" s="96">
        <f t="shared" ref="J24:J38" si="12">D24-H24</f>
        <v>10.786295069475155</v>
      </c>
      <c r="K24" s="96">
        <f t="shared" ref="K24:K38" si="13">E24-H24</f>
        <v>10.672577036638241</v>
      </c>
      <c r="L24" s="91">
        <f t="shared" ref="L24:L38" si="14">AVERAGE(I24:K24)</f>
        <v>10.71828728240647</v>
      </c>
    </row>
    <row r="25" spans="2:18">
      <c r="B25" s="103" t="s">
        <v>193</v>
      </c>
      <c r="C25" s="110">
        <v>23.471084594726562</v>
      </c>
      <c r="D25" s="110">
        <v>23.434993743896484</v>
      </c>
      <c r="E25" s="110">
        <v>23.65556526184082</v>
      </c>
      <c r="F25" s="110">
        <f t="shared" si="8"/>
        <v>23.520547866821289</v>
      </c>
      <c r="G25" s="90">
        <f t="shared" si="9"/>
        <v>750</v>
      </c>
      <c r="H25" s="90">
        <f t="shared" si="10"/>
        <v>9.5507467853832431</v>
      </c>
      <c r="I25" s="96">
        <f t="shared" si="11"/>
        <v>13.920337809343319</v>
      </c>
      <c r="J25" s="96">
        <f t="shared" si="12"/>
        <v>13.884246958513241</v>
      </c>
      <c r="K25" s="96">
        <f t="shared" si="13"/>
        <v>14.104818476457577</v>
      </c>
      <c r="L25" s="91">
        <f t="shared" si="14"/>
        <v>13.969801081438044</v>
      </c>
    </row>
    <row r="26" spans="2:18">
      <c r="B26" s="103" t="s">
        <v>194</v>
      </c>
      <c r="C26" s="110">
        <v>27.687118530273438</v>
      </c>
      <c r="D26" s="110">
        <v>27.683933258056641</v>
      </c>
      <c r="E26" s="110">
        <v>27.721792221069336</v>
      </c>
      <c r="F26" s="110">
        <f t="shared" si="8"/>
        <v>27.697614669799805</v>
      </c>
      <c r="G26" s="90">
        <f t="shared" si="9"/>
        <v>750</v>
      </c>
      <c r="H26" s="90">
        <f t="shared" si="10"/>
        <v>9.5507467853832431</v>
      </c>
      <c r="I26" s="96">
        <f t="shared" si="11"/>
        <v>18.136371744890194</v>
      </c>
      <c r="J26" s="96">
        <f t="shared" si="12"/>
        <v>18.133186472673398</v>
      </c>
      <c r="K26" s="96">
        <f t="shared" si="13"/>
        <v>18.171045435686093</v>
      </c>
      <c r="L26" s="91">
        <f t="shared" si="14"/>
        <v>18.146867884416562</v>
      </c>
    </row>
    <row r="27" spans="2:18">
      <c r="B27" s="103" t="s">
        <v>195</v>
      </c>
      <c r="C27" s="110">
        <v>31.580327987670898</v>
      </c>
      <c r="D27" s="110">
        <v>31.876550674438477</v>
      </c>
      <c r="E27" s="110">
        <v>31.972114562988281</v>
      </c>
      <c r="F27" s="110">
        <f t="shared" si="8"/>
        <v>31.809664408365887</v>
      </c>
      <c r="G27" s="90">
        <f>15*180/4*1000/900</f>
        <v>750</v>
      </c>
      <c r="H27" s="90">
        <f>LOG(G27)/LOG(2)</f>
        <v>9.5507467853832431</v>
      </c>
      <c r="I27" s="96">
        <f t="shared" si="11"/>
        <v>22.029581202287655</v>
      </c>
      <c r="J27" s="96">
        <f t="shared" si="12"/>
        <v>22.325803889055233</v>
      </c>
      <c r="K27" s="96">
        <f t="shared" si="13"/>
        <v>22.421367777605038</v>
      </c>
      <c r="L27" s="91">
        <f t="shared" si="14"/>
        <v>22.25891762298264</v>
      </c>
    </row>
    <row r="28" spans="2:18">
      <c r="B28" s="103" t="s">
        <v>196</v>
      </c>
      <c r="C28" s="110">
        <v>16.648801803588867</v>
      </c>
      <c r="D28" s="110">
        <v>17.485513687133789</v>
      </c>
      <c r="E28" s="110">
        <v>16.725131988525391</v>
      </c>
      <c r="F28" s="110">
        <f t="shared" si="8"/>
        <v>16.953149159749348</v>
      </c>
      <c r="G28" s="90">
        <f>15*180/4*1000/1000</f>
        <v>675</v>
      </c>
      <c r="H28" s="90">
        <f t="shared" si="10"/>
        <v>9.3987436919381935</v>
      </c>
      <c r="I28" s="96">
        <f t="shared" si="11"/>
        <v>7.2500581116506737</v>
      </c>
      <c r="J28" s="96">
        <f t="shared" si="12"/>
        <v>8.0867699951955956</v>
      </c>
      <c r="K28" s="96">
        <f t="shared" si="13"/>
        <v>7.3263882965871971</v>
      </c>
      <c r="L28" s="91">
        <f t="shared" si="14"/>
        <v>7.5544054678111552</v>
      </c>
    </row>
    <row r="29" spans="2:18">
      <c r="B29" s="103" t="s">
        <v>197</v>
      </c>
      <c r="C29" s="110">
        <v>19.15205192565918</v>
      </c>
      <c r="D29" s="110">
        <v>18.957448959350586</v>
      </c>
      <c r="E29" s="110">
        <v>18.855649948120117</v>
      </c>
      <c r="F29" s="110">
        <f t="shared" si="8"/>
        <v>18.988383611043293</v>
      </c>
      <c r="G29" s="90">
        <f>15*180/4*1000/500</f>
        <v>1350</v>
      </c>
      <c r="H29" s="90">
        <f t="shared" si="10"/>
        <v>10.398743691938193</v>
      </c>
      <c r="I29" s="96">
        <f t="shared" si="11"/>
        <v>8.7533082337209862</v>
      </c>
      <c r="J29" s="96">
        <f t="shared" si="12"/>
        <v>8.5587052674123925</v>
      </c>
      <c r="K29" s="96">
        <f t="shared" si="13"/>
        <v>8.4569062561819237</v>
      </c>
      <c r="L29" s="91">
        <f t="shared" si="14"/>
        <v>8.5896399191051014</v>
      </c>
    </row>
    <row r="30" spans="2:18">
      <c r="B30" s="103" t="s">
        <v>198</v>
      </c>
      <c r="C30" s="110">
        <v>19.934587478637695</v>
      </c>
      <c r="D30" s="110">
        <v>19.768661499023438</v>
      </c>
      <c r="E30" s="110">
        <v>19.823604583740234</v>
      </c>
      <c r="F30" s="110">
        <f t="shared" si="8"/>
        <v>19.842284520467121</v>
      </c>
      <c r="G30" s="90">
        <f t="shared" ref="G30:G38" si="15">15*180/4*1000/500</f>
        <v>1350</v>
      </c>
      <c r="H30" s="90">
        <f t="shared" si="10"/>
        <v>10.398743691938193</v>
      </c>
      <c r="I30" s="96">
        <f t="shared" si="11"/>
        <v>9.5358437866995018</v>
      </c>
      <c r="J30" s="96">
        <f t="shared" si="12"/>
        <v>9.369917807085244</v>
      </c>
      <c r="K30" s="96">
        <f t="shared" si="13"/>
        <v>9.4248608918020409</v>
      </c>
      <c r="L30" s="91">
        <f t="shared" si="14"/>
        <v>9.4435408285289295</v>
      </c>
    </row>
    <row r="31" spans="2:18">
      <c r="B31" s="103" t="s">
        <v>199</v>
      </c>
      <c r="C31" s="110">
        <v>20.650510787963867</v>
      </c>
      <c r="D31" s="110">
        <v>20.447122573852539</v>
      </c>
      <c r="E31" s="110">
        <v>20.447004318237305</v>
      </c>
      <c r="F31" s="110">
        <f t="shared" si="8"/>
        <v>20.51487922668457</v>
      </c>
      <c r="G31" s="90">
        <f t="shared" si="15"/>
        <v>1350</v>
      </c>
      <c r="H31" s="90">
        <f t="shared" si="10"/>
        <v>10.398743691938193</v>
      </c>
      <c r="I31" s="96">
        <f t="shared" si="11"/>
        <v>10.251767096025674</v>
      </c>
      <c r="J31" s="96">
        <f t="shared" si="12"/>
        <v>10.048378881914346</v>
      </c>
      <c r="K31" s="96">
        <f t="shared" si="13"/>
        <v>10.048260626299111</v>
      </c>
      <c r="L31" s="91">
        <f t="shared" si="14"/>
        <v>10.116135534746377</v>
      </c>
    </row>
    <row r="32" spans="2:18">
      <c r="B32" s="103" t="s">
        <v>200</v>
      </c>
      <c r="C32" s="110">
        <v>21.825428009033203</v>
      </c>
      <c r="D32" s="110">
        <v>21.617404937744141</v>
      </c>
      <c r="E32" s="110">
        <v>21.863065719604492</v>
      </c>
      <c r="F32" s="110">
        <f t="shared" si="8"/>
        <v>21.768632888793945</v>
      </c>
      <c r="G32" s="90">
        <f t="shared" si="15"/>
        <v>1350</v>
      </c>
      <c r="H32" s="90">
        <f t="shared" si="10"/>
        <v>10.398743691938193</v>
      </c>
      <c r="I32" s="96">
        <f t="shared" si="11"/>
        <v>11.42668431709501</v>
      </c>
      <c r="J32" s="96">
        <f t="shared" si="12"/>
        <v>11.218661245805947</v>
      </c>
      <c r="K32" s="96">
        <f t="shared" si="13"/>
        <v>11.464322027666299</v>
      </c>
      <c r="L32" s="91">
        <f t="shared" si="14"/>
        <v>11.369889196855752</v>
      </c>
    </row>
    <row r="33" spans="2:12">
      <c r="B33" s="103" t="s">
        <v>201</v>
      </c>
      <c r="C33" s="110">
        <v>22.909189224243164</v>
      </c>
      <c r="D33" s="110">
        <v>22.986705780029297</v>
      </c>
      <c r="E33" s="110">
        <v>23.151363372802734</v>
      </c>
      <c r="F33" s="110">
        <f t="shared" si="8"/>
        <v>23.015752792358398</v>
      </c>
      <c r="G33" s="90">
        <f>15*180/4*1000/500</f>
        <v>1350</v>
      </c>
      <c r="H33" s="90">
        <f t="shared" si="10"/>
        <v>10.398743691938193</v>
      </c>
      <c r="I33" s="96">
        <f t="shared" si="11"/>
        <v>12.510445532304971</v>
      </c>
      <c r="J33" s="96">
        <f t="shared" si="12"/>
        <v>12.587962088091103</v>
      </c>
      <c r="K33" s="96">
        <f t="shared" si="13"/>
        <v>12.752619680864541</v>
      </c>
      <c r="L33" s="91">
        <f t="shared" si="14"/>
        <v>12.617009100420205</v>
      </c>
    </row>
    <row r="34" spans="2:12">
      <c r="B34" s="103" t="s">
        <v>202</v>
      </c>
      <c r="C34" s="110">
        <v>24.431295394897461</v>
      </c>
      <c r="D34" s="110">
        <v>24.009675979614258</v>
      </c>
      <c r="E34" s="110">
        <v>23.951196670532227</v>
      </c>
      <c r="F34" s="110">
        <f t="shared" si="8"/>
        <v>24.130722681681316</v>
      </c>
      <c r="G34" s="90">
        <f t="shared" si="15"/>
        <v>1350</v>
      </c>
      <c r="H34" s="90">
        <f t="shared" si="10"/>
        <v>10.398743691938193</v>
      </c>
      <c r="I34" s="96">
        <f t="shared" si="11"/>
        <v>14.032551702959267</v>
      </c>
      <c r="J34" s="96">
        <f t="shared" si="12"/>
        <v>13.610932287676064</v>
      </c>
      <c r="K34" s="96">
        <f t="shared" si="13"/>
        <v>13.552452978594033</v>
      </c>
      <c r="L34" s="91">
        <f t="shared" si="14"/>
        <v>13.731978989743121</v>
      </c>
    </row>
    <row r="35" spans="2:12">
      <c r="B35" s="103" t="s">
        <v>203</v>
      </c>
      <c r="C35" s="110">
        <v>25.132335662841797</v>
      </c>
      <c r="D35" s="110">
        <v>24.967596054077148</v>
      </c>
      <c r="E35" s="110">
        <v>25.03386116027832</v>
      </c>
      <c r="F35" s="110">
        <f t="shared" si="8"/>
        <v>25.044597625732422</v>
      </c>
      <c r="G35" s="90">
        <f t="shared" si="15"/>
        <v>1350</v>
      </c>
      <c r="H35" s="90">
        <f t="shared" si="10"/>
        <v>10.398743691938193</v>
      </c>
      <c r="I35" s="96">
        <f t="shared" si="11"/>
        <v>14.733591970903603</v>
      </c>
      <c r="J35" s="96">
        <f t="shared" si="12"/>
        <v>14.568852362138955</v>
      </c>
      <c r="K35" s="96">
        <f t="shared" si="13"/>
        <v>14.635117468340127</v>
      </c>
      <c r="L35" s="91">
        <f t="shared" si="14"/>
        <v>14.645853933794228</v>
      </c>
    </row>
    <row r="36" spans="2:12">
      <c r="B36" s="103" t="s">
        <v>204</v>
      </c>
      <c r="C36" s="110">
        <v>26.708147048950195</v>
      </c>
      <c r="D36" s="110">
        <v>26.763067245483398</v>
      </c>
      <c r="E36" s="110"/>
      <c r="F36" s="110">
        <f t="shared" si="8"/>
        <v>26.735607147216797</v>
      </c>
      <c r="G36" s="90">
        <f t="shared" si="15"/>
        <v>1350</v>
      </c>
      <c r="H36" s="90">
        <f t="shared" si="10"/>
        <v>10.398743691938193</v>
      </c>
      <c r="I36" s="96">
        <f t="shared" si="11"/>
        <v>16.309403357012002</v>
      </c>
      <c r="J36" s="96">
        <f t="shared" si="12"/>
        <v>16.364323553545205</v>
      </c>
      <c r="K36" s="96"/>
      <c r="L36" s="91">
        <f t="shared" si="14"/>
        <v>16.336863455278603</v>
      </c>
    </row>
    <row r="37" spans="2:12">
      <c r="B37" s="103" t="s">
        <v>205</v>
      </c>
      <c r="C37" s="110">
        <v>27.613700866699219</v>
      </c>
      <c r="D37" s="110">
        <v>27.812423706054688</v>
      </c>
      <c r="E37" s="110">
        <v>27.789873123168945</v>
      </c>
      <c r="F37" s="110">
        <f t="shared" si="8"/>
        <v>27.738665898640949</v>
      </c>
      <c r="G37" s="90">
        <f t="shared" si="15"/>
        <v>1350</v>
      </c>
      <c r="H37" s="90">
        <f t="shared" si="10"/>
        <v>10.398743691938193</v>
      </c>
      <c r="I37" s="96">
        <f t="shared" si="11"/>
        <v>17.214957174761025</v>
      </c>
      <c r="J37" s="96">
        <f t="shared" si="12"/>
        <v>17.413680014116494</v>
      </c>
      <c r="K37" s="96">
        <f t="shared" si="13"/>
        <v>17.391129431230752</v>
      </c>
      <c r="L37" s="91">
        <f t="shared" si="14"/>
        <v>17.339922206702756</v>
      </c>
    </row>
    <row r="38" spans="2:12">
      <c r="B38" s="103" t="s">
        <v>206</v>
      </c>
      <c r="C38" s="110">
        <v>29.07282829284668</v>
      </c>
      <c r="D38" s="110">
        <v>28.964012145996094</v>
      </c>
      <c r="E38" s="110">
        <v>29.311826705932617</v>
      </c>
      <c r="F38" s="110">
        <f t="shared" si="8"/>
        <v>29.116222381591797</v>
      </c>
      <c r="G38" s="90">
        <f t="shared" si="15"/>
        <v>1350</v>
      </c>
      <c r="H38" s="90">
        <f t="shared" si="10"/>
        <v>10.398743691938193</v>
      </c>
      <c r="I38" s="96">
        <f t="shared" si="11"/>
        <v>18.674084600908486</v>
      </c>
      <c r="J38" s="96">
        <f t="shared" si="12"/>
        <v>18.5652684540579</v>
      </c>
      <c r="K38" s="96">
        <f t="shared" si="13"/>
        <v>18.913083013994424</v>
      </c>
      <c r="L38" s="91">
        <f t="shared" si="14"/>
        <v>18.717478689653603</v>
      </c>
    </row>
    <row r="40" spans="2:12">
      <c r="B40" s="103" t="s">
        <v>221</v>
      </c>
      <c r="C40" s="110">
        <v>15.713388442993164</v>
      </c>
      <c r="D40" s="110">
        <v>15.726656913757324</v>
      </c>
      <c r="E40" s="110">
        <v>15.612536430358887</v>
      </c>
      <c r="F40" s="110">
        <f>AVERAGE(C40:E40)</f>
        <v>15.684193929036459</v>
      </c>
    </row>
    <row r="42" spans="2:12">
      <c r="B42" s="111" t="s">
        <v>226</v>
      </c>
      <c r="C42" s="90" t="s">
        <v>176</v>
      </c>
    </row>
    <row r="43" spans="2:12">
      <c r="B43" s="108" t="s">
        <v>227</v>
      </c>
      <c r="C43" s="90" t="s">
        <v>176</v>
      </c>
    </row>
    <row r="44" spans="2:12">
      <c r="C44" s="92" t="s">
        <v>175</v>
      </c>
      <c r="D44" s="91">
        <v>-3.6977000000000002</v>
      </c>
    </row>
    <row r="45" spans="2:12">
      <c r="C45" s="92" t="s">
        <v>174</v>
      </c>
      <c r="D45" s="91">
        <v>41.616</v>
      </c>
    </row>
    <row r="48" spans="2:12">
      <c r="B48" s="108" t="s">
        <v>217</v>
      </c>
      <c r="D48" s="90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73"/>
  <sheetViews>
    <sheetView topLeftCell="A57" workbookViewId="0">
      <selection activeCell="H8" sqref="H8"/>
    </sheetView>
  </sheetViews>
  <sheetFormatPr baseColWidth="10" defaultColWidth="8.83203125" defaultRowHeight="14" x14ac:dyDescent="0"/>
  <cols>
    <col min="1" max="1" width="13.33203125" style="90" bestFit="1" customWidth="1"/>
    <col min="2" max="4" width="8.83203125" style="90"/>
    <col min="5" max="6" width="13.33203125" style="90" bestFit="1" customWidth="1"/>
    <col min="7" max="10" width="13.6640625" style="90" customWidth="1"/>
    <col min="11" max="11" width="16.5" style="90" bestFit="1" customWidth="1"/>
    <col min="12" max="12" width="17" style="90" customWidth="1"/>
    <col min="13" max="13" width="19.1640625" style="90" customWidth="1"/>
    <col min="14" max="14" width="17" style="90" customWidth="1"/>
    <col min="15" max="15" width="18.83203125" style="90" customWidth="1"/>
    <col min="16" max="16" width="18" style="90" customWidth="1"/>
    <col min="17" max="17" width="23.5" style="90" customWidth="1"/>
    <col min="18" max="18" width="18.5" style="90" customWidth="1"/>
    <col min="19" max="19" width="23.5" style="90" customWidth="1"/>
    <col min="20" max="16384" width="8.83203125" style="90"/>
  </cols>
  <sheetData>
    <row r="1" spans="1:21">
      <c r="A1" s="104" t="s">
        <v>222</v>
      </c>
    </row>
    <row r="2" spans="1:21">
      <c r="A2" s="128" t="s">
        <v>4</v>
      </c>
      <c r="B2" s="128" t="s">
        <v>104</v>
      </c>
      <c r="C2" s="128" t="s">
        <v>104</v>
      </c>
      <c r="D2" s="128" t="s">
        <v>5</v>
      </c>
      <c r="E2" s="140" t="s">
        <v>190</v>
      </c>
      <c r="F2" s="140" t="s">
        <v>189</v>
      </c>
      <c r="G2" s="140" t="s">
        <v>188</v>
      </c>
      <c r="H2" s="142" t="s">
        <v>218</v>
      </c>
      <c r="I2" s="142" t="s">
        <v>219</v>
      </c>
      <c r="J2" s="142" t="s">
        <v>220</v>
      </c>
      <c r="K2" s="140" t="s">
        <v>187</v>
      </c>
      <c r="L2" s="140" t="s">
        <v>186</v>
      </c>
      <c r="M2" s="140" t="s">
        <v>185</v>
      </c>
      <c r="N2" s="140" t="s">
        <v>184</v>
      </c>
      <c r="O2" s="140" t="s">
        <v>183</v>
      </c>
      <c r="P2" s="142" t="s">
        <v>210</v>
      </c>
      <c r="Q2" s="142" t="s">
        <v>224</v>
      </c>
      <c r="R2" s="146" t="s">
        <v>208</v>
      </c>
      <c r="S2" s="142" t="s">
        <v>209</v>
      </c>
      <c r="U2" s="62"/>
    </row>
    <row r="3" spans="1:21">
      <c r="A3" s="129"/>
      <c r="B3" s="129"/>
      <c r="C3" s="129"/>
      <c r="D3" s="129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7"/>
      <c r="S3" s="141"/>
      <c r="U3" s="62"/>
    </row>
    <row r="4" spans="1:21">
      <c r="A4" s="40">
        <v>0</v>
      </c>
      <c r="B4" s="54">
        <v>10</v>
      </c>
      <c r="C4" s="55">
        <v>10</v>
      </c>
      <c r="D4" s="65">
        <v>0.16666666666666666</v>
      </c>
      <c r="E4" s="110">
        <v>23.612724304199219</v>
      </c>
      <c r="F4" s="110">
        <v>23.961868286132812</v>
      </c>
      <c r="G4" s="110">
        <v>24.223474502563477</v>
      </c>
      <c r="H4" s="110">
        <f>E4-$H$51+$H$73</f>
        <v>23.681265159809229</v>
      </c>
      <c r="I4" s="110">
        <f>F4-$H$51+$H$73</f>
        <v>24.030409141742822</v>
      </c>
      <c r="J4" s="110">
        <f>G4-$H$51+$H$73</f>
        <v>24.292015358173487</v>
      </c>
      <c r="K4" s="102">
        <f>((H4-'Calibration R. intestinalis '!$D$45)/('Calibration R. intestinalis '!$D$44))+$B$24</f>
        <v>8.5034531607155408</v>
      </c>
      <c r="L4" s="102">
        <f>((I4-'Calibration R. intestinalis '!$D$45)/('Calibration R. intestinalis '!$D$44))+$B$24</f>
        <v>8.4090312276399555</v>
      </c>
      <c r="M4" s="102">
        <f>((J4-'Calibration R. intestinalis '!$D$45)/('Calibration R. intestinalis '!$D$44))+$B$24</f>
        <v>8.3382828661096351</v>
      </c>
      <c r="N4" s="114">
        <f>AVERAGE(K4:M4)</f>
        <v>8.4169224181550444</v>
      </c>
      <c r="O4" s="114">
        <f>STDEV(K4:M4)</f>
        <v>8.2867422554701711E-2</v>
      </c>
      <c r="P4" s="91">
        <f>(AVERAGE(POWER(10,K4),POWER(10,L4),POWER(10,M4)))*(Calculation!I4/Calculation!K3)</f>
        <v>264551916.60642198</v>
      </c>
      <c r="Q4" s="115">
        <f>(STDEV(POWER(10,K4),POWER(10,L4),POWER(10,M4)))*(Calculation!I4/Calculation!K3)</f>
        <v>50916545.411696956</v>
      </c>
      <c r="R4" s="114">
        <f>LOG(P4)</f>
        <v>8.4225109122244461</v>
      </c>
      <c r="S4" s="114">
        <f>O4*(Calculation!I4/Calculation!K3)</f>
        <v>8.2922156651501391E-2</v>
      </c>
      <c r="U4" s="62"/>
    </row>
    <row r="5" spans="1:21">
      <c r="A5" s="40">
        <v>1</v>
      </c>
      <c r="B5" s="54">
        <v>110</v>
      </c>
      <c r="C5" s="55">
        <f>C4+B5</f>
        <v>120</v>
      </c>
      <c r="D5" s="65">
        <v>2</v>
      </c>
      <c r="E5" s="117">
        <v>22.501482009887695</v>
      </c>
      <c r="F5" s="110">
        <v>23.449161529541016</v>
      </c>
      <c r="G5" s="110">
        <v>22.951993942260742</v>
      </c>
      <c r="H5" s="110">
        <f>E5-$H$51+$H$73</f>
        <v>22.570022865497705</v>
      </c>
      <c r="I5" s="110">
        <f>F5-$H$51+$H$73</f>
        <v>23.517702385151026</v>
      </c>
      <c r="J5" s="110">
        <f>G5-$H$51+$H$73</f>
        <v>23.020534797870752</v>
      </c>
      <c r="K5" s="102">
        <f>((H5-'Calibration R. intestinalis '!$D$45)/('Calibration R. intestinalis '!$D$44))+$B$24</f>
        <v>8.8039757272600205</v>
      </c>
      <c r="L5" s="102">
        <f>((I5-'Calibration R. intestinalis '!$D$45)/('Calibration R. intestinalis '!$D$44))+$B$24</f>
        <v>8.5476868126229988</v>
      </c>
      <c r="M5" s="102">
        <f>((J5-'Calibration R. intestinalis '!$D$45)/('Calibration R. intestinalis '!$D$44))+$B$24</f>
        <v>8.6821400098213299</v>
      </c>
      <c r="N5" s="114">
        <f t="shared" ref="N5:N20" si="0">AVERAGE(K5:M5)</f>
        <v>8.6779341832347825</v>
      </c>
      <c r="O5" s="114">
        <f t="shared" ref="O5:O20" si="1">STDEV(K5:M5)</f>
        <v>0.12819621162270253</v>
      </c>
      <c r="P5" s="91">
        <f>(AVERAGE(POWER(10,K5),POWER(10,L5),POWER(10,M5)))*(Calculation!I5/Calculation!K4)</f>
        <v>491220663.23532456</v>
      </c>
      <c r="Q5" s="115">
        <f>(STDEV(POWER(10,K5),POWER(10,L5),POWER(10,M5)))*(Calculation!I5/Calculation!K4)</f>
        <v>142428705.55982763</v>
      </c>
      <c r="R5" s="114">
        <f>LOG(P5)</f>
        <v>8.6912766271484472</v>
      </c>
      <c r="S5" s="114">
        <f>O5*(Calculation!I5/Calculation!K4)</f>
        <v>0.12845589350379763</v>
      </c>
      <c r="U5" s="62"/>
    </row>
    <row r="6" spans="1:21">
      <c r="A6" s="40">
        <v>2</v>
      </c>
      <c r="B6" s="54">
        <v>80</v>
      </c>
      <c r="C6" s="55">
        <f t="shared" ref="C6:C18" si="2">C5+B6</f>
        <v>200</v>
      </c>
      <c r="D6" s="65">
        <v>3.3333333333333335</v>
      </c>
      <c r="E6" s="110">
        <v>21.680257797241211</v>
      </c>
      <c r="F6" s="110">
        <v>22.340240478515625</v>
      </c>
      <c r="G6" s="110">
        <v>22.882991790771484</v>
      </c>
      <c r="H6" s="110">
        <f>E6-$H$51+$H$73</f>
        <v>21.748798652851221</v>
      </c>
      <c r="I6" s="110">
        <f>F6-$H$51+$H$73</f>
        <v>22.408781334125635</v>
      </c>
      <c r="J6" s="110">
        <f>G6-$H$51+$H$73</f>
        <v>22.951532646381494</v>
      </c>
      <c r="K6" s="102">
        <f>((H6-'Calibration R. intestinalis '!$D$45)/('Calibration R. intestinalis '!$D$44))+$B$24</f>
        <v>9.0260662734499455</v>
      </c>
      <c r="L6" s="102">
        <f>((I6-'Calibration R. intestinalis '!$D$45)/('Calibration R. intestinalis '!$D$44))+$B$24</f>
        <v>8.8475816258921629</v>
      </c>
      <c r="M6" s="102">
        <f>((J6-'Calibration R. intestinalis '!$D$45)/('Calibration R. intestinalis '!$D$44))+$B$24</f>
        <v>8.700800839929034</v>
      </c>
      <c r="N6" s="114">
        <f t="shared" si="0"/>
        <v>8.8581495797570486</v>
      </c>
      <c r="O6" s="114">
        <f t="shared" si="1"/>
        <v>0.16289002976718489</v>
      </c>
      <c r="P6" s="91">
        <f>(AVERAGE(POWER(10,K6),POWER(10,L6),POWER(10,M6)))*(Calculation!I6/Calculation!K5)</f>
        <v>758606053.21156299</v>
      </c>
      <c r="Q6" s="115">
        <f>(STDEV(POWER(10,K6),POWER(10,L6),POWER(10,M6)))*(Calculation!I6/Calculation!K5)</f>
        <v>284448986.15339011</v>
      </c>
      <c r="R6" s="114">
        <f t="shared" ref="R6:R20" si="3">LOG(P6)</f>
        <v>8.8800163037845028</v>
      </c>
      <c r="S6" s="114">
        <f>O6*(Calculation!I6/Calculation!K5)</f>
        <v>0.1634526623414885</v>
      </c>
      <c r="U6" s="62"/>
    </row>
    <row r="7" spans="1:21">
      <c r="A7" s="40">
        <v>3</v>
      </c>
      <c r="B7" s="54">
        <v>80</v>
      </c>
      <c r="C7" s="55">
        <f>C6+B7</f>
        <v>280</v>
      </c>
      <c r="D7" s="65">
        <v>4.666666666666667</v>
      </c>
      <c r="E7" s="110">
        <v>20.774471282958984</v>
      </c>
      <c r="F7" s="110">
        <v>22.142963409423828</v>
      </c>
      <c r="G7" s="110">
        <v>21.415531158447266</v>
      </c>
      <c r="H7" s="110">
        <f>E7-$H$51+$H$73</f>
        <v>20.843012138568994</v>
      </c>
      <c r="I7" s="110">
        <f>F7-$H$51+$H$73</f>
        <v>22.211504265033838</v>
      </c>
      <c r="J7" s="110">
        <f>G7-$H$51+$H$73</f>
        <v>21.484072014057276</v>
      </c>
      <c r="K7" s="102">
        <f>((H7-'Calibration R. intestinalis '!$D$45)/('Calibration R. intestinalis '!$D$44))+$B$24</f>
        <v>9.2710257115553159</v>
      </c>
      <c r="L7" s="102">
        <f>((I7-'Calibration R. intestinalis '!$D$45)/('Calibration R. intestinalis '!$D$44))+$B$24</f>
        <v>8.9009329169898184</v>
      </c>
      <c r="M7" s="102">
        <f>((J7-'Calibration R. intestinalis '!$D$45)/('Calibration R. intestinalis '!$D$44))+$B$24</f>
        <v>9.0976585169510269</v>
      </c>
      <c r="N7" s="114">
        <f t="shared" si="0"/>
        <v>9.0898723818320537</v>
      </c>
      <c r="O7" s="114">
        <f t="shared" si="1"/>
        <v>0.18516921199916866</v>
      </c>
      <c r="P7" s="91">
        <f>(AVERAGE(POWER(10,K7),POWER(10,L7),POWER(10,M7)))*(Calculation!I7/Calculation!K6)</f>
        <v>1313278289.8996854</v>
      </c>
      <c r="Q7" s="115">
        <f>(STDEV(POWER(10,K7),POWER(10,L7),POWER(10,M7)))*(Calculation!I7/Calculation!K6)</f>
        <v>540623415.69565558</v>
      </c>
      <c r="R7" s="114">
        <f t="shared" si="3"/>
        <v>9.1183567649025168</v>
      </c>
      <c r="S7" s="114">
        <f>O7*(Calculation!I7/Calculation!K6)</f>
        <v>0.18635893537151377</v>
      </c>
      <c r="U7" s="62"/>
    </row>
    <row r="8" spans="1:21">
      <c r="A8" s="40">
        <v>4</v>
      </c>
      <c r="B8" s="54">
        <v>80</v>
      </c>
      <c r="C8" s="55">
        <f t="shared" si="2"/>
        <v>360</v>
      </c>
      <c r="D8" s="65">
        <v>6</v>
      </c>
      <c r="E8" s="110">
        <v>20.394235610961914</v>
      </c>
      <c r="F8" s="110">
        <v>21.13841438293457</v>
      </c>
      <c r="G8" s="110">
        <v>20.376834869384766</v>
      </c>
      <c r="H8" s="110">
        <f>E8-$H$51+$H$73</f>
        <v>20.462776466571924</v>
      </c>
      <c r="I8" s="110">
        <f>F8-$H$51+$H$73</f>
        <v>21.20695523854458</v>
      </c>
      <c r="J8" s="110">
        <f>G8-$H$51+$H$73</f>
        <v>20.445375724994776</v>
      </c>
      <c r="K8" s="102">
        <f>((H8-'Calibration R. intestinalis '!$D$45)/('Calibration R. intestinalis '!$D$44))+$B$24</f>
        <v>9.3738560309422514</v>
      </c>
      <c r="L8" s="102">
        <f>((I8-'Calibration R. intestinalis '!$D$45)/('Calibration R. intestinalis '!$D$44))+$B$24</f>
        <v>9.1726015289619234</v>
      </c>
      <c r="M8" s="102">
        <f>((J8-'Calibration R. intestinalis '!$D$45)/('Calibration R. intestinalis '!$D$44))+$B$24</f>
        <v>9.3785618593158748</v>
      </c>
      <c r="N8" s="114">
        <f t="shared" si="0"/>
        <v>9.3083398064066838</v>
      </c>
      <c r="O8" s="114">
        <f t="shared" si="1"/>
        <v>0.11757634191419396</v>
      </c>
      <c r="P8" s="91">
        <f>(AVERAGE(POWER(10,K8),POWER(10,L8),POWER(10,M8)))*(Calculation!I8/Calculation!K7)</f>
        <v>2102755212.1309712</v>
      </c>
      <c r="Q8" s="115">
        <f>(STDEV(POWER(10,K8),POWER(10,L8),POWER(10,M8)))*(Calculation!I8/Calculation!K7)</f>
        <v>519304661.26870501</v>
      </c>
      <c r="R8" s="114">
        <f t="shared" si="3"/>
        <v>9.3227887181411742</v>
      </c>
      <c r="S8" s="114">
        <f>O8*(Calculation!I8/Calculation!K7)</f>
        <v>0.11878585136864248</v>
      </c>
      <c r="U8" s="62"/>
    </row>
    <row r="9" spans="1:21">
      <c r="A9" s="40">
        <v>5</v>
      </c>
      <c r="B9" s="54">
        <v>80</v>
      </c>
      <c r="C9" s="55">
        <f t="shared" si="2"/>
        <v>440</v>
      </c>
      <c r="D9" s="65">
        <v>7.333333333333333</v>
      </c>
      <c r="E9" s="110">
        <v>19.629901885986328</v>
      </c>
      <c r="F9" s="110">
        <v>20.503023147583008</v>
      </c>
      <c r="G9" s="110">
        <v>20.234403610229492</v>
      </c>
      <c r="H9" s="110">
        <f>E9-$H$51+$H$73</f>
        <v>19.698442741596338</v>
      </c>
      <c r="I9" s="110">
        <f>F9-$H$51+$H$73</f>
        <v>20.571564003193018</v>
      </c>
      <c r="J9" s="110">
        <f>G9-$H$51+$H$73</f>
        <v>20.302944465839502</v>
      </c>
      <c r="K9" s="102">
        <f>((H9-'Calibration R. intestinalis '!$D$45)/('Calibration R. intestinalis '!$D$44))+$B$24</f>
        <v>9.5805612057740621</v>
      </c>
      <c r="L9" s="102">
        <f>((I9-'Calibration R. intestinalis '!$D$45)/('Calibration R. intestinalis '!$D$44))+$B$24</f>
        <v>9.3444357057073493</v>
      </c>
      <c r="M9" s="102">
        <f>((J9-'Calibration R. intestinalis '!$D$45)/('Calibration R. intestinalis '!$D$44))+$B$24</f>
        <v>9.41708073839078</v>
      </c>
      <c r="N9" s="114">
        <f t="shared" si="0"/>
        <v>9.4473592166240632</v>
      </c>
      <c r="O9" s="114">
        <f t="shared" si="1"/>
        <v>0.12093966524069505</v>
      </c>
      <c r="P9" s="91">
        <f>(AVERAGE(POWER(10,K9),POWER(10,L9),POWER(10,M9)))*(Calculation!I9/Calculation!K8)</f>
        <v>2917637327.189877</v>
      </c>
      <c r="Q9" s="115">
        <f>(STDEV(POWER(10,K9),POWER(10,L9),POWER(10,M9)))*(Calculation!I9/Calculation!K8)</f>
        <v>842226099.44609308</v>
      </c>
      <c r="R9" s="114">
        <f t="shared" si="3"/>
        <v>9.4650313065467753</v>
      </c>
      <c r="S9" s="114">
        <f>O9*(Calculation!I9/Calculation!K8)</f>
        <v>0.12266671306390443</v>
      </c>
      <c r="U9" s="62"/>
    </row>
    <row r="10" spans="1:21">
      <c r="A10" s="40">
        <v>6</v>
      </c>
      <c r="B10" s="54">
        <v>80</v>
      </c>
      <c r="C10" s="55">
        <f t="shared" si="2"/>
        <v>520</v>
      </c>
      <c r="D10" s="65">
        <v>8.6666666666666661</v>
      </c>
      <c r="E10" s="110">
        <v>19.615961074829102</v>
      </c>
      <c r="F10" s="110">
        <v>19.714202880859375</v>
      </c>
      <c r="G10" s="110">
        <v>20.180397033691406</v>
      </c>
      <c r="H10" s="110">
        <f>E10-$H$51+$H$73</f>
        <v>19.684501930439112</v>
      </c>
      <c r="I10" s="110">
        <f>F10-$H$51+$H$73</f>
        <v>19.782743736469385</v>
      </c>
      <c r="J10" s="110">
        <f>G10-$H$51+$H$73</f>
        <v>20.248937889301416</v>
      </c>
      <c r="K10" s="102">
        <f>((H10-'Calibration R. intestinalis '!$D$45)/('Calibration R. intestinalis '!$D$44))+$B$24</f>
        <v>9.5843313361678817</v>
      </c>
      <c r="L10" s="102">
        <f>((I10-'Calibration R. intestinalis '!$D$45)/('Calibration R. intestinalis '!$D$44))+$B$24</f>
        <v>9.5577629812363636</v>
      </c>
      <c r="M10" s="102">
        <f>((J10-'Calibration R. intestinalis '!$D$45)/('Calibration R. intestinalis '!$D$44))+$B$24</f>
        <v>9.4316861894922983</v>
      </c>
      <c r="N10" s="114">
        <f t="shared" si="0"/>
        <v>9.5245935022988473</v>
      </c>
      <c r="O10" s="114">
        <f t="shared" si="1"/>
        <v>8.1549346721125335E-2</v>
      </c>
      <c r="P10" s="91">
        <f>(AVERAGE(POWER(10,K10),POWER(10,L10),POWER(10,M10)))*(Calculation!I10/Calculation!K9)</f>
        <v>3447103829.1658044</v>
      </c>
      <c r="Q10" s="115">
        <f>(STDEV(POWER(10,K10),POWER(10,L10),POWER(10,M10)))*(Calculation!I10/Calculation!K9)</f>
        <v>613218063.01887465</v>
      </c>
      <c r="R10" s="114">
        <f t="shared" si="3"/>
        <v>9.5374543648569343</v>
      </c>
      <c r="S10" s="114">
        <f>O10*(Calculation!I10/Calculation!K9)</f>
        <v>8.3052604942322028E-2</v>
      </c>
      <c r="U10" s="62"/>
    </row>
    <row r="11" spans="1:21">
      <c r="A11" s="40">
        <v>7</v>
      </c>
      <c r="B11" s="54">
        <v>80</v>
      </c>
      <c r="C11" s="55">
        <f t="shared" si="2"/>
        <v>600</v>
      </c>
      <c r="D11" s="65">
        <v>10</v>
      </c>
      <c r="E11" s="110">
        <v>19.348123550415039</v>
      </c>
      <c r="F11" s="110">
        <v>19.787702560424805</v>
      </c>
      <c r="G11" s="110">
        <v>20.116565704345703</v>
      </c>
      <c r="H11" s="110">
        <f>E11-$H$60+$H$73</f>
        <v>19.116345688068506</v>
      </c>
      <c r="I11" s="110">
        <f>F11-$H$60+$H$73</f>
        <v>19.555924698078272</v>
      </c>
      <c r="J11" s="110">
        <f>G11-$H$60+$H$73</f>
        <v>19.88478784199917</v>
      </c>
      <c r="K11" s="102">
        <f>((H11-'Calibration R. intestinalis '!$D$45)/('Calibration R. intestinalis '!$D$44))+$B$24</f>
        <v>9.7379825902908781</v>
      </c>
      <c r="L11" s="102">
        <f>((I11-'Calibration R. intestinalis '!$D$45)/('Calibration R. intestinalis '!$D$44))+$B$24</f>
        <v>9.6191035546715025</v>
      </c>
      <c r="M11" s="102">
        <f>((J11-'Calibration R. intestinalis '!$D$45)/('Calibration R. intestinalis '!$D$44))+$B$24</f>
        <v>9.5301663385855839</v>
      </c>
      <c r="N11" s="114">
        <f t="shared" si="0"/>
        <v>9.6290841611826554</v>
      </c>
      <c r="O11" s="114">
        <f t="shared" si="1"/>
        <v>0.1042670033997208</v>
      </c>
      <c r="P11" s="91">
        <f>(AVERAGE(POWER(10,K11),POWER(10,L11),POWER(10,M11)))*(Calculation!I11/Calculation!K10)</f>
        <v>4442516031.3546333</v>
      </c>
      <c r="Q11" s="115">
        <f>(STDEV(POWER(10,K11),POWER(10,L11),POWER(10,M11)))*(Calculation!I11/Calculation!K10)</f>
        <v>1076555664.9866824</v>
      </c>
      <c r="R11" s="114">
        <f t="shared" si="3"/>
        <v>9.6476290036841572</v>
      </c>
      <c r="S11" s="114">
        <f>O11*(Calculation!I11/Calculation!K10)</f>
        <v>0.10673173639833471</v>
      </c>
      <c r="U11" s="62"/>
    </row>
    <row r="12" spans="1:21">
      <c r="A12" s="40">
        <v>8</v>
      </c>
      <c r="B12" s="54">
        <v>80</v>
      </c>
      <c r="C12" s="55">
        <f t="shared" si="2"/>
        <v>680</v>
      </c>
      <c r="D12" s="65">
        <v>11.333333333333334</v>
      </c>
      <c r="E12" s="110">
        <v>19.070869445800781</v>
      </c>
      <c r="F12" s="110">
        <v>19.338344573974609</v>
      </c>
      <c r="G12" s="110">
        <v>19.645732879638672</v>
      </c>
      <c r="H12" s="110">
        <f>E12-$H$51+$H$73</f>
        <v>19.139410301410791</v>
      </c>
      <c r="I12" s="110">
        <f>F12-$H$51+$H$73</f>
        <v>19.406885429584619</v>
      </c>
      <c r="J12" s="110">
        <f>G12-$H$51+$H$73</f>
        <v>19.714273735248682</v>
      </c>
      <c r="K12" s="102">
        <f>((H12-'Calibration R. intestinalis '!$D$45)/('Calibration R. intestinalis '!$D$44))+$B$24</f>
        <v>9.7317450336090801</v>
      </c>
      <c r="L12" s="102">
        <f>((I12-'Calibration R. intestinalis '!$D$45)/('Calibration R. intestinalis '!$D$44))+$B$24</f>
        <v>9.6594094930909673</v>
      </c>
      <c r="M12" s="102">
        <f>((J12-'Calibration R. intestinalis '!$D$45)/('Calibration R. intestinalis '!$D$44))+$B$24</f>
        <v>9.5762798974871952</v>
      </c>
      <c r="N12" s="114">
        <f t="shared" si="0"/>
        <v>9.6558114747290826</v>
      </c>
      <c r="O12" s="114">
        <f t="shared" si="1"/>
        <v>7.7794996236572947E-2</v>
      </c>
      <c r="P12" s="91">
        <f>(AVERAGE(POWER(10,K12),POWER(10,L12),POWER(10,M12)))*(Calculation!I12/Calculation!K11)</f>
        <v>4704238073.3819122</v>
      </c>
      <c r="Q12" s="115">
        <f>(STDEV(POWER(10,K12),POWER(10,L12),POWER(10,M12)))*(Calculation!I12/Calculation!K11)</f>
        <v>834141839.65439391</v>
      </c>
      <c r="R12" s="114">
        <f t="shared" si="3"/>
        <v>9.6724892925195523</v>
      </c>
      <c r="S12" s="114">
        <f>O12*(Calculation!I12/Calculation!K11)</f>
        <v>7.9986328948988564E-2</v>
      </c>
      <c r="U12" s="62"/>
    </row>
    <row r="13" spans="1:21">
      <c r="A13" s="40">
        <v>9</v>
      </c>
      <c r="B13" s="54">
        <v>80</v>
      </c>
      <c r="C13" s="55">
        <f t="shared" si="2"/>
        <v>760</v>
      </c>
      <c r="D13" s="65">
        <v>12.666666666666666</v>
      </c>
      <c r="E13" s="110">
        <v>18.719123840332031</v>
      </c>
      <c r="F13" s="110">
        <v>19.282100677490234</v>
      </c>
      <c r="G13" s="110">
        <v>19.132780075073242</v>
      </c>
      <c r="H13" s="110">
        <f>E13-$H$51+$H$73</f>
        <v>18.787664695942041</v>
      </c>
      <c r="I13" s="110">
        <f>F13-$H$51+$H$73</f>
        <v>19.350641533100244</v>
      </c>
      <c r="J13" s="110">
        <f>G13-$H$51+$H$73</f>
        <v>19.201320930683252</v>
      </c>
      <c r="K13" s="102">
        <f>((H13-'Calibration R. intestinalis '!$D$45)/('Calibration R. intestinalis '!$D$44))+$B$24</f>
        <v>9.8268705455404834</v>
      </c>
      <c r="L13" s="102">
        <f>((I13-'Calibration R. intestinalis '!$D$45)/('Calibration R. intestinalis '!$D$44))+$B$24</f>
        <v>9.6746200013756773</v>
      </c>
      <c r="M13" s="102">
        <f>((J13-'Calibration R. intestinalis '!$D$45)/('Calibration R. intestinalis '!$D$44))+$B$24</f>
        <v>9.7150020232857806</v>
      </c>
      <c r="N13" s="114">
        <f t="shared" si="0"/>
        <v>9.7388308567339799</v>
      </c>
      <c r="O13" s="114">
        <f t="shared" si="1"/>
        <v>7.8872790157610312E-2</v>
      </c>
      <c r="P13" s="91">
        <f>(AVERAGE(POWER(10,K13),POWER(10,L13),POWER(10,M13)))*(Calculation!I13/Calculation!K12)</f>
        <v>5724778142.8789358</v>
      </c>
      <c r="Q13" s="115">
        <f>(STDEV(POWER(10,K13),POWER(10,L13),POWER(10,M13)))*(Calculation!I13/Calculation!K12)</f>
        <v>1073019529.5716925</v>
      </c>
      <c r="R13" s="114">
        <f t="shared" si="3"/>
        <v>9.7577586607603237</v>
      </c>
      <c r="S13" s="114">
        <f>O13*(Calculation!I13/Calculation!K12)</f>
        <v>8.1465793946087481E-2</v>
      </c>
      <c r="U13" s="62"/>
    </row>
    <row r="14" spans="1:21">
      <c r="A14" s="40">
        <v>10</v>
      </c>
      <c r="B14" s="54">
        <v>80</v>
      </c>
      <c r="C14" s="55">
        <f t="shared" si="2"/>
        <v>840</v>
      </c>
      <c r="D14" s="65">
        <v>14</v>
      </c>
      <c r="E14" s="110">
        <v>18.49669075012207</v>
      </c>
      <c r="F14" s="110">
        <v>18.817012786865234</v>
      </c>
      <c r="G14" s="110">
        <v>18.882558822631836</v>
      </c>
      <c r="H14" s="110">
        <f>E14-$H$51+$H$73</f>
        <v>18.56523160573208</v>
      </c>
      <c r="I14" s="110">
        <f>F14-$H$51+$H$73</f>
        <v>18.885553642475244</v>
      </c>
      <c r="J14" s="110">
        <f>G14-$H$51+$H$73</f>
        <v>18.951099678241846</v>
      </c>
      <c r="K14" s="102">
        <f>((H14-'Calibration R. intestinalis '!$D$45)/('Calibration R. intestinalis '!$D$44))+$B$24</f>
        <v>9.8870249902520495</v>
      </c>
      <c r="L14" s="102">
        <f>((I14-'Calibration R. intestinalis '!$D$45)/('Calibration R. intestinalis '!$D$44))+$B$24</f>
        <v>9.8003976173599376</v>
      </c>
      <c r="M14" s="102">
        <f>((J14-'Calibration R. intestinalis '!$D$45)/('Calibration R. intestinalis '!$D$44))+$B$24</f>
        <v>9.7826714535914867</v>
      </c>
      <c r="N14" s="114">
        <f t="shared" si="0"/>
        <v>9.8233646870678246</v>
      </c>
      <c r="O14" s="114">
        <f t="shared" si="1"/>
        <v>5.5839321912224731E-2</v>
      </c>
      <c r="P14" s="91">
        <f>(AVERAGE(POWER(10,K14),POWER(10,L14),POWER(10,M14)))*(Calculation!I14/Calculation!K13)</f>
        <v>6955785797.5834885</v>
      </c>
      <c r="Q14" s="115">
        <f>(STDEV(POWER(10,K14),POWER(10,L14),POWER(10,M14)))*(Calculation!I14/Calculation!K13)</f>
        <v>921274889.29642355</v>
      </c>
      <c r="R14" s="114">
        <f t="shared" si="3"/>
        <v>9.8423461995009074</v>
      </c>
      <c r="S14" s="114">
        <f>O14*(Calculation!I14/Calculation!K13)</f>
        <v>5.8006866465943954E-2</v>
      </c>
      <c r="U14" s="62"/>
    </row>
    <row r="15" spans="1:21">
      <c r="A15" s="40">
        <v>11</v>
      </c>
      <c r="B15" s="54">
        <v>80</v>
      </c>
      <c r="C15" s="55">
        <f t="shared" si="2"/>
        <v>920</v>
      </c>
      <c r="D15" s="65">
        <v>15.333333333333334</v>
      </c>
      <c r="E15" s="110">
        <v>18.799602508544922</v>
      </c>
      <c r="F15" s="110">
        <v>19.086898803710938</v>
      </c>
      <c r="G15" s="110">
        <v>19.157648086547852</v>
      </c>
      <c r="H15" s="110">
        <f>E15-$H$51+$H$73</f>
        <v>18.868143364154932</v>
      </c>
      <c r="I15" s="110">
        <f>F15-$H$51+$H$73</f>
        <v>19.155439659320947</v>
      </c>
      <c r="J15" s="110">
        <f>G15-$H$51+$H$73</f>
        <v>19.226188942157862</v>
      </c>
      <c r="K15" s="102">
        <f>((H15-'Calibration R. intestinalis '!$D$45)/('Calibration R. intestinalis '!$D$44))+$B$24</f>
        <v>9.8051060248349398</v>
      </c>
      <c r="L15" s="102">
        <f>((I15-'Calibration R. intestinalis '!$D$45)/('Calibration R. intestinalis '!$D$44))+$B$24</f>
        <v>9.7274100800135592</v>
      </c>
      <c r="M15" s="102">
        <f>((J15-'Calibration R. intestinalis '!$D$45)/('Calibration R. intestinalis '!$D$44))+$B$24</f>
        <v>9.7082767585334739</v>
      </c>
      <c r="N15" s="114">
        <f t="shared" si="0"/>
        <v>9.746930954460657</v>
      </c>
      <c r="O15" s="114">
        <f t="shared" si="1"/>
        <v>5.1281332934164078E-2</v>
      </c>
      <c r="P15" s="91">
        <f>(AVERAGE(POWER(10,K15),POWER(10,L15),POWER(10,M15)))*(Calculation!I15/Calculation!K14)</f>
        <v>5839705622.3470802</v>
      </c>
      <c r="Q15" s="115">
        <f>(STDEV(POWER(10,K15),POWER(10,L15),POWER(10,M15)))*(Calculation!I15/Calculation!K14)</f>
        <v>707823868.60153639</v>
      </c>
      <c r="R15" s="114">
        <f t="shared" si="3"/>
        <v>9.7663909550212082</v>
      </c>
      <c r="S15" s="114">
        <f>O15*(Calculation!I15/Calculation!K14)</f>
        <v>5.33782788467329E-2</v>
      </c>
      <c r="U15" s="62"/>
    </row>
    <row r="16" spans="1:21">
      <c r="A16" s="40">
        <v>12</v>
      </c>
      <c r="B16" s="54">
        <v>80</v>
      </c>
      <c r="C16" s="55">
        <f t="shared" si="2"/>
        <v>1000</v>
      </c>
      <c r="D16" s="65">
        <v>16.666666666666668</v>
      </c>
      <c r="E16" s="110">
        <v>18.987184524536133</v>
      </c>
      <c r="F16" s="110">
        <v>19.268836975097656</v>
      </c>
      <c r="G16" s="110">
        <v>19.603570938110352</v>
      </c>
      <c r="H16" s="110">
        <f>E16-$H$51+$H$73</f>
        <v>19.055725380146143</v>
      </c>
      <c r="I16" s="110">
        <f>F16-$H$51+$H$73</f>
        <v>19.337377830707666</v>
      </c>
      <c r="J16" s="110">
        <f>G16-$H$51+$H$73</f>
        <v>19.672111793720362</v>
      </c>
      <c r="K16" s="102">
        <f>((H16-'Calibration R. intestinalis '!$D$45)/('Calibration R. intestinalis '!$D$44))+$B$24</f>
        <v>9.754376648197784</v>
      </c>
      <c r="L16" s="102">
        <f>((I16-'Calibration R. intestinalis '!$D$45)/('Calibration R. intestinalis '!$D$44))+$B$24</f>
        <v>9.6782070155716848</v>
      </c>
      <c r="M16" s="102">
        <f>((J16-'Calibration R. intestinalis '!$D$45)/('Calibration R. intestinalis '!$D$44))+$B$24</f>
        <v>9.5876821046776985</v>
      </c>
      <c r="N16" s="114">
        <f t="shared" si="0"/>
        <v>9.6734219228157219</v>
      </c>
      <c r="O16" s="114">
        <f t="shared" si="1"/>
        <v>8.345022794669163E-2</v>
      </c>
      <c r="P16" s="91">
        <f>(AVERAGE(POWER(10,K16),POWER(10,L16),POWER(10,M16)))*(Calculation!I16/Calculation!K15)</f>
        <v>4977775798.4292431</v>
      </c>
      <c r="Q16" s="115">
        <f>(STDEV(POWER(10,K16),POWER(10,L16),POWER(10,M16)))*(Calculation!I16/Calculation!K15)</f>
        <v>944320199.37470269</v>
      </c>
      <c r="R16" s="114">
        <f t="shared" si="3"/>
        <v>9.6970353318672373</v>
      </c>
      <c r="S16" s="114">
        <f>O16*(Calculation!I16/Calculation!K15)</f>
        <v>8.7044503916034091E-2</v>
      </c>
      <c r="U16" s="62"/>
    </row>
    <row r="17" spans="1:21">
      <c r="A17" s="40">
        <v>13</v>
      </c>
      <c r="B17" s="54">
        <v>80</v>
      </c>
      <c r="C17" s="55">
        <f t="shared" si="2"/>
        <v>1080</v>
      </c>
      <c r="D17" s="65">
        <v>18</v>
      </c>
      <c r="E17" s="110">
        <v>19.334278106689453</v>
      </c>
      <c r="F17" s="110">
        <v>19.631366729736328</v>
      </c>
      <c r="G17" s="110">
        <v>19.5406494140625</v>
      </c>
      <c r="H17" s="110">
        <f>E17-$H$51+$H$73</f>
        <v>19.402818962299463</v>
      </c>
      <c r="I17" s="110">
        <f>F17-$H$51+$H$73</f>
        <v>19.699907585346338</v>
      </c>
      <c r="J17" s="110">
        <f>G17-$H$51+$H$73</f>
        <v>19.60919026967251</v>
      </c>
      <c r="K17" s="102">
        <f>((H17-'Calibration R. intestinalis '!$D$45)/('Calibration R. intestinalis '!$D$44))+$B$24</f>
        <v>9.6605092219183888</v>
      </c>
      <c r="L17" s="102">
        <f>((I17-'Calibration R. intestinalis '!$D$45)/('Calibration R. intestinalis '!$D$44))+$B$24</f>
        <v>9.5801650558024569</v>
      </c>
      <c r="M17" s="102">
        <f>((J17-'Calibration R. intestinalis '!$D$45)/('Calibration R. intestinalis '!$D$44))+$B$24</f>
        <v>9.6046984997470251</v>
      </c>
      <c r="N17" s="114">
        <f t="shared" si="0"/>
        <v>9.6151242591559569</v>
      </c>
      <c r="O17" s="114">
        <f t="shared" si="1"/>
        <v>4.1174246825604617E-2</v>
      </c>
      <c r="P17" s="91">
        <f>(AVERAGE(POWER(10,K17),POWER(10,L17),POWER(10,M17)))*(Calculation!I17/Calculation!K16)</f>
        <v>4312736279.4916258</v>
      </c>
      <c r="Q17" s="115">
        <f>(STDEV(POWER(10,K17),POWER(10,L17),POWER(10,M17)))*(Calculation!I17/Calculation!K16)</f>
        <v>415224138.58194911</v>
      </c>
      <c r="R17" s="114">
        <f t="shared" si="3"/>
        <v>9.6347529021841467</v>
      </c>
      <c r="S17" s="114">
        <f>O17*(Calculation!I17/Calculation!K16)</f>
        <v>4.2947658469435997E-2</v>
      </c>
      <c r="U17" s="62"/>
    </row>
    <row r="18" spans="1:21">
      <c r="A18" s="40">
        <v>14</v>
      </c>
      <c r="B18" s="54">
        <v>360</v>
      </c>
      <c r="C18" s="55">
        <f t="shared" si="2"/>
        <v>1440</v>
      </c>
      <c r="D18" s="65">
        <v>24</v>
      </c>
      <c r="E18" s="110">
        <v>19.67608642578125</v>
      </c>
      <c r="F18" s="110">
        <v>20.095132827758789</v>
      </c>
      <c r="G18" s="110">
        <v>20.077981948852539</v>
      </c>
      <c r="H18" s="110">
        <f>E18-$H$51+$H$73</f>
        <v>19.74462728139126</v>
      </c>
      <c r="I18" s="110">
        <f>F18-$H$51+$H$73</f>
        <v>20.163673683368799</v>
      </c>
      <c r="J18" s="110">
        <f>G18-$H$51+$H$73</f>
        <v>20.146522804462549</v>
      </c>
      <c r="K18" s="102">
        <f>((H18-'Calibration R. intestinalis '!$D$45)/('Calibration R. intestinalis '!$D$44))+$B$24</f>
        <v>9.5680711336224746</v>
      </c>
      <c r="L18" s="102">
        <f>((I18-'Calibration R. intestinalis '!$D$45)/('Calibration R. intestinalis '!$D$44))+$B$24</f>
        <v>9.4547449032691375</v>
      </c>
      <c r="M18" s="102">
        <f>((J18-'Calibration R. intestinalis '!$D$45)/('Calibration R. intestinalis '!$D$44))+$B$24</f>
        <v>9.4593831591866664</v>
      </c>
      <c r="N18" s="114">
        <f t="shared" si="0"/>
        <v>9.4940663986927589</v>
      </c>
      <c r="O18" s="114">
        <f t="shared" si="1"/>
        <v>6.4131926124997754E-2</v>
      </c>
      <c r="P18" s="91">
        <f>(AVERAGE(POWER(10,K18),POWER(10,L18),POWER(10,M18)))*(Calculation!I18/Calculation!K17)</f>
        <v>3278083188.2094212</v>
      </c>
      <c r="Q18" s="115">
        <f>(STDEV(POWER(10,K18),POWER(10,L18),POWER(10,M18)))*(Calculation!I18/Calculation!K17)</f>
        <v>502650931.20817685</v>
      </c>
      <c r="R18" s="114">
        <f t="shared" si="3"/>
        <v>9.5156199705041242</v>
      </c>
      <c r="S18" s="114">
        <f>O18*(Calculation!I18/Calculation!K17)</f>
        <v>6.6894145553397344E-2</v>
      </c>
      <c r="U18" s="62"/>
    </row>
    <row r="19" spans="1:21">
      <c r="A19" s="40">
        <v>15</v>
      </c>
      <c r="B19" s="54">
        <v>360</v>
      </c>
      <c r="C19" s="55">
        <f>C18+B19</f>
        <v>1800</v>
      </c>
      <c r="D19" s="65">
        <v>30</v>
      </c>
      <c r="E19" s="110">
        <v>19.751424789428711</v>
      </c>
      <c r="F19" s="110">
        <v>19.770357131958008</v>
      </c>
      <c r="G19" s="110">
        <v>19.827688217163086</v>
      </c>
      <c r="H19" s="110">
        <f>E19-$H$51+$H$73</f>
        <v>19.819965645038721</v>
      </c>
      <c r="I19" s="110">
        <f>F19-$H$51+$H$73</f>
        <v>19.838897987568018</v>
      </c>
      <c r="J19" s="110">
        <f>G19-$H$51+$H$73</f>
        <v>19.896229072773096</v>
      </c>
      <c r="K19" s="102">
        <f>((H19-'Calibration R. intestinalis '!$D$45)/('Calibration R. intestinalis '!$D$44))+$B$24</f>
        <v>9.5476967485594741</v>
      </c>
      <c r="L19" s="102">
        <f>((I19-'Calibration R. intestinalis '!$D$45)/('Calibration R. intestinalis '!$D$44))+$B$24</f>
        <v>9.5425767165046018</v>
      </c>
      <c r="M19" s="102">
        <f>((J19-'Calibration R. intestinalis '!$D$45)/('Calibration R. intestinalis '!$D$44))+$B$24</f>
        <v>9.5270721906628424</v>
      </c>
      <c r="N19" s="114">
        <f t="shared" si="0"/>
        <v>9.53911521857564</v>
      </c>
      <c r="O19" s="114">
        <f t="shared" si="1"/>
        <v>1.0739160723354358E-2</v>
      </c>
      <c r="P19" s="91">
        <f>(AVERAGE(POWER(10,K19),POWER(10,L19),POWER(10,M19)))*(Calculation!I19/Calculation!K18)</f>
        <v>3610083473.436234</v>
      </c>
      <c r="Q19" s="115">
        <f>(STDEV(POWER(10,K19),POWER(10,L19),POWER(10,M19)))*(Calculation!I19/Calculation!K18)</f>
        <v>88783365.446353793</v>
      </c>
      <c r="R19" s="114">
        <f>LOG(P19)</f>
        <v>9.557517243909432</v>
      </c>
      <c r="S19" s="114">
        <f>O19*(Calculation!I19/Calculation!K18)</f>
        <v>1.12017059825898E-2</v>
      </c>
      <c r="U19" s="62"/>
    </row>
    <row r="20" spans="1:21">
      <c r="A20" s="40">
        <v>16</v>
      </c>
      <c r="B20" s="54">
        <v>1080</v>
      </c>
      <c r="C20" s="55">
        <f>C19+B20</f>
        <v>2880</v>
      </c>
      <c r="D20" s="65">
        <v>48</v>
      </c>
      <c r="E20" s="110">
        <v>21.102365493774414</v>
      </c>
      <c r="F20" s="110">
        <v>21.325428009033203</v>
      </c>
      <c r="G20" s="110">
        <v>21.398561477661133</v>
      </c>
      <c r="H20" s="110">
        <f>E20-$H$51+$H$73</f>
        <v>21.170906349384424</v>
      </c>
      <c r="I20" s="110">
        <f>F20-$H$51+$H$73</f>
        <v>21.393968864643213</v>
      </c>
      <c r="J20" s="110">
        <f>G20-$H$51+$H$73</f>
        <v>21.467102333271143</v>
      </c>
      <c r="K20" s="102">
        <f>((H20-'Calibration R. intestinalis '!$D$45)/('Calibration R. intestinalis '!$D$44))+$B$24</f>
        <v>9.1823505321693659</v>
      </c>
      <c r="L20" s="102">
        <f>((I20-'Calibration R. intestinalis '!$D$45)/('Calibration R. intestinalis '!$D$44))+$B$24</f>
        <v>9.1220258667668741</v>
      </c>
      <c r="M20" s="102">
        <f>((J20-'Calibration R. intestinalis '!$D$45)/('Calibration R. intestinalis '!$D$44))+$B$24</f>
        <v>9.102247769942382</v>
      </c>
      <c r="N20" s="114">
        <f t="shared" si="0"/>
        <v>9.1355413896262068</v>
      </c>
      <c r="O20" s="114">
        <f t="shared" si="1"/>
        <v>4.1726671898427853E-2</v>
      </c>
      <c r="P20" s="91">
        <f>(AVERAGE(POWER(10,K20),POWER(10,L20),POWER(10,M20)))*(Calculation!I20/Calculation!K19)</f>
        <v>1429582142.9362149</v>
      </c>
      <c r="Q20" s="115">
        <f>(STDEV(POWER(10,K20),POWER(10,L20),POWER(10,M20)))*(Calculation!I20/Calculation!K19)</f>
        <v>140022970.6582436</v>
      </c>
      <c r="R20" s="114">
        <f t="shared" si="3"/>
        <v>9.1552091147125427</v>
      </c>
      <c r="S20" s="114">
        <f>O20*(Calculation!I20/Calculation!K19)</f>
        <v>4.3523876984326047E-2</v>
      </c>
      <c r="U20" s="62"/>
    </row>
    <row r="24" spans="1:21">
      <c r="A24" s="92" t="s">
        <v>182</v>
      </c>
      <c r="B24" s="105">
        <f>LOG(B25)</f>
        <v>3.6532125137753435</v>
      </c>
    </row>
    <row r="25" spans="1:21">
      <c r="A25" s="90" t="s">
        <v>181</v>
      </c>
      <c r="B25" s="90">
        <f>20*1800/4/2</f>
        <v>4500</v>
      </c>
    </row>
    <row r="27" spans="1:21">
      <c r="E27" s="144" t="s">
        <v>247</v>
      </c>
      <c r="F27" s="145"/>
      <c r="G27" s="145"/>
      <c r="H27" s="145"/>
    </row>
    <row r="28" spans="1:21">
      <c r="A28" s="108" t="s">
        <v>223</v>
      </c>
      <c r="B28" s="108" t="s">
        <v>228</v>
      </c>
      <c r="E28" s="110">
        <v>15.713388442993164</v>
      </c>
      <c r="F28" s="110">
        <v>15.726656913757324</v>
      </c>
      <c r="G28" s="110">
        <v>15.612536430358887</v>
      </c>
      <c r="H28" s="112">
        <f>AVERAGE(E28:G28)</f>
        <v>15.684193929036459</v>
      </c>
    </row>
    <row r="29" spans="1:21">
      <c r="A29" s="108" t="s">
        <v>223</v>
      </c>
      <c r="B29" s="108" t="s">
        <v>230</v>
      </c>
      <c r="E29" s="113">
        <v>15.18875789642334</v>
      </c>
      <c r="F29" s="112">
        <v>15.280285835266113</v>
      </c>
      <c r="G29" s="112">
        <v>15.261421203613281</v>
      </c>
      <c r="H29" s="112">
        <f t="shared" ref="H29:H43" si="4">AVERAGE(E29:G29)</f>
        <v>15.243488311767578</v>
      </c>
    </row>
    <row r="30" spans="1:21">
      <c r="A30" s="108" t="s">
        <v>223</v>
      </c>
      <c r="B30" s="108" t="s">
        <v>229</v>
      </c>
      <c r="E30" s="113">
        <v>15.903929710388184</v>
      </c>
      <c r="F30" s="112">
        <v>15.71695613861084</v>
      </c>
      <c r="G30" s="112">
        <v>15.745060920715332</v>
      </c>
      <c r="H30" s="112">
        <f t="shared" si="4"/>
        <v>15.788648923238119</v>
      </c>
    </row>
    <row r="31" spans="1:21">
      <c r="A31" s="108" t="s">
        <v>223</v>
      </c>
      <c r="B31" s="108" t="s">
        <v>232</v>
      </c>
      <c r="E31" s="113">
        <v>15.95374870300293</v>
      </c>
      <c r="F31" s="112">
        <v>15.781205177307129</v>
      </c>
      <c r="G31" s="112">
        <v>15.694306373596191</v>
      </c>
      <c r="H31" s="112">
        <f t="shared" si="4"/>
        <v>15.80975341796875</v>
      </c>
    </row>
    <row r="32" spans="1:21">
      <c r="A32" s="108" t="s">
        <v>233</v>
      </c>
      <c r="B32" s="108" t="s">
        <v>234</v>
      </c>
      <c r="E32" s="113">
        <v>15.793012619018555</v>
      </c>
      <c r="F32" s="112">
        <v>15.662893295288086</v>
      </c>
      <c r="G32" s="112">
        <v>15.729142189025879</v>
      </c>
      <c r="H32" s="112">
        <f t="shared" si="4"/>
        <v>15.728349367777506</v>
      </c>
    </row>
    <row r="33" spans="1:8">
      <c r="A33" s="108" t="s">
        <v>233</v>
      </c>
      <c r="B33" s="108" t="s">
        <v>235</v>
      </c>
      <c r="E33" s="113">
        <v>15.790358543395996</v>
      </c>
      <c r="F33" s="112">
        <v>15.747311592102051</v>
      </c>
      <c r="G33" s="112">
        <v>15.724276542663574</v>
      </c>
      <c r="H33" s="112">
        <f t="shared" si="4"/>
        <v>15.753982226053873</v>
      </c>
    </row>
    <row r="34" spans="1:8">
      <c r="A34" s="108" t="s">
        <v>233</v>
      </c>
      <c r="B34" s="108" t="s">
        <v>235</v>
      </c>
      <c r="E34" s="113">
        <v>15.449001312255859</v>
      </c>
      <c r="F34" s="112">
        <v>15.556774139404297</v>
      </c>
      <c r="G34" s="112">
        <v>15.49962043762207</v>
      </c>
      <c r="H34" s="112">
        <f t="shared" si="4"/>
        <v>15.501798629760742</v>
      </c>
    </row>
    <row r="35" spans="1:8">
      <c r="A35" s="108" t="s">
        <v>233</v>
      </c>
      <c r="B35" s="108" t="s">
        <v>236</v>
      </c>
      <c r="E35" s="113">
        <v>15.347023010253906</v>
      </c>
      <c r="F35" s="112">
        <v>15.780600547790527</v>
      </c>
      <c r="G35" s="112">
        <v>15.718053817749023</v>
      </c>
      <c r="H35" s="112">
        <f t="shared" si="4"/>
        <v>15.615225791931152</v>
      </c>
    </row>
    <row r="36" spans="1:8">
      <c r="A36" s="108" t="s">
        <v>237</v>
      </c>
      <c r="B36" s="108" t="s">
        <v>236</v>
      </c>
      <c r="E36" s="113">
        <v>15.825298309326172</v>
      </c>
      <c r="F36" s="112">
        <v>15.804603576660156</v>
      </c>
      <c r="G36" s="112">
        <v>15.760408401489258</v>
      </c>
      <c r="H36" s="112">
        <f t="shared" si="4"/>
        <v>15.796770095825195</v>
      </c>
    </row>
    <row r="37" spans="1:8">
      <c r="A37" s="108" t="s">
        <v>237</v>
      </c>
      <c r="B37" s="108" t="s">
        <v>238</v>
      </c>
      <c r="E37" s="113">
        <v>15.800871849060059</v>
      </c>
      <c r="F37" s="112">
        <v>15.699575424194336</v>
      </c>
      <c r="G37" s="112">
        <v>15.968178749084473</v>
      </c>
      <c r="H37" s="112">
        <f>AVERAGE(E37:G37)</f>
        <v>15.822875340779623</v>
      </c>
    </row>
    <row r="38" spans="1:8">
      <c r="A38" s="108" t="s">
        <v>237</v>
      </c>
      <c r="B38" s="108" t="s">
        <v>238</v>
      </c>
      <c r="E38" s="113">
        <v>15.717584609985352</v>
      </c>
      <c r="F38" s="112">
        <v>15.693602561950684</v>
      </c>
      <c r="G38" s="112">
        <v>15.63984489440918</v>
      </c>
      <c r="H38" s="112">
        <f t="shared" si="4"/>
        <v>15.683677355448404</v>
      </c>
    </row>
    <row r="39" spans="1:8">
      <c r="A39" s="108" t="s">
        <v>237</v>
      </c>
      <c r="B39" s="108" t="s">
        <v>238</v>
      </c>
      <c r="E39" s="113">
        <v>15.61665153503418</v>
      </c>
      <c r="F39" s="112">
        <v>15.740999221801758</v>
      </c>
      <c r="G39" s="112">
        <v>15.586724281311035</v>
      </c>
      <c r="H39" s="112">
        <f t="shared" si="4"/>
        <v>15.648125012715658</v>
      </c>
    </row>
    <row r="40" spans="1:8">
      <c r="A40" s="108" t="s">
        <v>240</v>
      </c>
      <c r="B40" s="108" t="s">
        <v>239</v>
      </c>
      <c r="E40" s="113">
        <v>15.755837440490723</v>
      </c>
      <c r="F40" s="112">
        <v>15.457893371582031</v>
      </c>
      <c r="G40" s="112">
        <v>15.691001892089844</v>
      </c>
      <c r="H40" s="112">
        <f t="shared" si="4"/>
        <v>15.634910901387533</v>
      </c>
    </row>
    <row r="41" spans="1:8">
      <c r="A41" s="108" t="s">
        <v>240</v>
      </c>
      <c r="B41" s="108" t="s">
        <v>239</v>
      </c>
      <c r="E41" s="113">
        <v>15.560844421386719</v>
      </c>
      <c r="F41" s="112">
        <v>15.738679885864258</v>
      </c>
      <c r="G41" s="112">
        <v>15.730792999267578</v>
      </c>
      <c r="H41" s="112">
        <f t="shared" si="4"/>
        <v>15.676772435506185</v>
      </c>
    </row>
    <row r="42" spans="1:8">
      <c r="A42" s="108" t="s">
        <v>240</v>
      </c>
      <c r="B42" s="108" t="s">
        <v>241</v>
      </c>
      <c r="E42" s="113">
        <v>15.789995193481445</v>
      </c>
      <c r="F42" s="112">
        <v>15.670146942138672</v>
      </c>
      <c r="G42" s="112">
        <v>15.804409980773926</v>
      </c>
      <c r="H42" s="112">
        <f t="shared" si="4"/>
        <v>15.754850705464682</v>
      </c>
    </row>
    <row r="43" spans="1:8">
      <c r="A43" s="108" t="s">
        <v>240</v>
      </c>
      <c r="B43" s="108" t="s">
        <v>242</v>
      </c>
      <c r="E43" s="113">
        <v>15.759750366210938</v>
      </c>
      <c r="F43" s="112">
        <v>15.668698310852051</v>
      </c>
      <c r="G43" s="112">
        <v>15.640106201171875</v>
      </c>
      <c r="H43" s="112">
        <f t="shared" si="4"/>
        <v>15.689518292744955</v>
      </c>
    </row>
    <row r="44" spans="1:8">
      <c r="A44" s="108" t="s">
        <v>244</v>
      </c>
      <c r="B44" s="108" t="s">
        <v>243</v>
      </c>
      <c r="E44" s="113">
        <v>15.258575439453125</v>
      </c>
      <c r="F44" s="112">
        <v>15.478802680969238</v>
      </c>
      <c r="G44" s="112">
        <v>15.974754333496094</v>
      </c>
      <c r="H44" s="112">
        <f t="shared" ref="H44:H69" si="5">AVERAGE(E44:G44)</f>
        <v>15.570710817972818</v>
      </c>
    </row>
    <row r="45" spans="1:8">
      <c r="A45" s="108" t="s">
        <v>244</v>
      </c>
      <c r="B45" s="108" t="s">
        <v>245</v>
      </c>
      <c r="E45" s="113">
        <v>15.35291576385498</v>
      </c>
      <c r="F45" s="112">
        <v>15.170954704284668</v>
      </c>
      <c r="G45" s="112">
        <v>15.236812591552734</v>
      </c>
      <c r="H45" s="112">
        <f t="shared" si="5"/>
        <v>15.253561019897461</v>
      </c>
    </row>
    <row r="46" spans="1:8">
      <c r="A46" s="108" t="s">
        <v>244</v>
      </c>
      <c r="B46" s="108" t="s">
        <v>246</v>
      </c>
      <c r="E46" s="113">
        <v>15.810567855834961</v>
      </c>
      <c r="F46" s="112">
        <v>15.790656089782715</v>
      </c>
      <c r="G46" s="112">
        <v>15.956247329711914</v>
      </c>
      <c r="H46" s="112">
        <f t="shared" si="5"/>
        <v>15.852490425109863</v>
      </c>
    </row>
    <row r="47" spans="1:8">
      <c r="A47" s="108" t="s">
        <v>244</v>
      </c>
      <c r="B47" s="108" t="s">
        <v>248</v>
      </c>
      <c r="E47" s="113">
        <v>15.760116577148438</v>
      </c>
      <c r="F47" s="112">
        <v>15.89314079284668</v>
      </c>
      <c r="G47" s="112">
        <v>15.903885841369629</v>
      </c>
      <c r="H47" s="112">
        <f t="shared" si="5"/>
        <v>15.852381070454916</v>
      </c>
    </row>
    <row r="48" spans="1:8">
      <c r="A48" s="108" t="s">
        <v>249</v>
      </c>
      <c r="B48" s="108" t="s">
        <v>250</v>
      </c>
      <c r="E48" s="113">
        <v>15.956473350524902</v>
      </c>
      <c r="F48" s="112">
        <v>15.595272064208984</v>
      </c>
      <c r="G48" s="112">
        <v>15.919502258300781</v>
      </c>
      <c r="H48" s="112">
        <f t="shared" si="5"/>
        <v>15.823749224344889</v>
      </c>
    </row>
    <row r="49" spans="1:8">
      <c r="A49" s="108" t="s">
        <v>249</v>
      </c>
      <c r="B49" s="108" t="s">
        <v>251</v>
      </c>
      <c r="E49" s="113">
        <v>15.711461067199707</v>
      </c>
      <c r="F49" s="112">
        <v>15.73438835144043</v>
      </c>
      <c r="G49" s="112">
        <v>15.689187049865723</v>
      </c>
      <c r="H49" s="112">
        <f t="shared" si="5"/>
        <v>15.711678822835287</v>
      </c>
    </row>
    <row r="50" spans="1:8">
      <c r="A50" s="108" t="s">
        <v>249</v>
      </c>
      <c r="B50" s="108" t="s">
        <v>252</v>
      </c>
      <c r="E50" s="113">
        <v>15.574808120727539</v>
      </c>
      <c r="F50" s="112">
        <v>15.501856803894043</v>
      </c>
      <c r="G50" s="112">
        <v>15.596255302429199</v>
      </c>
      <c r="H50" s="112">
        <f t="shared" si="5"/>
        <v>15.557640075683594</v>
      </c>
    </row>
    <row r="51" spans="1:8">
      <c r="A51" s="108" t="s">
        <v>249</v>
      </c>
      <c r="B51" s="108" t="s">
        <v>254</v>
      </c>
      <c r="E51" s="113">
        <v>15.60640811920166</v>
      </c>
      <c r="F51" s="112">
        <v>15.595258712768555</v>
      </c>
      <c r="G51" s="112">
        <v>15.58064079284668</v>
      </c>
      <c r="H51" s="112">
        <f t="shared" si="5"/>
        <v>15.594102541605631</v>
      </c>
    </row>
    <row r="52" spans="1:8">
      <c r="A52" s="108" t="s">
        <v>253</v>
      </c>
      <c r="B52" s="108" t="s">
        <v>255</v>
      </c>
      <c r="E52" s="113">
        <v>15.40764331817627</v>
      </c>
      <c r="F52" s="112">
        <v>15.702505111694336</v>
      </c>
      <c r="G52" s="112">
        <v>15.805522918701172</v>
      </c>
      <c r="H52" s="112">
        <f t="shared" si="5"/>
        <v>15.638557116190592</v>
      </c>
    </row>
    <row r="53" spans="1:8">
      <c r="A53" s="62" t="s">
        <v>253</v>
      </c>
      <c r="B53" s="62" t="s">
        <v>256</v>
      </c>
      <c r="C53" s="62"/>
      <c r="D53" s="62"/>
      <c r="E53" s="113">
        <v>15.5</v>
      </c>
      <c r="F53" s="112">
        <v>15.5</v>
      </c>
      <c r="G53" s="112">
        <v>15.4</v>
      </c>
      <c r="H53" s="112">
        <f t="shared" si="5"/>
        <v>15.466666666666667</v>
      </c>
    </row>
    <row r="54" spans="1:8">
      <c r="A54" s="62" t="s">
        <v>253</v>
      </c>
      <c r="B54" s="62" t="s">
        <v>256</v>
      </c>
      <c r="C54" s="62"/>
      <c r="D54" s="62"/>
      <c r="E54" s="119">
        <v>15.8</v>
      </c>
      <c r="F54" s="120">
        <v>15.4</v>
      </c>
      <c r="G54" s="120">
        <v>15.4</v>
      </c>
      <c r="H54" s="112">
        <f t="shared" si="5"/>
        <v>15.533333333333333</v>
      </c>
    </row>
    <row r="55" spans="1:8">
      <c r="A55" s="62" t="s">
        <v>253</v>
      </c>
      <c r="B55" s="62" t="s">
        <v>257</v>
      </c>
      <c r="C55" s="62"/>
      <c r="D55" s="62"/>
      <c r="E55" s="119">
        <v>15.6</v>
      </c>
      <c r="F55" s="120">
        <v>15.5</v>
      </c>
      <c r="G55" s="120">
        <v>15.6</v>
      </c>
      <c r="H55" s="112">
        <f t="shared" si="5"/>
        <v>15.566666666666668</v>
      </c>
    </row>
    <row r="56" spans="1:8">
      <c r="A56" s="62" t="s">
        <v>258</v>
      </c>
      <c r="B56" s="62" t="s">
        <v>259</v>
      </c>
      <c r="C56" s="62"/>
      <c r="D56" s="62"/>
      <c r="E56" s="119">
        <v>15.6</v>
      </c>
      <c r="F56" s="120">
        <v>15.6</v>
      </c>
      <c r="G56" s="120">
        <v>15.8</v>
      </c>
      <c r="H56" s="112">
        <f t="shared" si="5"/>
        <v>15.666666666666666</v>
      </c>
    </row>
    <row r="57" spans="1:8">
      <c r="A57" s="62" t="s">
        <v>258</v>
      </c>
      <c r="B57" s="62" t="s">
        <v>259</v>
      </c>
      <c r="C57" s="62"/>
      <c r="D57" s="62"/>
      <c r="E57" s="119">
        <v>15.577789306640625</v>
      </c>
      <c r="F57" s="120">
        <v>15.603015899658203</v>
      </c>
      <c r="G57" s="120">
        <v>15.626909255981445</v>
      </c>
      <c r="H57" s="112">
        <f t="shared" si="5"/>
        <v>15.602571487426758</v>
      </c>
    </row>
    <row r="58" spans="1:8">
      <c r="A58" s="108" t="s">
        <v>258</v>
      </c>
      <c r="B58" s="108" t="s">
        <v>260</v>
      </c>
      <c r="E58" s="119">
        <v>15.925136566162109</v>
      </c>
      <c r="F58" s="120"/>
      <c r="G58" s="120">
        <v>15.940312385559082</v>
      </c>
      <c r="H58" s="112">
        <f t="shared" si="5"/>
        <v>15.932724475860596</v>
      </c>
    </row>
    <row r="59" spans="1:8">
      <c r="A59" s="108" t="s">
        <v>258</v>
      </c>
      <c r="B59" s="108" t="s">
        <v>260</v>
      </c>
      <c r="E59" s="113">
        <v>15.2</v>
      </c>
      <c r="F59" s="112">
        <v>15.3</v>
      </c>
      <c r="G59" s="112">
        <v>15.4</v>
      </c>
      <c r="H59" s="112">
        <f t="shared" si="5"/>
        <v>15.299999999999999</v>
      </c>
    </row>
    <row r="60" spans="1:8">
      <c r="A60" s="108" t="s">
        <v>261</v>
      </c>
      <c r="B60" s="108" t="s">
        <v>262</v>
      </c>
      <c r="E60" s="113">
        <v>15.989936828613281</v>
      </c>
      <c r="F60" s="112">
        <v>15.856328964233398</v>
      </c>
      <c r="G60" s="112">
        <v>15.836997985839844</v>
      </c>
      <c r="H60" s="112">
        <f t="shared" si="5"/>
        <v>15.894421259562174</v>
      </c>
    </row>
    <row r="61" spans="1:8">
      <c r="A61" s="108" t="s">
        <v>261</v>
      </c>
      <c r="B61" s="108" t="s">
        <v>263</v>
      </c>
      <c r="E61" s="113">
        <v>15.699069023132324</v>
      </c>
      <c r="F61" s="112">
        <v>15.817172050476074</v>
      </c>
      <c r="G61" s="112">
        <v>16.075807571411133</v>
      </c>
      <c r="H61" s="112">
        <f t="shared" si="5"/>
        <v>15.86401621500651</v>
      </c>
    </row>
    <row r="62" spans="1:8">
      <c r="A62" s="108" t="s">
        <v>261</v>
      </c>
      <c r="B62" s="108" t="s">
        <v>264</v>
      </c>
      <c r="E62" s="113">
        <v>14.193151473999023</v>
      </c>
      <c r="F62" s="112">
        <v>14.592436790466309</v>
      </c>
      <c r="G62" s="112">
        <v>14.826726913452148</v>
      </c>
      <c r="H62" s="112">
        <f t="shared" si="5"/>
        <v>14.53743839263916</v>
      </c>
    </row>
    <row r="63" spans="1:8">
      <c r="A63" s="108" t="s">
        <v>265</v>
      </c>
      <c r="B63" s="108" t="s">
        <v>264</v>
      </c>
      <c r="E63" s="113">
        <v>15.753643035888672</v>
      </c>
      <c r="F63" s="112">
        <v>15.53950309753418</v>
      </c>
      <c r="G63" s="112">
        <v>16.160148620605469</v>
      </c>
      <c r="H63" s="112">
        <f t="shared" si="5"/>
        <v>15.81776491800944</v>
      </c>
    </row>
    <row r="64" spans="1:8">
      <c r="A64" s="108" t="s">
        <v>265</v>
      </c>
      <c r="B64" s="108" t="s">
        <v>266</v>
      </c>
      <c r="E64" s="113">
        <v>16.152790069580078</v>
      </c>
      <c r="F64" s="112">
        <v>15.918967247009277</v>
      </c>
      <c r="G64" s="112">
        <v>16.004350662231445</v>
      </c>
      <c r="H64" s="112">
        <f t="shared" si="5"/>
        <v>16.025369326273601</v>
      </c>
    </row>
    <row r="65" spans="1:8">
      <c r="A65" s="108" t="s">
        <v>265</v>
      </c>
      <c r="B65" s="108" t="s">
        <v>267</v>
      </c>
      <c r="E65" s="113">
        <v>15.725796699523926</v>
      </c>
      <c r="F65" s="112">
        <v>15.72511100769043</v>
      </c>
      <c r="G65" s="112">
        <v>15.700724601745605</v>
      </c>
      <c r="H65" s="112">
        <f t="shared" si="5"/>
        <v>15.71721076965332</v>
      </c>
    </row>
    <row r="66" spans="1:8">
      <c r="A66" s="108" t="s">
        <v>265</v>
      </c>
      <c r="B66" s="108" t="s">
        <v>268</v>
      </c>
      <c r="E66" s="113">
        <v>15.868610382080078</v>
      </c>
      <c r="F66" s="112">
        <v>15.950244903564453</v>
      </c>
      <c r="G66" s="112">
        <v>15.73750114440918</v>
      </c>
      <c r="H66" s="112">
        <f t="shared" si="5"/>
        <v>15.852118810017904</v>
      </c>
    </row>
    <row r="67" spans="1:8">
      <c r="A67" s="108" t="s">
        <v>265</v>
      </c>
      <c r="B67" s="108" t="s">
        <v>268</v>
      </c>
      <c r="E67" s="113">
        <v>15.411773681640625</v>
      </c>
      <c r="F67" s="112">
        <v>15.347482681274414</v>
      </c>
      <c r="G67" s="112">
        <v>15.357060432434082</v>
      </c>
      <c r="H67" s="112">
        <f t="shared" si="5"/>
        <v>15.372105598449707</v>
      </c>
    </row>
    <row r="68" spans="1:8">
      <c r="A68" s="108" t="s">
        <v>223</v>
      </c>
      <c r="B68" s="108" t="s">
        <v>269</v>
      </c>
      <c r="E68" s="113">
        <v>15.701089859008789</v>
      </c>
      <c r="F68" s="112">
        <v>15.69521427154541</v>
      </c>
      <c r="G68" s="112">
        <v>15.858868598937988</v>
      </c>
      <c r="H68" s="112">
        <f t="shared" si="5"/>
        <v>15.751724243164062</v>
      </c>
    </row>
    <row r="69" spans="1:8">
      <c r="A69" s="108" t="s">
        <v>223</v>
      </c>
      <c r="B69" s="108" t="s">
        <v>270</v>
      </c>
      <c r="E69" s="113">
        <v>15.664003372192383</v>
      </c>
      <c r="F69" s="112">
        <v>15.706714630126953</v>
      </c>
      <c r="G69" s="112">
        <v>15.883712768554688</v>
      </c>
      <c r="H69" s="112">
        <f t="shared" si="5"/>
        <v>15.751476923624674</v>
      </c>
    </row>
    <row r="70" spans="1:8">
      <c r="A70" s="108" t="s">
        <v>223</v>
      </c>
      <c r="B70" s="108" t="s">
        <v>270</v>
      </c>
      <c r="E70" s="113">
        <v>15.815454483032227</v>
      </c>
      <c r="F70" s="112">
        <v>15.873584747314453</v>
      </c>
      <c r="G70" s="112">
        <v>15.955685615539551</v>
      </c>
      <c r="H70" s="112">
        <f>AVERAGE(E70:G70)</f>
        <v>15.881574948628744</v>
      </c>
    </row>
    <row r="71" spans="1:8">
      <c r="A71" s="108" t="s">
        <v>223</v>
      </c>
      <c r="B71" s="108" t="s">
        <v>271</v>
      </c>
      <c r="E71" s="113">
        <v>15.894612312316895</v>
      </c>
      <c r="F71" s="112">
        <v>15.946266174316406</v>
      </c>
      <c r="G71" s="112">
        <v>15.963062286376953</v>
      </c>
      <c r="H71" s="112">
        <f>AVERAGE(E71:G71)</f>
        <v>15.934646924336752</v>
      </c>
    </row>
    <row r="72" spans="1:8">
      <c r="A72" s="108"/>
      <c r="B72" s="108"/>
      <c r="E72" s="118"/>
      <c r="F72" s="118"/>
      <c r="G72" s="118"/>
      <c r="H72" s="118"/>
    </row>
    <row r="73" spans="1:8">
      <c r="E73" s="108" t="s">
        <v>225</v>
      </c>
      <c r="H73" s="116">
        <f>AVERAGE(H28:H71)</f>
        <v>15.662643397215641</v>
      </c>
    </row>
  </sheetData>
  <mergeCells count="20">
    <mergeCell ref="A2:A3"/>
    <mergeCell ref="B2:B3"/>
    <mergeCell ref="C2:C3"/>
    <mergeCell ref="D2:D3"/>
    <mergeCell ref="E2:E3"/>
    <mergeCell ref="E27:H27"/>
    <mergeCell ref="R2:R3"/>
    <mergeCell ref="S2:S3"/>
    <mergeCell ref="H2:H3"/>
    <mergeCell ref="I2:I3"/>
    <mergeCell ref="J2:J3"/>
    <mergeCell ref="O2:O3"/>
    <mergeCell ref="N2:N3"/>
    <mergeCell ref="Q2:Q3"/>
    <mergeCell ref="F2:F3"/>
    <mergeCell ref="G2:G3"/>
    <mergeCell ref="K2:K3"/>
    <mergeCell ref="L2:L3"/>
    <mergeCell ref="M2:M3"/>
    <mergeCell ref="P2:P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1" sqref="H21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28" t="s">
        <v>4</v>
      </c>
      <c r="B1" s="128" t="s">
        <v>104</v>
      </c>
      <c r="C1" s="128" t="s">
        <v>104</v>
      </c>
      <c r="D1" s="128" t="s">
        <v>5</v>
      </c>
      <c r="E1" s="128" t="s">
        <v>19</v>
      </c>
      <c r="F1" s="128" t="s">
        <v>24</v>
      </c>
      <c r="G1" s="124" t="s">
        <v>25</v>
      </c>
      <c r="H1" s="121" t="s">
        <v>26</v>
      </c>
      <c r="I1" s="4" t="s">
        <v>27</v>
      </c>
      <c r="J1" s="56" t="s">
        <v>27</v>
      </c>
    </row>
    <row r="2" spans="1:10">
      <c r="A2" s="129"/>
      <c r="B2" s="129"/>
      <c r="C2" s="129"/>
      <c r="D2" s="129"/>
      <c r="E2" s="129"/>
      <c r="F2" s="129"/>
      <c r="G2" s="124"/>
      <c r="H2" s="121"/>
      <c r="I2" s="5" t="s">
        <v>28</v>
      </c>
      <c r="J2" s="57" t="s">
        <v>23</v>
      </c>
    </row>
    <row r="3" spans="1:10">
      <c r="A3" s="52" t="s">
        <v>6</v>
      </c>
      <c r="B3" s="52">
        <v>-10</v>
      </c>
      <c r="C3" s="53">
        <v>-10</v>
      </c>
      <c r="D3" s="65">
        <f>C3/60</f>
        <v>-0.16666666666666666</v>
      </c>
      <c r="E3" s="40">
        <v>1</v>
      </c>
      <c r="F3" s="50">
        <v>8.4000000000000005E-2</v>
      </c>
      <c r="G3" s="50">
        <v>8.4000000000000005E-2</v>
      </c>
      <c r="H3" s="50">
        <v>8.4000000000000005E-2</v>
      </c>
      <c r="I3" s="51">
        <f>E3*(AVERAGE(F3:H3)*1.6007-0.0118)</f>
        <v>0.12265880000000001</v>
      </c>
      <c r="J3" s="58">
        <f>E3*(STDEV(F3:H3)*1.6007)</f>
        <v>0</v>
      </c>
    </row>
    <row r="4" spans="1:10">
      <c r="A4" s="54">
        <v>0</v>
      </c>
      <c r="B4" s="54">
        <v>10</v>
      </c>
      <c r="C4" s="55">
        <v>10</v>
      </c>
      <c r="D4" s="65">
        <f t="shared" ref="D4:D20" si="0">C4/60</f>
        <v>0.16666666666666666</v>
      </c>
      <c r="E4" s="40">
        <v>1</v>
      </c>
      <c r="F4" s="50">
        <v>0.22500000000000001</v>
      </c>
      <c r="G4" s="50">
        <v>0.22500000000000001</v>
      </c>
      <c r="H4" s="50">
        <v>0.22500000000000001</v>
      </c>
      <c r="I4" s="51">
        <f>E4*(AVERAGE(F4:H4)*1.6007-0.0118)</f>
        <v>0.34835750000000004</v>
      </c>
      <c r="J4" s="58">
        <f t="shared" ref="J4:J19" si="1">E4*(STDEV(F4:H4)*1.6007)</f>
        <v>0</v>
      </c>
    </row>
    <row r="5" spans="1:10">
      <c r="A5" s="54">
        <v>1</v>
      </c>
      <c r="B5" s="54">
        <v>110</v>
      </c>
      <c r="C5" s="55">
        <f>C4+B5</f>
        <v>120</v>
      </c>
      <c r="D5" s="65">
        <f t="shared" si="0"/>
        <v>2</v>
      </c>
      <c r="E5" s="40">
        <v>1</v>
      </c>
      <c r="F5" s="50">
        <v>0.39300000000000002</v>
      </c>
      <c r="G5" s="50">
        <v>0.39300000000000002</v>
      </c>
      <c r="H5" s="50">
        <v>0.39300000000000002</v>
      </c>
      <c r="I5" s="51">
        <f t="shared" ref="I5:I19" si="2">E5*(AVERAGE(F5:H5)*1.6007-0.0118)</f>
        <v>0.61727509999999997</v>
      </c>
      <c r="J5" s="58">
        <f t="shared" si="1"/>
        <v>0</v>
      </c>
    </row>
    <row r="6" spans="1:10">
      <c r="A6" s="54">
        <v>2</v>
      </c>
      <c r="B6" s="54">
        <v>80</v>
      </c>
      <c r="C6" s="55">
        <f t="shared" ref="C6:C18" si="3">C5+B6</f>
        <v>200</v>
      </c>
      <c r="D6" s="65">
        <f t="shared" si="0"/>
        <v>3.3333333333333335</v>
      </c>
      <c r="E6" s="40">
        <v>10</v>
      </c>
      <c r="F6" s="50">
        <v>6.9000000000000006E-2</v>
      </c>
      <c r="G6" s="50">
        <v>7.0999999999999994E-2</v>
      </c>
      <c r="H6" s="50">
        <v>6.0999999999999999E-2</v>
      </c>
      <c r="I6" s="51">
        <f t="shared" si="2"/>
        <v>0.95446900000000001</v>
      </c>
      <c r="J6" s="58">
        <f t="shared" si="1"/>
        <v>8.4701082472421807E-2</v>
      </c>
    </row>
    <row r="7" spans="1:10">
      <c r="A7" s="54">
        <v>3</v>
      </c>
      <c r="B7" s="54">
        <v>80</v>
      </c>
      <c r="C7" s="55">
        <f>C6+B7</f>
        <v>280</v>
      </c>
      <c r="D7" s="65">
        <f t="shared" si="0"/>
        <v>4.666666666666667</v>
      </c>
      <c r="E7" s="40">
        <v>10</v>
      </c>
      <c r="F7" s="50">
        <v>0.109</v>
      </c>
      <c r="G7" s="50">
        <v>0.10199999999999999</v>
      </c>
      <c r="H7" s="50">
        <v>0.109</v>
      </c>
      <c r="I7" s="51">
        <f t="shared" si="2"/>
        <v>1.5894133333333336</v>
      </c>
      <c r="J7" s="58">
        <f t="shared" si="1"/>
        <v>6.4691520312428433E-2</v>
      </c>
    </row>
    <row r="8" spans="1:10">
      <c r="A8" s="54">
        <v>4</v>
      </c>
      <c r="B8" s="54">
        <v>80</v>
      </c>
      <c r="C8" s="55">
        <f t="shared" si="3"/>
        <v>360</v>
      </c>
      <c r="D8" s="65">
        <f t="shared" si="0"/>
        <v>6</v>
      </c>
      <c r="E8" s="40">
        <v>10</v>
      </c>
      <c r="F8" s="50">
        <v>0.17399999999999999</v>
      </c>
      <c r="G8" s="50">
        <v>0.17899999999999999</v>
      </c>
      <c r="H8" s="50">
        <v>0.17299999999999999</v>
      </c>
      <c r="I8" s="51">
        <f t="shared" si="2"/>
        <v>2.6885606666666675</v>
      </c>
      <c r="J8" s="58">
        <f t="shared" si="1"/>
        <v>5.1455305910404793E-2</v>
      </c>
    </row>
    <row r="9" spans="1:10">
      <c r="A9" s="54">
        <v>5</v>
      </c>
      <c r="B9" s="54">
        <v>80</v>
      </c>
      <c r="C9" s="55">
        <f t="shared" si="3"/>
        <v>440</v>
      </c>
      <c r="D9" s="65">
        <f t="shared" si="0"/>
        <v>7.333333333333333</v>
      </c>
      <c r="E9" s="40">
        <v>10</v>
      </c>
      <c r="F9" s="50">
        <v>0.23</v>
      </c>
      <c r="G9" s="50">
        <v>0.22600000000000001</v>
      </c>
      <c r="H9" s="50">
        <v>0.223</v>
      </c>
      <c r="I9" s="51">
        <f t="shared" si="2"/>
        <v>3.5049176666666675</v>
      </c>
      <c r="J9" s="58">
        <f t="shared" si="1"/>
        <v>5.6214736540637987E-2</v>
      </c>
    </row>
    <row r="10" spans="1:10">
      <c r="A10" s="54">
        <v>6</v>
      </c>
      <c r="B10" s="54">
        <v>80</v>
      </c>
      <c r="C10" s="55">
        <f t="shared" si="3"/>
        <v>520</v>
      </c>
      <c r="D10" s="65">
        <f t="shared" si="0"/>
        <v>8.6666666666666661</v>
      </c>
      <c r="E10" s="40">
        <v>10</v>
      </c>
      <c r="F10" s="50">
        <v>0.26800000000000002</v>
      </c>
      <c r="G10" s="50">
        <v>0.27</v>
      </c>
      <c r="H10" s="50">
        <v>0.27600000000000002</v>
      </c>
      <c r="I10" s="51">
        <f t="shared" si="2"/>
        <v>4.2252326666666669</v>
      </c>
      <c r="J10" s="58">
        <f t="shared" si="1"/>
        <v>6.6642455306908821E-2</v>
      </c>
    </row>
    <row r="11" spans="1:10">
      <c r="A11" s="54">
        <v>7</v>
      </c>
      <c r="B11" s="54">
        <v>80</v>
      </c>
      <c r="C11" s="55">
        <f t="shared" si="3"/>
        <v>600</v>
      </c>
      <c r="D11" s="65">
        <f t="shared" si="0"/>
        <v>10</v>
      </c>
      <c r="E11" s="40">
        <v>20</v>
      </c>
      <c r="F11" s="50">
        <v>0.16800000000000001</v>
      </c>
      <c r="G11" s="50">
        <v>0.17100000000000001</v>
      </c>
      <c r="H11" s="50">
        <v>0.17</v>
      </c>
      <c r="I11" s="51">
        <f t="shared" si="2"/>
        <v>5.1957086666666674</v>
      </c>
      <c r="J11" s="58">
        <f t="shared" si="1"/>
        <v>4.8902192766105468E-2</v>
      </c>
    </row>
    <row r="12" spans="1:10">
      <c r="A12" s="54">
        <v>8</v>
      </c>
      <c r="B12" s="54">
        <v>80</v>
      </c>
      <c r="C12" s="55">
        <f t="shared" si="3"/>
        <v>680</v>
      </c>
      <c r="D12" s="65">
        <f t="shared" si="0"/>
        <v>11.333333333333334</v>
      </c>
      <c r="E12" s="40">
        <v>20</v>
      </c>
      <c r="F12" s="50">
        <v>0.2</v>
      </c>
      <c r="G12" s="50">
        <v>0.23899999999999999</v>
      </c>
      <c r="H12" s="50">
        <v>0.20499999999999999</v>
      </c>
      <c r="I12" s="51">
        <f t="shared" si="2"/>
        <v>6.6363386666666671</v>
      </c>
      <c r="J12" s="58">
        <f t="shared" si="1"/>
        <v>0.67937097396439672</v>
      </c>
    </row>
    <row r="13" spans="1:10">
      <c r="A13" s="54">
        <v>9</v>
      </c>
      <c r="B13" s="54">
        <v>80</v>
      </c>
      <c r="C13" s="55">
        <f t="shared" si="3"/>
        <v>760</v>
      </c>
      <c r="D13" s="65">
        <f t="shared" si="0"/>
        <v>12.666666666666666</v>
      </c>
      <c r="E13" s="40">
        <v>20</v>
      </c>
      <c r="F13" s="50">
        <v>0.23400000000000001</v>
      </c>
      <c r="G13" s="50">
        <v>0.23100000000000001</v>
      </c>
      <c r="H13" s="50">
        <v>0.245</v>
      </c>
      <c r="I13" s="51">
        <f t="shared" si="2"/>
        <v>7.3406466666666672</v>
      </c>
      <c r="J13" s="58">
        <f t="shared" si="1"/>
        <v>0.23597886907376517</v>
      </c>
    </row>
    <row r="14" spans="1:10">
      <c r="A14" s="54">
        <v>10</v>
      </c>
      <c r="B14" s="54">
        <v>80</v>
      </c>
      <c r="C14" s="55">
        <f t="shared" si="3"/>
        <v>840</v>
      </c>
      <c r="D14" s="65">
        <f t="shared" si="0"/>
        <v>14</v>
      </c>
      <c r="E14" s="40">
        <v>20</v>
      </c>
      <c r="F14" s="50">
        <v>0.26200000000000001</v>
      </c>
      <c r="G14" s="50">
        <v>0.248</v>
      </c>
      <c r="H14" s="50">
        <v>0.25600000000000001</v>
      </c>
      <c r="I14" s="51">
        <f t="shared" si="2"/>
        <v>7.9382413333333348</v>
      </c>
      <c r="J14" s="58">
        <f t="shared" si="1"/>
        <v>0.22485894616255192</v>
      </c>
    </row>
    <row r="15" spans="1:10">
      <c r="A15" s="54">
        <v>11</v>
      </c>
      <c r="B15" s="54">
        <v>80</v>
      </c>
      <c r="C15" s="55">
        <f t="shared" si="3"/>
        <v>920</v>
      </c>
      <c r="D15" s="65">
        <f t="shared" si="0"/>
        <v>15.333333333333334</v>
      </c>
      <c r="E15" s="40">
        <v>20</v>
      </c>
      <c r="F15" s="50">
        <v>0.224</v>
      </c>
      <c r="G15" s="50">
        <v>0.21099999999999999</v>
      </c>
      <c r="H15" s="50">
        <v>0.22</v>
      </c>
      <c r="I15" s="51">
        <f t="shared" si="2"/>
        <v>6.7537233333333351</v>
      </c>
      <c r="J15" s="58">
        <f t="shared" si="1"/>
        <v>0.21315971638499948</v>
      </c>
    </row>
    <row r="16" spans="1:10">
      <c r="A16" s="54">
        <v>12</v>
      </c>
      <c r="B16" s="54">
        <v>80</v>
      </c>
      <c r="C16" s="55">
        <f t="shared" si="3"/>
        <v>1000</v>
      </c>
      <c r="D16" s="65">
        <f t="shared" si="0"/>
        <v>16.666666666666668</v>
      </c>
      <c r="E16" s="40">
        <v>20</v>
      </c>
      <c r="F16" s="50">
        <v>0.20399999999999999</v>
      </c>
      <c r="G16" s="50">
        <v>0.20499999999999999</v>
      </c>
      <c r="H16" s="50">
        <v>0.19900000000000001</v>
      </c>
      <c r="I16" s="51">
        <f t="shared" si="2"/>
        <v>6.2521706666666663</v>
      </c>
      <c r="J16" s="58">
        <f t="shared" si="1"/>
        <v>0.10291061182080907</v>
      </c>
    </row>
    <row r="17" spans="1:10">
      <c r="A17" s="54">
        <v>13</v>
      </c>
      <c r="B17" s="54">
        <v>80</v>
      </c>
      <c r="C17" s="55">
        <f t="shared" si="3"/>
        <v>1080</v>
      </c>
      <c r="D17" s="65">
        <f t="shared" si="0"/>
        <v>18</v>
      </c>
      <c r="E17" s="40">
        <v>20</v>
      </c>
      <c r="F17" s="50">
        <v>0.185</v>
      </c>
      <c r="G17" s="50">
        <v>0.19</v>
      </c>
      <c r="H17" s="50">
        <v>0.188</v>
      </c>
      <c r="I17" s="51">
        <f t="shared" si="2"/>
        <v>5.7719606666666667</v>
      </c>
      <c r="J17" s="58">
        <f t="shared" si="1"/>
        <v>8.056679987025267E-2</v>
      </c>
    </row>
    <row r="18" spans="1:10">
      <c r="A18" s="54">
        <v>14</v>
      </c>
      <c r="B18" s="54">
        <v>360</v>
      </c>
      <c r="C18" s="55">
        <f t="shared" si="3"/>
        <v>1440</v>
      </c>
      <c r="D18" s="65">
        <f t="shared" si="0"/>
        <v>24</v>
      </c>
      <c r="E18" s="40">
        <v>20</v>
      </c>
      <c r="F18" s="50">
        <v>0.14499999999999999</v>
      </c>
      <c r="G18" s="50">
        <v>0.14699999999999999</v>
      </c>
      <c r="H18" s="50">
        <v>0.155</v>
      </c>
      <c r="I18" s="51">
        <f t="shared" si="2"/>
        <v>4.5340860000000003</v>
      </c>
      <c r="J18" s="58">
        <f t="shared" si="1"/>
        <v>0.16940216494484375</v>
      </c>
    </row>
    <row r="19" spans="1:10">
      <c r="A19" s="54">
        <v>15</v>
      </c>
      <c r="B19" s="54">
        <v>360</v>
      </c>
      <c r="C19" s="55">
        <f>C18+B19</f>
        <v>1800</v>
      </c>
      <c r="D19" s="65">
        <f t="shared" si="0"/>
        <v>30</v>
      </c>
      <c r="E19" s="40">
        <v>20</v>
      </c>
      <c r="F19" s="50">
        <v>8.7999999999999995E-2</v>
      </c>
      <c r="G19" s="50">
        <v>0.09</v>
      </c>
      <c r="H19" s="50">
        <v>8.6999999999999994E-2</v>
      </c>
      <c r="I19" s="51">
        <f t="shared" si="2"/>
        <v>2.5919033333333328</v>
      </c>
      <c r="J19" s="58">
        <f t="shared" si="1"/>
        <v>4.8902192766105468E-2</v>
      </c>
    </row>
    <row r="20" spans="1:10">
      <c r="A20" s="54">
        <v>16</v>
      </c>
      <c r="B20" s="54">
        <v>1080</v>
      </c>
      <c r="C20" s="55">
        <f>C19+B20</f>
        <v>2880</v>
      </c>
      <c r="D20" s="65">
        <f t="shared" si="0"/>
        <v>48</v>
      </c>
      <c r="E20" s="40">
        <v>10</v>
      </c>
      <c r="F20" s="50">
        <v>8.3000000000000004E-2</v>
      </c>
      <c r="G20" s="50">
        <v>8.5000000000000006E-2</v>
      </c>
      <c r="H20" s="50">
        <v>8.5000000000000006E-2</v>
      </c>
      <c r="I20" s="51">
        <f t="shared" ref="I20" si="4">E20*(AVERAGE(F20:H20)*1.6007-0.0118)</f>
        <v>1.2319236666666666</v>
      </c>
      <c r="J20" s="58">
        <f t="shared" ref="J20" si="5">E20*(STDEV(F20:H20)*1.6007)</f>
        <v>1.8483291517836696E-2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3" sqref="D3:D20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28" t="s">
        <v>4</v>
      </c>
      <c r="B1" s="128" t="s">
        <v>104</v>
      </c>
      <c r="C1" s="128" t="s">
        <v>104</v>
      </c>
      <c r="D1" s="128" t="s">
        <v>5</v>
      </c>
      <c r="E1" s="4" t="s">
        <v>29</v>
      </c>
      <c r="F1" s="4" t="s">
        <v>2</v>
      </c>
      <c r="G1" s="4" t="s">
        <v>32</v>
      </c>
    </row>
    <row r="2" spans="1:7">
      <c r="A2" s="129"/>
      <c r="B2" s="129"/>
      <c r="C2" s="129"/>
      <c r="D2" s="129"/>
      <c r="E2" s="5" t="s">
        <v>30</v>
      </c>
      <c r="F2" s="5" t="s">
        <v>31</v>
      </c>
      <c r="G2" s="5" t="s">
        <v>33</v>
      </c>
    </row>
    <row r="3" spans="1:7">
      <c r="A3" s="52" t="s">
        <v>6</v>
      </c>
      <c r="B3" s="52">
        <v>-10</v>
      </c>
      <c r="C3" s="53">
        <v>-10</v>
      </c>
      <c r="D3" s="65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54">
        <v>0</v>
      </c>
      <c r="B4" s="54">
        <v>10</v>
      </c>
      <c r="C4" s="55">
        <v>10</v>
      </c>
      <c r="D4" s="65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54">
        <v>1</v>
      </c>
      <c r="B5" s="54">
        <v>110</v>
      </c>
      <c r="C5" s="55">
        <f>C4+B5</f>
        <v>120</v>
      </c>
      <c r="D5" s="65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54">
        <v>2</v>
      </c>
      <c r="B6" s="54">
        <v>80</v>
      </c>
      <c r="C6" s="55">
        <f t="shared" ref="C6:C18" si="1">C5+B6</f>
        <v>200</v>
      </c>
      <c r="D6" s="65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54">
        <v>3</v>
      </c>
      <c r="B7" s="54">
        <v>80</v>
      </c>
      <c r="C7" s="55">
        <f>C6+B7</f>
        <v>280</v>
      </c>
      <c r="D7" s="65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54">
        <v>4</v>
      </c>
      <c r="B8" s="54">
        <v>80</v>
      </c>
      <c r="C8" s="55">
        <f t="shared" si="1"/>
        <v>360</v>
      </c>
      <c r="D8" s="65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54">
        <v>5</v>
      </c>
      <c r="B9" s="54">
        <v>80</v>
      </c>
      <c r="C9" s="55">
        <f t="shared" si="1"/>
        <v>440</v>
      </c>
      <c r="D9" s="65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54">
        <v>6</v>
      </c>
      <c r="B10" s="54">
        <v>80</v>
      </c>
      <c r="C10" s="55">
        <f t="shared" si="1"/>
        <v>520</v>
      </c>
      <c r="D10" s="65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54">
        <v>7</v>
      </c>
      <c r="B11" s="54">
        <v>80</v>
      </c>
      <c r="C11" s="55">
        <f t="shared" si="1"/>
        <v>600</v>
      </c>
      <c r="D11" s="65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54">
        <v>8</v>
      </c>
      <c r="B12" s="54">
        <v>80</v>
      </c>
      <c r="C12" s="55">
        <f t="shared" si="1"/>
        <v>680</v>
      </c>
      <c r="D12" s="65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54">
        <v>9</v>
      </c>
      <c r="B13" s="54">
        <v>80</v>
      </c>
      <c r="C13" s="55">
        <f t="shared" si="1"/>
        <v>760</v>
      </c>
      <c r="D13" s="65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54">
        <v>10</v>
      </c>
      <c r="B14" s="54">
        <v>80</v>
      </c>
      <c r="C14" s="55">
        <f t="shared" si="1"/>
        <v>840</v>
      </c>
      <c r="D14" s="65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54">
        <v>11</v>
      </c>
      <c r="B15" s="54">
        <v>80</v>
      </c>
      <c r="C15" s="55">
        <f t="shared" si="1"/>
        <v>920</v>
      </c>
      <c r="D15" s="65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54">
        <v>12</v>
      </c>
      <c r="B16" s="54">
        <v>80</v>
      </c>
      <c r="C16" s="55">
        <f t="shared" si="1"/>
        <v>1000</v>
      </c>
      <c r="D16" s="65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54">
        <v>13</v>
      </c>
      <c r="B17" s="54">
        <v>80</v>
      </c>
      <c r="C17" s="55">
        <f t="shared" si="1"/>
        <v>1080</v>
      </c>
      <c r="D17" s="65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54">
        <v>14</v>
      </c>
      <c r="B18" s="54">
        <v>360</v>
      </c>
      <c r="C18" s="55">
        <f t="shared" si="1"/>
        <v>1440</v>
      </c>
      <c r="D18" s="65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54">
        <v>15</v>
      </c>
      <c r="B19" s="54">
        <v>360</v>
      </c>
      <c r="C19" s="55">
        <f>C18+B19</f>
        <v>1800</v>
      </c>
      <c r="D19" s="65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54">
        <v>16</v>
      </c>
      <c r="B20" s="54">
        <v>1080</v>
      </c>
      <c r="C20" s="55">
        <f>C19+B20</f>
        <v>2880</v>
      </c>
      <c r="D20" s="65">
        <f t="shared" si="0"/>
        <v>48</v>
      </c>
      <c r="E20" s="40"/>
      <c r="F20" s="40"/>
      <c r="G20" s="40" t="e">
        <f>(F20-$C$22)/E20*1000*Calculation!I21/Calculation!K20</f>
        <v>#DIV/0!</v>
      </c>
    </row>
    <row r="21" spans="1:7">
      <c r="A21" s="64"/>
      <c r="B21" s="55"/>
      <c r="C21" s="55"/>
      <c r="D21" s="66"/>
    </row>
    <row r="22" spans="1:7">
      <c r="A22" s="148" t="s">
        <v>3</v>
      </c>
      <c r="B22" s="149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49</v>
      </c>
      <c r="B1" s="12">
        <v>70</v>
      </c>
      <c r="C1" s="26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4" t="s">
        <v>5</v>
      </c>
      <c r="B3" s="124" t="s">
        <v>36</v>
      </c>
      <c r="C3" s="124"/>
      <c r="D3" s="124" t="s">
        <v>51</v>
      </c>
      <c r="E3" s="124"/>
      <c r="F3" s="124"/>
      <c r="G3" s="23" t="s">
        <v>52</v>
      </c>
    </row>
    <row r="4" spans="1:10">
      <c r="A4" s="124"/>
      <c r="B4" s="23" t="s">
        <v>53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</row>
    <row r="5" spans="1:10">
      <c r="A5" s="12">
        <v>0</v>
      </c>
      <c r="B5" s="12">
        <v>456.93</v>
      </c>
      <c r="C5" s="12">
        <f>B5/1000</f>
        <v>0.45693</v>
      </c>
      <c r="D5" s="12">
        <f>C5/1000*$B$1</f>
        <v>3.1985099999999995E-2</v>
      </c>
      <c r="E5" s="12">
        <f>D5/22.4</f>
        <v>1.4279062499999999E-3</v>
      </c>
      <c r="F5" s="12">
        <f>E5/Calculation!K$4*1000</f>
        <v>9.7465851630800112E-4</v>
      </c>
      <c r="G5" s="12">
        <f>(0+F5)/2*30</f>
        <v>1.4619877744620017E-2</v>
      </c>
      <c r="I5" s="79">
        <v>-0.16666666666666666</v>
      </c>
      <c r="J5" t="s">
        <v>146</v>
      </c>
    </row>
    <row r="6" spans="1:10">
      <c r="A6" s="12">
        <v>0.5</v>
      </c>
      <c r="B6" s="12">
        <v>4299.2299999999996</v>
      </c>
      <c r="C6" s="12">
        <f t="shared" ref="C6:C69" si="0">B6/1000</f>
        <v>4.2992299999999997</v>
      </c>
      <c r="D6" s="12">
        <f>C6/1000*$B$1</f>
        <v>0.30094609999999994</v>
      </c>
      <c r="E6" s="12">
        <f>D6/22.4</f>
        <v>1.3435093749999998E-2</v>
      </c>
      <c r="F6" s="12">
        <f>E6/Calculation!K$4*1000</f>
        <v>9.1705099973012211E-3</v>
      </c>
      <c r="G6" s="12">
        <f>G5+(F6+F5)/2*30</f>
        <v>0.16679740544875835</v>
      </c>
      <c r="I6" s="79">
        <v>0.16666666666666666</v>
      </c>
      <c r="J6" t="s">
        <v>147</v>
      </c>
    </row>
    <row r="7" spans="1:10">
      <c r="A7" s="12">
        <v>1</v>
      </c>
      <c r="B7" s="12">
        <v>7997.28</v>
      </c>
      <c r="C7" s="12">
        <f t="shared" si="0"/>
        <v>7.9972799999999999</v>
      </c>
      <c r="D7" s="12">
        <f t="shared" ref="D7:D69" si="1">C7/1000*$B$1</f>
        <v>0.55980960000000002</v>
      </c>
      <c r="E7" s="12">
        <f t="shared" ref="E7:E69" si="2">D7/22.4</f>
        <v>2.4991500000000003E-2</v>
      </c>
      <c r="F7" s="12">
        <f>E7/Calculation!K$4*1000</f>
        <v>1.7058667759393457E-2</v>
      </c>
      <c r="G7" s="12">
        <f t="shared" ref="G7:G70" si="3">G6+(F7+F6)/2*30</f>
        <v>0.56023507179917853</v>
      </c>
      <c r="I7" s="79">
        <v>2</v>
      </c>
      <c r="J7" t="s">
        <v>148</v>
      </c>
    </row>
    <row r="8" spans="1:10">
      <c r="A8" s="12">
        <v>1.5</v>
      </c>
      <c r="B8" s="12">
        <v>10986.7</v>
      </c>
      <c r="C8" s="12">
        <f t="shared" si="0"/>
        <v>10.986700000000001</v>
      </c>
      <c r="D8" s="12">
        <f t="shared" si="1"/>
        <v>0.769069</v>
      </c>
      <c r="E8" s="12">
        <f t="shared" si="2"/>
        <v>3.4333437500000001E-2</v>
      </c>
      <c r="F8" s="12">
        <f>E8/Calculation!K$4*1000</f>
        <v>2.3435276127899494E-2</v>
      </c>
      <c r="G8" s="12">
        <f t="shared" si="3"/>
        <v>1.1676442301085728</v>
      </c>
      <c r="I8" s="79">
        <v>3.3333333333333335</v>
      </c>
      <c r="J8" t="s">
        <v>149</v>
      </c>
    </row>
    <row r="9" spans="1:10">
      <c r="A9" s="12">
        <v>2</v>
      </c>
      <c r="B9" s="12">
        <v>9765.9599999999991</v>
      </c>
      <c r="C9" s="12">
        <f t="shared" si="0"/>
        <v>9.7659599999999998</v>
      </c>
      <c r="D9" s="12">
        <f t="shared" si="1"/>
        <v>0.68361720000000004</v>
      </c>
      <c r="E9" s="12">
        <f t="shared" si="2"/>
        <v>3.0518625000000004E-2</v>
      </c>
      <c r="F9" s="12">
        <f>E9/Calculation!K$5*1000</f>
        <v>2.1796468527699307E-2</v>
      </c>
      <c r="G9" s="12">
        <f t="shared" si="3"/>
        <v>1.8461203999425548</v>
      </c>
      <c r="I9" s="79">
        <v>4.666666666666667</v>
      </c>
      <c r="J9" t="s">
        <v>150</v>
      </c>
    </row>
    <row r="10" spans="1:10">
      <c r="A10" s="12">
        <v>2.5</v>
      </c>
      <c r="B10" s="12">
        <v>14199.75</v>
      </c>
      <c r="C10" s="12">
        <f t="shared" si="0"/>
        <v>14.19975</v>
      </c>
      <c r="D10" s="12">
        <f t="shared" si="1"/>
        <v>0.99398249999999999</v>
      </c>
      <c r="E10" s="12">
        <f t="shared" si="2"/>
        <v>4.437421875E-2</v>
      </c>
      <c r="F10" s="12">
        <f>E10/Calculation!K$5*1000</f>
        <v>3.1692163799175728E-2</v>
      </c>
      <c r="G10" s="12">
        <f t="shared" si="3"/>
        <v>2.6484498848456806</v>
      </c>
      <c r="I10" s="79">
        <v>6</v>
      </c>
      <c r="J10" t="s">
        <v>151</v>
      </c>
    </row>
    <row r="11" spans="1:10">
      <c r="A11" s="12">
        <v>3</v>
      </c>
      <c r="B11" s="12">
        <v>19885.27</v>
      </c>
      <c r="C11" s="12">
        <f t="shared" si="0"/>
        <v>19.885270000000002</v>
      </c>
      <c r="D11" s="12">
        <f t="shared" si="1"/>
        <v>1.3919689000000002</v>
      </c>
      <c r="E11" s="12">
        <f t="shared" si="2"/>
        <v>6.2141468750000012E-2</v>
      </c>
      <c r="F11" s="12">
        <f>E11/Calculation!K$5*1000</f>
        <v>4.4381572494644993E-2</v>
      </c>
      <c r="G11" s="12">
        <f t="shared" si="3"/>
        <v>3.7895559292529915</v>
      </c>
      <c r="I11" s="79">
        <v>7.333333333333333</v>
      </c>
      <c r="J11" t="s">
        <v>152</v>
      </c>
    </row>
    <row r="12" spans="1:10">
      <c r="A12" s="12">
        <v>3.5</v>
      </c>
      <c r="B12" s="12">
        <v>16499.900000000001</v>
      </c>
      <c r="C12" s="12">
        <f t="shared" si="0"/>
        <v>16.4999</v>
      </c>
      <c r="D12" s="12">
        <f t="shared" si="1"/>
        <v>1.1549930000000002</v>
      </c>
      <c r="E12" s="12">
        <f t="shared" si="2"/>
        <v>5.1562187500000009E-2</v>
      </c>
      <c r="F12" s="12">
        <f>E12/Calculation!K$6*1000</f>
        <v>3.8297769497660859E-2</v>
      </c>
      <c r="G12" s="12">
        <f t="shared" si="3"/>
        <v>5.0297460591375796</v>
      </c>
      <c r="I12" s="79">
        <v>8.6666666666666661</v>
      </c>
      <c r="J12" t="s">
        <v>153</v>
      </c>
    </row>
    <row r="13" spans="1:10">
      <c r="A13" s="12">
        <v>4</v>
      </c>
      <c r="B13" s="12">
        <v>18791.34</v>
      </c>
      <c r="C13" s="12">
        <f t="shared" si="0"/>
        <v>18.791340000000002</v>
      </c>
      <c r="D13" s="12">
        <f t="shared" si="1"/>
        <v>1.3153938000000001</v>
      </c>
      <c r="E13" s="12">
        <f t="shared" si="2"/>
        <v>5.872293750000001E-2</v>
      </c>
      <c r="F13" s="12">
        <f>E13/Calculation!K$6*1000</f>
        <v>4.3616410273527376E-2</v>
      </c>
      <c r="G13" s="12">
        <f t="shared" si="3"/>
        <v>6.2584587557054032</v>
      </c>
      <c r="I13" s="79">
        <v>10</v>
      </c>
      <c r="J13" t="s">
        <v>154</v>
      </c>
    </row>
    <row r="14" spans="1:10">
      <c r="A14" s="12">
        <v>4.5</v>
      </c>
      <c r="B14" s="12">
        <v>23720.79</v>
      </c>
      <c r="C14" s="12">
        <f t="shared" si="0"/>
        <v>23.720790000000001</v>
      </c>
      <c r="D14" s="12">
        <f t="shared" si="1"/>
        <v>1.6604553000000002</v>
      </c>
      <c r="E14" s="12">
        <f t="shared" si="2"/>
        <v>7.4127468750000008E-2</v>
      </c>
      <c r="F14" s="12">
        <f>E14/Calculation!K$6*1000</f>
        <v>5.5058112335372861E-2</v>
      </c>
      <c r="G14" s="12">
        <f t="shared" si="3"/>
        <v>7.7385765948389071</v>
      </c>
      <c r="I14" s="79">
        <v>11.333333333333334</v>
      </c>
      <c r="J14" t="s">
        <v>155</v>
      </c>
    </row>
    <row r="15" spans="1:10">
      <c r="A15" s="12">
        <v>5</v>
      </c>
      <c r="B15" s="12">
        <v>31540.91</v>
      </c>
      <c r="C15" s="12">
        <f t="shared" si="0"/>
        <v>31.54091</v>
      </c>
      <c r="D15" s="12">
        <f t="shared" si="1"/>
        <v>2.2078636999999999</v>
      </c>
      <c r="E15" s="12">
        <f t="shared" si="2"/>
        <v>9.8565343750000006E-2</v>
      </c>
      <c r="F15" s="12">
        <f>E15/Calculation!K$7*1000</f>
        <v>7.6130953213728952E-2</v>
      </c>
      <c r="G15" s="12">
        <f t="shared" si="3"/>
        <v>9.7064125780754349</v>
      </c>
      <c r="I15" s="79">
        <v>12.666666666666666</v>
      </c>
      <c r="J15" t="s">
        <v>156</v>
      </c>
    </row>
    <row r="16" spans="1:10">
      <c r="A16" s="12">
        <v>5.5</v>
      </c>
      <c r="B16" s="12">
        <v>31736.46</v>
      </c>
      <c r="C16" s="12">
        <f t="shared" si="0"/>
        <v>31.736459999999997</v>
      </c>
      <c r="D16" s="12">
        <f t="shared" si="1"/>
        <v>2.2215521999999996</v>
      </c>
      <c r="E16" s="12">
        <f t="shared" si="2"/>
        <v>9.9176437499999992E-2</v>
      </c>
      <c r="F16" s="12">
        <f>E16/Calculation!K$7*1000</f>
        <v>7.6602956332882596E-2</v>
      </c>
      <c r="G16" s="12">
        <f t="shared" si="3"/>
        <v>11.997421221274609</v>
      </c>
      <c r="I16" s="79">
        <v>14</v>
      </c>
      <c r="J16" t="s">
        <v>157</v>
      </c>
    </row>
    <row r="17" spans="1:10">
      <c r="A17" s="12">
        <v>6</v>
      </c>
      <c r="B17" s="12">
        <v>29250.44</v>
      </c>
      <c r="C17" s="12">
        <f t="shared" si="0"/>
        <v>29.250439999999998</v>
      </c>
      <c r="D17" s="12">
        <f t="shared" si="1"/>
        <v>2.0475308000000001</v>
      </c>
      <c r="E17" s="12">
        <f t="shared" si="2"/>
        <v>9.1407625000000006E-2</v>
      </c>
      <c r="F17" s="12">
        <f>E17/Calculation!K$8*1000</f>
        <v>7.3002321345328039E-2</v>
      </c>
      <c r="G17" s="12">
        <f t="shared" si="3"/>
        <v>14.241500386447768</v>
      </c>
      <c r="I17" s="79">
        <v>15.333333333333334</v>
      </c>
      <c r="J17" t="s">
        <v>158</v>
      </c>
    </row>
    <row r="18" spans="1:10">
      <c r="A18" s="12">
        <v>6.5</v>
      </c>
      <c r="B18" s="12">
        <v>31246.62</v>
      </c>
      <c r="C18" s="12">
        <f t="shared" si="0"/>
        <v>31.24662</v>
      </c>
      <c r="D18" s="12">
        <f t="shared" si="1"/>
        <v>2.1872634</v>
      </c>
      <c r="E18" s="12">
        <f t="shared" si="2"/>
        <v>9.7645687500000009E-2</v>
      </c>
      <c r="F18" s="12">
        <f>E18/Calculation!K$8*1000</f>
        <v>7.7984324139922484E-2</v>
      </c>
      <c r="G18" s="12">
        <f t="shared" si="3"/>
        <v>16.506300068726524</v>
      </c>
      <c r="I18" s="79">
        <v>16.666666666666668</v>
      </c>
      <c r="J18" t="s">
        <v>159</v>
      </c>
    </row>
    <row r="19" spans="1:10">
      <c r="A19" s="12">
        <v>7</v>
      </c>
      <c r="B19" s="12">
        <v>31637.72</v>
      </c>
      <c r="C19" s="12">
        <f t="shared" si="0"/>
        <v>31.637720000000002</v>
      </c>
      <c r="D19" s="12">
        <f t="shared" si="1"/>
        <v>2.2146404</v>
      </c>
      <c r="E19" s="12">
        <f t="shared" si="2"/>
        <v>9.8867875000000008E-2</v>
      </c>
      <c r="F19" s="12">
        <f>E19/Calculation!K$8*1000</f>
        <v>7.8960419127832318E-2</v>
      </c>
      <c r="G19" s="12">
        <f t="shared" si="3"/>
        <v>18.860471217742848</v>
      </c>
      <c r="I19" s="79">
        <v>18</v>
      </c>
      <c r="J19" t="s">
        <v>160</v>
      </c>
    </row>
    <row r="20" spans="1:10">
      <c r="A20" s="12">
        <v>7.5</v>
      </c>
      <c r="B20" s="12">
        <v>32500.28</v>
      </c>
      <c r="C20" s="12">
        <f t="shared" si="0"/>
        <v>32.500279999999997</v>
      </c>
      <c r="D20" s="12">
        <f t="shared" si="1"/>
        <v>2.2750195999999998</v>
      </c>
      <c r="E20" s="12">
        <f t="shared" si="2"/>
        <v>0.101563375</v>
      </c>
      <c r="F20" s="12">
        <f>E20/Calculation!K$9*1000</f>
        <v>8.4368324887545518E-2</v>
      </c>
      <c r="G20" s="12">
        <f t="shared" si="3"/>
        <v>21.310402377973517</v>
      </c>
      <c r="I20" s="79">
        <v>24</v>
      </c>
      <c r="J20" t="s">
        <v>161</v>
      </c>
    </row>
    <row r="21" spans="1:10">
      <c r="A21" s="12">
        <v>8</v>
      </c>
      <c r="B21" s="12">
        <v>36062.800000000003</v>
      </c>
      <c r="C21" s="12">
        <f t="shared" si="0"/>
        <v>36.062800000000003</v>
      </c>
      <c r="D21" s="12">
        <f t="shared" si="1"/>
        <v>2.5243960000000003</v>
      </c>
      <c r="E21" s="12">
        <f t="shared" si="2"/>
        <v>0.11269625000000003</v>
      </c>
      <c r="F21" s="12">
        <f>E21/Calculation!K$9*1000</f>
        <v>9.3616363513009032E-2</v>
      </c>
      <c r="G21" s="12">
        <f t="shared" si="3"/>
        <v>23.980172703981836</v>
      </c>
      <c r="I21" s="79">
        <v>30</v>
      </c>
      <c r="J21" t="s">
        <v>162</v>
      </c>
    </row>
    <row r="22" spans="1:10">
      <c r="A22" s="12">
        <v>8.5</v>
      </c>
      <c r="B22" s="12">
        <v>35151.839999999997</v>
      </c>
      <c r="C22" s="12">
        <f t="shared" si="0"/>
        <v>35.15184</v>
      </c>
      <c r="D22" s="12">
        <f t="shared" si="1"/>
        <v>2.4606287999999998</v>
      </c>
      <c r="E22" s="12">
        <f t="shared" si="2"/>
        <v>0.1098495</v>
      </c>
      <c r="F22" s="12">
        <f>E22/Calculation!K$9*1000</f>
        <v>9.125157867916886E-2</v>
      </c>
      <c r="G22" s="12">
        <f t="shared" si="3"/>
        <v>26.753191836864506</v>
      </c>
      <c r="I22" s="79">
        <v>48</v>
      </c>
      <c r="J22" t="s">
        <v>163</v>
      </c>
    </row>
    <row r="23" spans="1:10">
      <c r="A23" s="12">
        <v>9</v>
      </c>
      <c r="B23" s="12">
        <v>39307.79</v>
      </c>
      <c r="C23" s="12">
        <f t="shared" si="0"/>
        <v>39.307790000000004</v>
      </c>
      <c r="D23" s="12">
        <f t="shared" si="1"/>
        <v>2.7515453000000001</v>
      </c>
      <c r="E23" s="12">
        <f t="shared" si="2"/>
        <v>0.12283684375000001</v>
      </c>
      <c r="F23" s="12">
        <f>E23/Calculation!K$10*1000</f>
        <v>0.10655978222504781</v>
      </c>
      <c r="G23" s="12">
        <f t="shared" si="3"/>
        <v>29.720362250427755</v>
      </c>
    </row>
    <row r="24" spans="1:10">
      <c r="A24" s="12">
        <v>9.5</v>
      </c>
      <c r="B24" s="12">
        <v>47505.47</v>
      </c>
      <c r="C24" s="12">
        <f t="shared" si="0"/>
        <v>47.505470000000003</v>
      </c>
      <c r="D24" s="12">
        <f t="shared" si="1"/>
        <v>3.3253829000000001</v>
      </c>
      <c r="E24" s="12">
        <f t="shared" si="2"/>
        <v>0.14845459375</v>
      </c>
      <c r="F24" s="12">
        <f>E24/Calculation!K$10*1000</f>
        <v>0.12878293431654492</v>
      </c>
      <c r="G24" s="12">
        <f t="shared" si="3"/>
        <v>33.250502998551646</v>
      </c>
    </row>
    <row r="25" spans="1:10">
      <c r="A25" s="12">
        <v>10</v>
      </c>
      <c r="B25" s="12">
        <v>41368.83</v>
      </c>
      <c r="C25" s="12">
        <f t="shared" si="0"/>
        <v>41.368830000000003</v>
      </c>
      <c r="D25" s="12">
        <f t="shared" si="1"/>
        <v>2.8958181000000001</v>
      </c>
      <c r="E25" s="12">
        <f t="shared" si="2"/>
        <v>0.12927759375</v>
      </c>
      <c r="F25" s="12">
        <f>E25/Calculation!K$11*1000</f>
        <v>0.11710933077137398</v>
      </c>
      <c r="G25" s="12">
        <f t="shared" si="3"/>
        <v>36.938886974870428</v>
      </c>
    </row>
    <row r="26" spans="1:10">
      <c r="A26" s="12">
        <v>10.5</v>
      </c>
      <c r="B26" s="12">
        <v>37574.94</v>
      </c>
      <c r="C26" s="12">
        <f t="shared" si="0"/>
        <v>37.574940000000005</v>
      </c>
      <c r="D26" s="12">
        <f t="shared" si="1"/>
        <v>2.6302458000000004</v>
      </c>
      <c r="E26" s="12">
        <f t="shared" si="2"/>
        <v>0.11742168750000002</v>
      </c>
      <c r="F26" s="12">
        <f>E26/Calculation!K$11*1000</f>
        <v>0.10636936256535494</v>
      </c>
      <c r="G26" s="12">
        <f t="shared" si="3"/>
        <v>40.291067374921361</v>
      </c>
    </row>
    <row r="27" spans="1:10">
      <c r="A27" s="12">
        <v>11</v>
      </c>
      <c r="B27" s="12">
        <v>38698.870000000003</v>
      </c>
      <c r="C27" s="12">
        <f t="shared" si="0"/>
        <v>38.698869999999999</v>
      </c>
      <c r="D27" s="12">
        <f t="shared" si="1"/>
        <v>2.7089208999999999</v>
      </c>
      <c r="E27" s="12">
        <f t="shared" si="2"/>
        <v>0.12093396875</v>
      </c>
      <c r="F27" s="12">
        <f>E27/Calculation!K$11*1000</f>
        <v>0.10955105008549677</v>
      </c>
      <c r="G27" s="12">
        <f t="shared" si="3"/>
        <v>43.529873564684138</v>
      </c>
    </row>
    <row r="28" spans="1:10">
      <c r="A28" s="12">
        <v>11.5</v>
      </c>
      <c r="B28" s="12">
        <v>41037.75</v>
      </c>
      <c r="C28" s="12">
        <f t="shared" si="0"/>
        <v>41.037750000000003</v>
      </c>
      <c r="D28" s="12">
        <f t="shared" si="1"/>
        <v>2.8726425000000004</v>
      </c>
      <c r="E28" s="12">
        <f t="shared" si="2"/>
        <v>0.12824296875000002</v>
      </c>
      <c r="F28" s="12">
        <f>E28/Calculation!K$12*1000</f>
        <v>0.12074663192781547</v>
      </c>
      <c r="G28" s="12">
        <f t="shared" si="3"/>
        <v>46.984338794883818</v>
      </c>
    </row>
    <row r="29" spans="1:10">
      <c r="A29" s="12">
        <v>12</v>
      </c>
      <c r="B29" s="12">
        <v>45860.71</v>
      </c>
      <c r="C29" s="12">
        <f t="shared" si="0"/>
        <v>45.860709999999997</v>
      </c>
      <c r="D29" s="12">
        <f t="shared" si="1"/>
        <v>3.2102496999999999</v>
      </c>
      <c r="E29" s="12">
        <f t="shared" si="2"/>
        <v>0.14331471875000001</v>
      </c>
      <c r="F29" s="12">
        <f>E29/Calculation!K$12*1000</f>
        <v>0.13493737522935068</v>
      </c>
      <c r="G29" s="12">
        <f t="shared" si="3"/>
        <v>50.81959890224131</v>
      </c>
    </row>
    <row r="30" spans="1:10">
      <c r="A30" s="12">
        <v>12.5</v>
      </c>
      <c r="B30" s="12">
        <v>48187</v>
      </c>
      <c r="C30" s="12">
        <f t="shared" si="0"/>
        <v>48.186999999999998</v>
      </c>
      <c r="D30" s="12">
        <f t="shared" si="1"/>
        <v>3.3730899999999999</v>
      </c>
      <c r="E30" s="12">
        <f t="shared" si="2"/>
        <v>0.15058437499999999</v>
      </c>
      <c r="F30" s="12">
        <f>E30/Calculation!K$12*1000</f>
        <v>0.14178208972727899</v>
      </c>
      <c r="G30" s="12">
        <f t="shared" si="3"/>
        <v>54.970390876590756</v>
      </c>
    </row>
    <row r="31" spans="1:10">
      <c r="A31" s="12">
        <v>13</v>
      </c>
      <c r="B31" s="12">
        <v>49065.04</v>
      </c>
      <c r="C31" s="12">
        <f t="shared" si="0"/>
        <v>49.065040000000003</v>
      </c>
      <c r="D31" s="12">
        <f t="shared" si="1"/>
        <v>3.4345528000000005</v>
      </c>
      <c r="E31" s="12">
        <f t="shared" si="2"/>
        <v>0.15332825000000003</v>
      </c>
      <c r="F31" s="12">
        <f>E31/Calculation!K$13*1000</f>
        <v>0.15183991796454152</v>
      </c>
      <c r="G31" s="12">
        <f t="shared" si="3"/>
        <v>59.374720991968061</v>
      </c>
    </row>
    <row r="32" spans="1:10">
      <c r="A32" s="12">
        <v>13.5</v>
      </c>
      <c r="B32" s="12">
        <v>49787.23</v>
      </c>
      <c r="C32" s="12">
        <f t="shared" si="0"/>
        <v>49.787230000000001</v>
      </c>
      <c r="D32" s="12">
        <f t="shared" si="1"/>
        <v>3.4851061000000003</v>
      </c>
      <c r="E32" s="12">
        <f t="shared" si="2"/>
        <v>0.15558509375000001</v>
      </c>
      <c r="F32" s="12">
        <f>E32/Calculation!K$13*1000</f>
        <v>0.15407485490446476</v>
      </c>
      <c r="G32" s="12">
        <f t="shared" si="3"/>
        <v>63.963442585003158</v>
      </c>
    </row>
    <row r="33" spans="1:7">
      <c r="A33" s="12">
        <v>14</v>
      </c>
      <c r="B33" s="12">
        <v>51988.63</v>
      </c>
      <c r="C33" s="12">
        <f t="shared" si="0"/>
        <v>51.988630000000001</v>
      </c>
      <c r="D33" s="12">
        <f t="shared" si="1"/>
        <v>3.6392041000000002</v>
      </c>
      <c r="E33" s="12">
        <f t="shared" si="2"/>
        <v>0.16246446875000001</v>
      </c>
      <c r="F33" s="12">
        <f>E33/Calculation!K$14*1000</f>
        <v>0.16843407000025287</v>
      </c>
      <c r="G33" s="12">
        <f t="shared" si="3"/>
        <v>68.801076458573917</v>
      </c>
    </row>
    <row r="34" spans="1:7">
      <c r="A34" s="12">
        <v>14.5</v>
      </c>
      <c r="B34" s="12">
        <v>26076.12</v>
      </c>
      <c r="C34" s="12">
        <f t="shared" si="0"/>
        <v>26.07612</v>
      </c>
      <c r="D34" s="12">
        <f t="shared" si="1"/>
        <v>1.8253284000000001</v>
      </c>
      <c r="E34" s="12">
        <f t="shared" si="2"/>
        <v>8.1487875000000015E-2</v>
      </c>
      <c r="F34" s="12">
        <f>E34/Calculation!K$14*1000</f>
        <v>8.4482068894967885E-2</v>
      </c>
      <c r="G34" s="12">
        <f t="shared" si="3"/>
        <v>72.59481854200223</v>
      </c>
    </row>
    <row r="35" spans="1:7">
      <c r="A35" s="12">
        <v>15</v>
      </c>
      <c r="B35" s="12">
        <v>5963.35</v>
      </c>
      <c r="C35" s="12">
        <f t="shared" si="0"/>
        <v>5.9633500000000002</v>
      </c>
      <c r="D35" s="12">
        <f t="shared" si="1"/>
        <v>0.41743449999999999</v>
      </c>
      <c r="E35" s="12">
        <f t="shared" si="2"/>
        <v>1.8635468750000002E-2</v>
      </c>
      <c r="F35" s="12">
        <f>E35/Calculation!K$14*1000</f>
        <v>1.9320211194947971E-2</v>
      </c>
      <c r="G35" s="12">
        <f t="shared" si="3"/>
        <v>74.151852743350972</v>
      </c>
    </row>
    <row r="36" spans="1:7">
      <c r="A36" s="12">
        <v>15.5</v>
      </c>
      <c r="B36" s="12">
        <v>1429.85</v>
      </c>
      <c r="C36" s="12">
        <f t="shared" si="0"/>
        <v>1.4298499999999998</v>
      </c>
      <c r="D36" s="12">
        <f t="shared" si="1"/>
        <v>0.1000895</v>
      </c>
      <c r="E36" s="12">
        <f t="shared" si="2"/>
        <v>4.46828125E-3</v>
      </c>
      <c r="F36" s="12">
        <f>E36/Calculation!K$15*1000</f>
        <v>4.8701505962454239E-3</v>
      </c>
      <c r="G36" s="12">
        <f t="shared" si="3"/>
        <v>74.514708170218867</v>
      </c>
    </row>
    <row r="37" spans="1:7">
      <c r="A37" s="12">
        <v>16</v>
      </c>
      <c r="B37" s="12">
        <v>606.02</v>
      </c>
      <c r="C37" s="12">
        <f t="shared" si="0"/>
        <v>0.60602</v>
      </c>
      <c r="D37" s="12">
        <f t="shared" si="1"/>
        <v>4.2421399999999998E-2</v>
      </c>
      <c r="E37" s="12">
        <f t="shared" si="2"/>
        <v>1.8938125000000001E-3</v>
      </c>
      <c r="F37" s="12">
        <f>E37/Calculation!K$15*1000</f>
        <v>2.0641386609341205E-3</v>
      </c>
      <c r="G37" s="12">
        <f t="shared" si="3"/>
        <v>74.618722509076562</v>
      </c>
    </row>
    <row r="38" spans="1:7">
      <c r="A38" s="12">
        <v>16.5</v>
      </c>
      <c r="B38" s="12">
        <v>353.35</v>
      </c>
      <c r="C38" s="12">
        <f t="shared" si="0"/>
        <v>0.35335</v>
      </c>
      <c r="D38" s="12">
        <f t="shared" si="1"/>
        <v>2.47345E-2</v>
      </c>
      <c r="E38" s="12">
        <f t="shared" si="2"/>
        <v>1.1042187499999999E-3</v>
      </c>
      <c r="F38" s="12">
        <f>E38/Calculation!K$15*1000</f>
        <v>1.2035302396638254E-3</v>
      </c>
      <c r="G38" s="12">
        <f t="shared" si="3"/>
        <v>74.667737542585527</v>
      </c>
    </row>
    <row r="39" spans="1:7">
      <c r="A39" s="12">
        <v>17</v>
      </c>
      <c r="B39" s="12">
        <v>265.25</v>
      </c>
      <c r="C39" s="12">
        <f t="shared" si="0"/>
        <v>0.26524999999999999</v>
      </c>
      <c r="D39" s="12">
        <f t="shared" si="1"/>
        <v>1.8567499999999997E-2</v>
      </c>
      <c r="E39" s="12">
        <f t="shared" si="2"/>
        <v>8.2890624999999989E-4</v>
      </c>
      <c r="F39" s="12">
        <f>E39/Calculation!K$16*1000</f>
        <v>9.5748392436131868E-4</v>
      </c>
      <c r="G39" s="12">
        <f t="shared" si="3"/>
        <v>74.700152755045906</v>
      </c>
    </row>
    <row r="40" spans="1:7">
      <c r="A40" s="12">
        <v>17.5</v>
      </c>
      <c r="B40" s="12">
        <v>203.3</v>
      </c>
      <c r="C40" s="12">
        <f t="shared" si="0"/>
        <v>0.20330000000000001</v>
      </c>
      <c r="D40" s="12">
        <f t="shared" si="1"/>
        <v>1.4231000000000001E-2</v>
      </c>
      <c r="E40" s="12">
        <f t="shared" si="2"/>
        <v>6.3531250000000003E-4</v>
      </c>
      <c r="F40" s="12">
        <f>E40/Calculation!K$16*1000</f>
        <v>7.3386044042471679E-4</v>
      </c>
      <c r="G40" s="12">
        <f t="shared" si="3"/>
        <v>74.72552292051769</v>
      </c>
    </row>
    <row r="41" spans="1:7">
      <c r="A41" s="12">
        <v>18</v>
      </c>
      <c r="B41" s="12">
        <v>147.15</v>
      </c>
      <c r="C41" s="12">
        <f t="shared" si="0"/>
        <v>0.14715</v>
      </c>
      <c r="D41" s="12">
        <f t="shared" si="1"/>
        <v>1.0300500000000001E-2</v>
      </c>
      <c r="E41" s="12">
        <f t="shared" si="2"/>
        <v>4.5984375000000007E-4</v>
      </c>
      <c r="F41" s="12">
        <f>E41/Calculation!K$17*1000</f>
        <v>5.6165062256763906E-4</v>
      </c>
      <c r="G41" s="12">
        <f t="shared" si="3"/>
        <v>74.744955586462581</v>
      </c>
    </row>
    <row r="42" spans="1:7">
      <c r="A42" s="12">
        <v>18.5</v>
      </c>
      <c r="B42" s="12">
        <v>130.69</v>
      </c>
      <c r="C42" s="12">
        <f t="shared" si="0"/>
        <v>0.13069</v>
      </c>
      <c r="D42" s="12">
        <f t="shared" si="1"/>
        <v>9.1483000000000016E-3</v>
      </c>
      <c r="E42" s="12">
        <f t="shared" si="2"/>
        <v>4.0840625000000008E-4</v>
      </c>
      <c r="F42" s="12">
        <f>E42/Calculation!K$17*1000</f>
        <v>4.9882514348192149E-4</v>
      </c>
      <c r="G42" s="12">
        <f t="shared" si="3"/>
        <v>74.76086272295332</v>
      </c>
    </row>
    <row r="43" spans="1:7">
      <c r="A43" s="12">
        <v>19</v>
      </c>
      <c r="B43" s="12">
        <v>132.63</v>
      </c>
      <c r="C43" s="12">
        <f t="shared" si="0"/>
        <v>0.13263</v>
      </c>
      <c r="D43" s="12">
        <f t="shared" si="1"/>
        <v>9.2841E-3</v>
      </c>
      <c r="E43" s="12">
        <f t="shared" si="2"/>
        <v>4.1446875000000002E-4</v>
      </c>
      <c r="F43" s="12">
        <f>E43/Calculation!K$17*1000</f>
        <v>5.0622984757829398E-4</v>
      </c>
      <c r="G43" s="12">
        <f t="shared" si="3"/>
        <v>74.775938547819223</v>
      </c>
    </row>
    <row r="44" spans="1:7">
      <c r="A44" s="12">
        <v>19.5</v>
      </c>
      <c r="B44" s="12">
        <v>134.56</v>
      </c>
      <c r="C44" s="12">
        <f t="shared" si="0"/>
        <v>0.13456000000000001</v>
      </c>
      <c r="D44" s="12">
        <f t="shared" si="1"/>
        <v>9.4192000000000008E-3</v>
      </c>
      <c r="E44" s="12">
        <f t="shared" si="2"/>
        <v>4.2050000000000008E-4</v>
      </c>
      <c r="F44" s="12">
        <f>E44/Calculation!K$17*1000</f>
        <v>5.135963830968502E-4</v>
      </c>
      <c r="G44" s="12">
        <f t="shared" si="3"/>
        <v>74.791235941279353</v>
      </c>
    </row>
    <row r="45" spans="1:7">
      <c r="A45" s="12">
        <v>20</v>
      </c>
      <c r="B45" s="12">
        <v>133.59</v>
      </c>
      <c r="C45" s="12">
        <f t="shared" si="0"/>
        <v>0.13359000000000001</v>
      </c>
      <c r="D45" s="12">
        <f t="shared" si="1"/>
        <v>9.3513000000000016E-3</v>
      </c>
      <c r="E45" s="12">
        <f t="shared" si="2"/>
        <v>4.1746875000000009E-4</v>
      </c>
      <c r="F45" s="12">
        <f>E45/Calculation!K$17*1000</f>
        <v>5.0989403104866396E-4</v>
      </c>
      <c r="G45" s="12">
        <f t="shared" si="3"/>
        <v>74.80658829749153</v>
      </c>
    </row>
    <row r="46" spans="1:7">
      <c r="A46" s="12">
        <v>20.5</v>
      </c>
      <c r="B46" s="12">
        <v>82.29</v>
      </c>
      <c r="C46" s="12">
        <f t="shared" si="0"/>
        <v>8.2290000000000002E-2</v>
      </c>
      <c r="D46" s="12">
        <f t="shared" si="1"/>
        <v>5.7603000000000003E-3</v>
      </c>
      <c r="E46" s="12">
        <f t="shared" si="2"/>
        <v>2.5715625000000001E-4</v>
      </c>
      <c r="F46" s="12">
        <f>E46/Calculation!K$17*1000</f>
        <v>3.1408922685077133E-4</v>
      </c>
      <c r="G46" s="12">
        <f t="shared" si="3"/>
        <v>74.81894804636002</v>
      </c>
    </row>
    <row r="47" spans="1:7">
      <c r="A47" s="12">
        <v>21</v>
      </c>
      <c r="B47" s="12">
        <v>84.22</v>
      </c>
      <c r="C47" s="12">
        <f t="shared" si="0"/>
        <v>8.4220000000000003E-2</v>
      </c>
      <c r="D47" s="12">
        <f t="shared" si="1"/>
        <v>5.8954000000000003E-3</v>
      </c>
      <c r="E47" s="12">
        <f t="shared" si="2"/>
        <v>2.6318750000000002E-4</v>
      </c>
      <c r="F47" s="12">
        <f>E47/Calculation!K$17*1000</f>
        <v>3.2145576236932761E-4</v>
      </c>
      <c r="G47" s="12">
        <f t="shared" si="3"/>
        <v>74.828481221198317</v>
      </c>
    </row>
    <row r="48" spans="1:7">
      <c r="A48" s="12">
        <v>21.5</v>
      </c>
      <c r="B48" s="12">
        <v>141.34</v>
      </c>
      <c r="C48" s="12">
        <f t="shared" si="0"/>
        <v>0.14133999999999999</v>
      </c>
      <c r="D48" s="12">
        <f t="shared" si="1"/>
        <v>9.8937999999999995E-3</v>
      </c>
      <c r="E48" s="12">
        <f t="shared" si="2"/>
        <v>4.4168750000000002E-4</v>
      </c>
      <c r="F48" s="12">
        <f>E48/Calculation!K$17*1000</f>
        <v>5.3947467885633764E-4</v>
      </c>
      <c r="G48" s="12">
        <f t="shared" si="3"/>
        <v>74.841395177816707</v>
      </c>
    </row>
    <row r="49" spans="1:7">
      <c r="A49" s="12">
        <v>22</v>
      </c>
      <c r="B49" s="12">
        <v>106.49</v>
      </c>
      <c r="C49" s="12">
        <f t="shared" si="0"/>
        <v>0.10649</v>
      </c>
      <c r="D49" s="12">
        <f t="shared" si="1"/>
        <v>7.4543000000000005E-3</v>
      </c>
      <c r="E49" s="12">
        <f t="shared" si="2"/>
        <v>3.3278125000000007E-4</v>
      </c>
      <c r="F49" s="12">
        <f>E49/Calculation!K$17*1000</f>
        <v>4.0645718516634649E-4</v>
      </c>
      <c r="G49" s="12">
        <f t="shared" si="3"/>
        <v>74.855584155777052</v>
      </c>
    </row>
    <row r="50" spans="1:7">
      <c r="A50" s="12">
        <v>22.5</v>
      </c>
      <c r="B50" s="12">
        <v>109.39</v>
      </c>
      <c r="C50" s="12">
        <f t="shared" si="0"/>
        <v>0.10939</v>
      </c>
      <c r="D50" s="12">
        <f t="shared" si="1"/>
        <v>7.6572999999999997E-3</v>
      </c>
      <c r="E50" s="12">
        <f t="shared" si="2"/>
        <v>3.4184375000000003E-4</v>
      </c>
      <c r="F50" s="12">
        <f>E50/Calculation!K$17*1000</f>
        <v>4.1752607273308885E-4</v>
      </c>
      <c r="G50" s="12">
        <f t="shared" si="3"/>
        <v>74.867943904645543</v>
      </c>
    </row>
    <row r="51" spans="1:7">
      <c r="A51" s="12">
        <v>23</v>
      </c>
      <c r="B51" s="12">
        <v>113.26</v>
      </c>
      <c r="C51" s="12">
        <f t="shared" si="0"/>
        <v>0.11326</v>
      </c>
      <c r="D51" s="12">
        <f t="shared" si="1"/>
        <v>7.9281999999999998E-3</v>
      </c>
      <c r="E51" s="12">
        <f t="shared" si="2"/>
        <v>3.5393750000000003E-4</v>
      </c>
      <c r="F51" s="12">
        <f>E51/Calculation!K$17*1000</f>
        <v>4.3229731234801757E-4</v>
      </c>
      <c r="G51" s="12">
        <f t="shared" si="3"/>
        <v>74.880691255421766</v>
      </c>
    </row>
    <row r="52" spans="1:7">
      <c r="A52" s="12">
        <v>23.5</v>
      </c>
      <c r="B52" s="12">
        <v>112.3</v>
      </c>
      <c r="C52" s="12">
        <f t="shared" si="0"/>
        <v>0.1123</v>
      </c>
      <c r="D52" s="12">
        <f t="shared" si="1"/>
        <v>7.8609999999999999E-3</v>
      </c>
      <c r="E52" s="12">
        <f t="shared" si="2"/>
        <v>3.5093750000000001E-4</v>
      </c>
      <c r="F52" s="12">
        <f>E52/Calculation!K$17*1000</f>
        <v>4.2863312887764764E-4</v>
      </c>
      <c r="G52" s="12">
        <f t="shared" si="3"/>
        <v>74.893605212040157</v>
      </c>
    </row>
    <row r="53" spans="1:7">
      <c r="A53" s="12">
        <v>24</v>
      </c>
      <c r="B53" s="12">
        <v>86.16</v>
      </c>
      <c r="C53" s="12">
        <f t="shared" si="0"/>
        <v>8.616E-2</v>
      </c>
      <c r="D53" s="12">
        <f t="shared" si="1"/>
        <v>6.0312000000000004E-3</v>
      </c>
      <c r="E53" s="12">
        <f t="shared" si="2"/>
        <v>2.6925000000000001E-4</v>
      </c>
      <c r="F53" s="12">
        <f>E53/Calculation!K$18*1000</f>
        <v>3.510585479521349E-4</v>
      </c>
      <c r="G53" s="12">
        <f t="shared" si="3"/>
        <v>74.905300587192599</v>
      </c>
    </row>
    <row r="54" spans="1:7">
      <c r="A54" s="12">
        <v>24.5</v>
      </c>
      <c r="B54" s="12">
        <v>112.3</v>
      </c>
      <c r="C54" s="12">
        <f t="shared" si="0"/>
        <v>0.1123</v>
      </c>
      <c r="D54" s="12">
        <f t="shared" si="1"/>
        <v>7.8609999999999999E-3</v>
      </c>
      <c r="E54" s="12">
        <f t="shared" si="2"/>
        <v>3.5093750000000001E-4</v>
      </c>
      <c r="F54" s="12">
        <f>E54/Calculation!K$18*1000</f>
        <v>4.5756586507688892E-4</v>
      </c>
      <c r="G54" s="12">
        <f t="shared" si="3"/>
        <v>74.917429953388037</v>
      </c>
    </row>
    <row r="55" spans="1:7">
      <c r="A55" s="12">
        <v>25</v>
      </c>
      <c r="B55" s="12">
        <v>127.79</v>
      </c>
      <c r="C55" s="12">
        <f t="shared" si="0"/>
        <v>0.12779000000000001</v>
      </c>
      <c r="D55" s="12">
        <f t="shared" si="1"/>
        <v>8.9453000000000015E-3</v>
      </c>
      <c r="E55" s="12">
        <f t="shared" si="2"/>
        <v>3.9934375000000007E-4</v>
      </c>
      <c r="F55" s="12">
        <f>E55/Calculation!K$18*1000</f>
        <v>5.2067980318945355E-4</v>
      </c>
      <c r="G55" s="12">
        <f t="shared" si="3"/>
        <v>74.93210363841203</v>
      </c>
    </row>
    <row r="56" spans="1:7">
      <c r="A56" s="12">
        <v>25.5</v>
      </c>
      <c r="B56" s="12">
        <v>109.39</v>
      </c>
      <c r="C56" s="12">
        <f t="shared" si="0"/>
        <v>0.10939</v>
      </c>
      <c r="D56" s="12">
        <f t="shared" si="1"/>
        <v>7.6572999999999997E-3</v>
      </c>
      <c r="E56" s="12">
        <f t="shared" si="2"/>
        <v>3.4184375000000003E-4</v>
      </c>
      <c r="F56" s="12">
        <f>E56/Calculation!K$18*1000</f>
        <v>4.4570908264257239E-4</v>
      </c>
      <c r="G56" s="12">
        <f t="shared" si="3"/>
        <v>74.946599471699514</v>
      </c>
    </row>
    <row r="57" spans="1:7">
      <c r="A57" s="12">
        <v>26</v>
      </c>
      <c r="B57" s="12">
        <v>99.71</v>
      </c>
      <c r="C57" s="12">
        <f t="shared" si="0"/>
        <v>9.9709999999999993E-2</v>
      </c>
      <c r="D57" s="12">
        <f t="shared" si="1"/>
        <v>6.9796999999999993E-3</v>
      </c>
      <c r="E57" s="12">
        <f t="shared" si="2"/>
        <v>3.1159374999999997E-4</v>
      </c>
      <c r="F57" s="12">
        <f>E57/Calculation!K$18*1000</f>
        <v>4.0626796444182179E-4</v>
      </c>
      <c r="G57" s="12">
        <f t="shared" si="3"/>
        <v>74.959379127405782</v>
      </c>
    </row>
    <row r="58" spans="1:7">
      <c r="A58" s="12">
        <v>26.5</v>
      </c>
      <c r="B58" s="12">
        <v>125.85</v>
      </c>
      <c r="C58" s="12">
        <f t="shared" si="0"/>
        <v>0.12584999999999999</v>
      </c>
      <c r="D58" s="12">
        <f t="shared" si="1"/>
        <v>8.8094999999999996E-3</v>
      </c>
      <c r="E58" s="12">
        <f t="shared" si="2"/>
        <v>3.9328125000000002E-4</v>
      </c>
      <c r="F58" s="12">
        <f>E58/Calculation!K$18*1000</f>
        <v>5.1277528156657586E-4</v>
      </c>
      <c r="G58" s="12">
        <f t="shared" si="3"/>
        <v>74.973164776095913</v>
      </c>
    </row>
    <row r="59" spans="1:7">
      <c r="A59" s="12">
        <v>27</v>
      </c>
      <c r="B59" s="12">
        <v>122.95</v>
      </c>
      <c r="C59" s="12">
        <f t="shared" si="0"/>
        <v>0.12295</v>
      </c>
      <c r="D59" s="12">
        <f t="shared" si="1"/>
        <v>8.6065000000000013E-3</v>
      </c>
      <c r="E59" s="12">
        <f t="shared" si="2"/>
        <v>3.8421875000000007E-4</v>
      </c>
      <c r="F59" s="12">
        <f>E59/Calculation!K$18*1000</f>
        <v>5.0095924408907831E-4</v>
      </c>
      <c r="G59" s="12">
        <f t="shared" si="3"/>
        <v>74.988370793980749</v>
      </c>
    </row>
    <row r="60" spans="1:7">
      <c r="A60" s="12">
        <v>27.5</v>
      </c>
      <c r="B60" s="12">
        <v>98.74</v>
      </c>
      <c r="C60" s="12">
        <f t="shared" si="0"/>
        <v>9.8739999999999994E-2</v>
      </c>
      <c r="D60" s="12">
        <f t="shared" si="1"/>
        <v>6.9117999999999992E-3</v>
      </c>
      <c r="E60" s="12">
        <f t="shared" si="2"/>
        <v>3.0856249999999997E-4</v>
      </c>
      <c r="F60" s="12">
        <f>E60/Calculation!K$18*1000</f>
        <v>4.0231570363038295E-4</v>
      </c>
      <c r="G60" s="12">
        <f t="shared" si="3"/>
        <v>75.001919918196535</v>
      </c>
    </row>
    <row r="61" spans="1:7">
      <c r="A61" s="12">
        <v>28</v>
      </c>
      <c r="B61" s="12">
        <v>97.78</v>
      </c>
      <c r="C61" s="12">
        <f t="shared" si="0"/>
        <v>9.7780000000000006E-2</v>
      </c>
      <c r="D61" s="12">
        <f t="shared" si="1"/>
        <v>6.8446000000000002E-3</v>
      </c>
      <c r="E61" s="12">
        <f t="shared" si="2"/>
        <v>3.0556250000000001E-4</v>
      </c>
      <c r="F61" s="12">
        <f>E61/Calculation!K$18*1000</f>
        <v>3.9840418777576308E-4</v>
      </c>
      <c r="G61" s="12">
        <f t="shared" si="3"/>
        <v>75.013930716567629</v>
      </c>
    </row>
    <row r="62" spans="1:7">
      <c r="A62" s="12">
        <v>28.5</v>
      </c>
      <c r="B62" s="12">
        <v>4.84</v>
      </c>
      <c r="C62" s="12">
        <f t="shared" si="0"/>
        <v>4.8399999999999997E-3</v>
      </c>
      <c r="D62" s="12">
        <f t="shared" si="1"/>
        <v>3.3879999999999994E-4</v>
      </c>
      <c r="E62" s="12">
        <f t="shared" si="2"/>
        <v>1.5124999999999998E-5</v>
      </c>
      <c r="F62" s="12">
        <f>E62/Calculation!K$18*1000</f>
        <v>1.9720559100375264E-5</v>
      </c>
      <c r="G62" s="12">
        <f t="shared" si="3"/>
        <v>75.020202587770768</v>
      </c>
    </row>
    <row r="63" spans="1:7">
      <c r="A63" s="12">
        <v>29</v>
      </c>
      <c r="B63" s="12">
        <v>161.66999999999999</v>
      </c>
      <c r="C63" s="12">
        <f t="shared" si="0"/>
        <v>0.16166999999999998</v>
      </c>
      <c r="D63" s="12">
        <f t="shared" si="1"/>
        <v>1.13169E-2</v>
      </c>
      <c r="E63" s="12">
        <f t="shared" si="2"/>
        <v>5.0521875000000003E-4</v>
      </c>
      <c r="F63" s="12">
        <f>E63/Calculation!K$18*1000</f>
        <v>6.5872371689208037E-4</v>
      </c>
      <c r="G63" s="12">
        <f t="shared" si="3"/>
        <v>75.030379251910659</v>
      </c>
    </row>
    <row r="64" spans="1:7">
      <c r="A64" s="12">
        <v>29.5</v>
      </c>
      <c r="B64" s="12">
        <v>70.67</v>
      </c>
      <c r="C64" s="12">
        <f t="shared" si="0"/>
        <v>7.0669999999999997E-2</v>
      </c>
      <c r="D64" s="12">
        <f t="shared" si="1"/>
        <v>4.9468999999999997E-3</v>
      </c>
      <c r="E64" s="12">
        <f t="shared" si="2"/>
        <v>2.2084375000000001E-4</v>
      </c>
      <c r="F64" s="12">
        <f>E64/Calculation!K$18*1000</f>
        <v>2.8794460983957022E-4</v>
      </c>
      <c r="G64" s="12">
        <f t="shared" si="3"/>
        <v>75.044579276811632</v>
      </c>
    </row>
    <row r="65" spans="1:7">
      <c r="A65" s="12">
        <v>30</v>
      </c>
      <c r="B65" s="12">
        <v>135.53</v>
      </c>
      <c r="C65" s="12">
        <f t="shared" si="0"/>
        <v>0.13553000000000001</v>
      </c>
      <c r="D65" s="12">
        <f t="shared" si="1"/>
        <v>9.4871E-3</v>
      </c>
      <c r="E65" s="12">
        <f t="shared" si="2"/>
        <v>4.2353125000000003E-4</v>
      </c>
      <c r="F65" s="12">
        <f>E65/Calculation!K$18*1000</f>
        <v>5.5221639976732635E-4</v>
      </c>
      <c r="G65" s="12">
        <f t="shared" si="3"/>
        <v>75.057181691955734</v>
      </c>
    </row>
    <row r="66" spans="1:7">
      <c r="A66" s="12">
        <v>30.5</v>
      </c>
      <c r="B66" s="12">
        <v>183.93</v>
      </c>
      <c r="C66" s="12">
        <f t="shared" si="0"/>
        <v>0.18393000000000001</v>
      </c>
      <c r="D66" s="12">
        <f t="shared" si="1"/>
        <v>1.28751E-2</v>
      </c>
      <c r="E66" s="12">
        <f t="shared" si="2"/>
        <v>5.747812500000001E-4</v>
      </c>
      <c r="F66" s="12">
        <f>E66/Calculation!K$19*1000</f>
        <v>7.9831903144722148E-4</v>
      </c>
      <c r="G66" s="12">
        <f t="shared" si="3"/>
        <v>75.07743972342395</v>
      </c>
    </row>
    <row r="67" spans="1:7">
      <c r="A67" s="12">
        <v>31</v>
      </c>
      <c r="B67" s="12">
        <v>171.35</v>
      </c>
      <c r="C67" s="12">
        <f t="shared" si="0"/>
        <v>0.17135</v>
      </c>
      <c r="D67" s="12">
        <f t="shared" si="1"/>
        <v>1.19945E-2</v>
      </c>
      <c r="E67" s="12">
        <f t="shared" si="2"/>
        <v>5.3546875000000003E-4</v>
      </c>
      <c r="F67" s="12">
        <f>E67/Calculation!K$19*1000</f>
        <v>7.4371753405361488E-4</v>
      </c>
      <c r="G67" s="12">
        <f t="shared" si="3"/>
        <v>75.100570271906463</v>
      </c>
    </row>
    <row r="68" spans="1:7">
      <c r="A68" s="12">
        <v>31.5</v>
      </c>
      <c r="B68" s="12">
        <v>140.37</v>
      </c>
      <c r="C68" s="12">
        <f t="shared" si="0"/>
        <v>0.14036999999999999</v>
      </c>
      <c r="D68" s="12">
        <f t="shared" si="1"/>
        <v>9.8258999999999985E-3</v>
      </c>
      <c r="E68" s="12">
        <f t="shared" si="2"/>
        <v>4.3865624999999997E-4</v>
      </c>
      <c r="F68" s="12">
        <f>E68/Calculation!K$19*1000</f>
        <v>6.092537511240496E-4</v>
      </c>
      <c r="G68" s="12">
        <f t="shared" si="3"/>
        <v>75.12086484118413</v>
      </c>
    </row>
    <row r="69" spans="1:7">
      <c r="A69" s="12">
        <v>32</v>
      </c>
      <c r="B69" s="12">
        <v>160.69999999999999</v>
      </c>
      <c r="C69" s="12">
        <f t="shared" si="0"/>
        <v>0.16069999999999998</v>
      </c>
      <c r="D69" s="12">
        <f t="shared" si="1"/>
        <v>1.1248999999999999E-2</v>
      </c>
      <c r="E69" s="12">
        <f t="shared" si="2"/>
        <v>5.0218749999999992E-4</v>
      </c>
      <c r="F69" s="12">
        <f>E69/Calculation!K$19*1000</f>
        <v>6.9749289595807343E-4</v>
      </c>
      <c r="G69" s="12">
        <f t="shared" si="3"/>
        <v>75.14046604089036</v>
      </c>
    </row>
    <row r="70" spans="1:7">
      <c r="A70" s="12">
        <v>32.5</v>
      </c>
      <c r="B70" s="12">
        <v>161.66999999999999</v>
      </c>
      <c r="C70" s="12">
        <f t="shared" ref="C70:C101" si="4">B70/1000</f>
        <v>0.16166999999999998</v>
      </c>
      <c r="D70" s="12">
        <f t="shared" ref="D70:D101" si="5">C70/1000*$B$1</f>
        <v>1.13169E-2</v>
      </c>
      <c r="E70" s="12">
        <f t="shared" ref="E70:E101" si="6">D70/22.4</f>
        <v>5.0521875000000003E-4</v>
      </c>
      <c r="F70" s="12">
        <f>E70/Calculation!K$19*1000</f>
        <v>7.0170302731513228E-4</v>
      </c>
      <c r="G70" s="12">
        <f t="shared" si="3"/>
        <v>75.161453979739463</v>
      </c>
    </row>
    <row r="71" spans="1:7">
      <c r="A71" s="12">
        <v>33</v>
      </c>
      <c r="B71" s="12">
        <v>141.34</v>
      </c>
      <c r="C71" s="12">
        <f t="shared" si="4"/>
        <v>0.14133999999999999</v>
      </c>
      <c r="D71" s="12">
        <f t="shared" si="5"/>
        <v>9.8937999999999995E-3</v>
      </c>
      <c r="E71" s="12">
        <f t="shared" si="6"/>
        <v>4.4168750000000002E-4</v>
      </c>
      <c r="F71" s="12">
        <f>E71/Calculation!K$19*1000</f>
        <v>6.1346388248110844E-4</v>
      </c>
      <c r="G71" s="12">
        <f t="shared" ref="G71:G101" si="7">G70+(F71+F70)/2*30</f>
        <v>75.18118148338641</v>
      </c>
    </row>
    <row r="72" spans="1:7">
      <c r="A72" s="12">
        <v>33.5</v>
      </c>
      <c r="B72" s="12">
        <v>169.41</v>
      </c>
      <c r="C72" s="12">
        <f t="shared" si="4"/>
        <v>0.16941000000000001</v>
      </c>
      <c r="D72" s="12">
        <f t="shared" si="5"/>
        <v>1.18587E-2</v>
      </c>
      <c r="E72" s="12">
        <f t="shared" si="6"/>
        <v>5.2940625000000004E-4</v>
      </c>
      <c r="F72" s="12">
        <f>E72/Calculation!K$19*1000</f>
        <v>7.3529727133949752E-4</v>
      </c>
      <c r="G72" s="12">
        <f t="shared" si="7"/>
        <v>75.201412900693725</v>
      </c>
    </row>
    <row r="73" spans="1:7">
      <c r="A73" s="12">
        <v>34</v>
      </c>
      <c r="B73" s="12">
        <v>112.3</v>
      </c>
      <c r="C73" s="12">
        <f t="shared" si="4"/>
        <v>0.1123</v>
      </c>
      <c r="D73" s="12">
        <f t="shared" si="5"/>
        <v>7.8609999999999999E-3</v>
      </c>
      <c r="E73" s="12">
        <f t="shared" si="6"/>
        <v>3.5093750000000001E-4</v>
      </c>
      <c r="F73" s="12">
        <f>E73/Calculation!K$19*1000</f>
        <v>4.8742036226566063E-4</v>
      </c>
      <c r="G73" s="12">
        <f t="shared" si="7"/>
        <v>75.2197536651978</v>
      </c>
    </row>
    <row r="74" spans="1:7">
      <c r="A74" s="12">
        <v>34.5</v>
      </c>
      <c r="B74" s="12">
        <v>160.69999999999999</v>
      </c>
      <c r="C74" s="12">
        <f t="shared" si="4"/>
        <v>0.16069999999999998</v>
      </c>
      <c r="D74" s="12">
        <f t="shared" si="5"/>
        <v>1.1248999999999999E-2</v>
      </c>
      <c r="E74" s="12">
        <f t="shared" si="6"/>
        <v>5.0218749999999992E-4</v>
      </c>
      <c r="F74" s="12">
        <f>E74/Calculation!K$19*1000</f>
        <v>6.9749289595807343E-4</v>
      </c>
      <c r="G74" s="12">
        <f t="shared" si="7"/>
        <v>75.237527364071155</v>
      </c>
    </row>
    <row r="75" spans="1:7">
      <c r="A75" s="12">
        <v>35</v>
      </c>
      <c r="B75" s="12">
        <v>182.97</v>
      </c>
      <c r="C75" s="12">
        <f t="shared" si="4"/>
        <v>0.18296999999999999</v>
      </c>
      <c r="D75" s="12">
        <f t="shared" si="5"/>
        <v>1.2807899999999999E-2</v>
      </c>
      <c r="E75" s="12">
        <f t="shared" si="6"/>
        <v>5.7178125000000002E-4</v>
      </c>
      <c r="F75" s="12">
        <f>E75/Calculation!K$19*1000</f>
        <v>7.9415230350621485E-4</v>
      </c>
      <c r="G75" s="12">
        <f t="shared" si="7"/>
        <v>75.259902042063118</v>
      </c>
    </row>
    <row r="76" spans="1:7">
      <c r="A76" s="12">
        <v>35.5</v>
      </c>
      <c r="B76" s="12">
        <v>182.97</v>
      </c>
      <c r="C76" s="12">
        <f t="shared" si="4"/>
        <v>0.18296999999999999</v>
      </c>
      <c r="D76" s="12">
        <f t="shared" si="5"/>
        <v>1.2807899999999999E-2</v>
      </c>
      <c r="E76" s="12">
        <f t="shared" si="6"/>
        <v>5.7178125000000002E-4</v>
      </c>
      <c r="F76" s="12">
        <f>E76/Calculation!K$19*1000</f>
        <v>7.9415230350621485E-4</v>
      </c>
      <c r="G76" s="12">
        <f t="shared" si="7"/>
        <v>75.283726611168305</v>
      </c>
    </row>
    <row r="77" spans="1:7">
      <c r="A77" s="12">
        <v>36</v>
      </c>
      <c r="B77" s="12">
        <v>152.96</v>
      </c>
      <c r="C77" s="12">
        <f t="shared" si="4"/>
        <v>0.15296000000000001</v>
      </c>
      <c r="D77" s="12">
        <f t="shared" si="5"/>
        <v>1.07072E-2</v>
      </c>
      <c r="E77" s="12">
        <f t="shared" si="6"/>
        <v>4.7800000000000002E-4</v>
      </c>
      <c r="F77" s="12">
        <f>E77/Calculation!K$19*1000</f>
        <v>6.638986519337083E-4</v>
      </c>
      <c r="G77" s="12">
        <f t="shared" si="7"/>
        <v>75.3055973754999</v>
      </c>
    </row>
    <row r="78" spans="1:7">
      <c r="A78" s="12">
        <v>36.5</v>
      </c>
      <c r="B78" s="12">
        <v>118.11</v>
      </c>
      <c r="C78" s="12">
        <f t="shared" si="4"/>
        <v>0.11810999999999999</v>
      </c>
      <c r="D78" s="12">
        <f t="shared" si="5"/>
        <v>8.2676999999999994E-3</v>
      </c>
      <c r="E78" s="12">
        <f t="shared" si="6"/>
        <v>3.6909375000000001E-4</v>
      </c>
      <c r="F78" s="12">
        <f>E78/Calculation!K$19*1000</f>
        <v>5.1263774699196062E-4</v>
      </c>
      <c r="G78" s="12">
        <f t="shared" si="7"/>
        <v>75.32324542148379</v>
      </c>
    </row>
    <row r="79" spans="1:7">
      <c r="A79" s="12">
        <v>37</v>
      </c>
      <c r="B79" s="12">
        <v>189.74</v>
      </c>
      <c r="C79" s="12">
        <f t="shared" si="4"/>
        <v>0.18974000000000002</v>
      </c>
      <c r="D79" s="12">
        <f t="shared" si="5"/>
        <v>1.32818E-2</v>
      </c>
      <c r="E79" s="12">
        <f t="shared" si="6"/>
        <v>5.9293750000000004E-4</v>
      </c>
      <c r="F79" s="12">
        <f>E79/Calculation!K$19*1000</f>
        <v>8.2353641617352136E-4</v>
      </c>
      <c r="G79" s="12">
        <f t="shared" si="7"/>
        <v>75.343288033931273</v>
      </c>
    </row>
    <row r="80" spans="1:7">
      <c r="A80" s="12">
        <v>37.5</v>
      </c>
      <c r="B80" s="12">
        <v>167.48</v>
      </c>
      <c r="C80" s="12">
        <f t="shared" si="4"/>
        <v>0.16747999999999999</v>
      </c>
      <c r="D80" s="12">
        <f t="shared" si="5"/>
        <v>1.1723599999999999E-2</v>
      </c>
      <c r="E80" s="12">
        <f t="shared" si="6"/>
        <v>5.2337499999999997E-4</v>
      </c>
      <c r="F80" s="12">
        <f>E80/Calculation!K$19*1000</f>
        <v>7.2692041204143216E-4</v>
      </c>
      <c r="G80" s="12">
        <f t="shared" si="7"/>
        <v>75.366544886354504</v>
      </c>
    </row>
    <row r="81" spans="1:7">
      <c r="A81" s="12">
        <v>38</v>
      </c>
      <c r="B81" s="12">
        <v>140.37</v>
      </c>
      <c r="C81" s="12">
        <f t="shared" si="4"/>
        <v>0.14036999999999999</v>
      </c>
      <c r="D81" s="12">
        <f t="shared" si="5"/>
        <v>9.8258999999999985E-3</v>
      </c>
      <c r="E81" s="12">
        <f t="shared" si="6"/>
        <v>4.3865624999999997E-4</v>
      </c>
      <c r="F81" s="12">
        <f>E81/Calculation!K$19*1000</f>
        <v>6.092537511240496E-4</v>
      </c>
      <c r="G81" s="12">
        <f t="shared" si="7"/>
        <v>75.386587498801987</v>
      </c>
    </row>
    <row r="82" spans="1:7">
      <c r="A82" s="12">
        <v>38.5</v>
      </c>
      <c r="B82" s="12">
        <v>146.18</v>
      </c>
      <c r="C82" s="12">
        <f t="shared" si="4"/>
        <v>0.14618</v>
      </c>
      <c r="D82" s="12">
        <f t="shared" si="5"/>
        <v>1.0232600000000001E-2</v>
      </c>
      <c r="E82" s="12">
        <f t="shared" si="6"/>
        <v>4.5681250000000008E-4</v>
      </c>
      <c r="F82" s="12">
        <f>E82/Calculation!K$19*1000</f>
        <v>6.344711358503498E-4</v>
      </c>
      <c r="G82" s="12">
        <f t="shared" si="7"/>
        <v>75.405243372106597</v>
      </c>
    </row>
    <row r="83" spans="1:7">
      <c r="A83" s="12">
        <v>39</v>
      </c>
      <c r="B83" s="12">
        <v>131.66</v>
      </c>
      <c r="C83" s="12">
        <f t="shared" si="4"/>
        <v>0.13166</v>
      </c>
      <c r="D83" s="12">
        <f t="shared" si="5"/>
        <v>9.216199999999999E-3</v>
      </c>
      <c r="E83" s="12">
        <f t="shared" si="6"/>
        <v>4.1143749999999997E-4</v>
      </c>
      <c r="F83" s="12">
        <f>E83/Calculation!K$19*1000</f>
        <v>5.7144937574262573E-4</v>
      </c>
      <c r="G83" s="12">
        <f t="shared" si="7"/>
        <v>75.423332179780488</v>
      </c>
    </row>
    <row r="84" spans="1:7">
      <c r="A84" s="12">
        <v>39.5</v>
      </c>
      <c r="B84" s="12">
        <v>103.58</v>
      </c>
      <c r="C84" s="12">
        <f t="shared" si="4"/>
        <v>0.10357999999999999</v>
      </c>
      <c r="D84" s="12">
        <f t="shared" si="5"/>
        <v>7.2505999999999994E-3</v>
      </c>
      <c r="E84" s="12">
        <f t="shared" si="6"/>
        <v>3.2368749999999997E-4</v>
      </c>
      <c r="F84" s="12">
        <f>E84/Calculation!K$19*1000</f>
        <v>4.4957258346818449E-4</v>
      </c>
      <c r="G84" s="12">
        <f t="shared" si="7"/>
        <v>75.438647509168646</v>
      </c>
    </row>
    <row r="85" spans="1:7">
      <c r="A85" s="12">
        <v>40</v>
      </c>
      <c r="B85" s="12">
        <v>135.53</v>
      </c>
      <c r="C85" s="12">
        <f t="shared" si="4"/>
        <v>0.13553000000000001</v>
      </c>
      <c r="D85" s="12">
        <f t="shared" si="5"/>
        <v>9.4871E-3</v>
      </c>
      <c r="E85" s="12">
        <f t="shared" si="6"/>
        <v>4.2353125000000003E-4</v>
      </c>
      <c r="F85" s="12">
        <f>E85/Calculation!K$19*1000</f>
        <v>5.8824649775480846E-4</v>
      </c>
      <c r="G85" s="12">
        <f t="shared" si="7"/>
        <v>75.454214795386989</v>
      </c>
    </row>
    <row r="86" spans="1:7">
      <c r="A86" s="12">
        <v>40.5</v>
      </c>
      <c r="B86" s="12">
        <v>78.41</v>
      </c>
      <c r="C86" s="12">
        <f t="shared" si="4"/>
        <v>7.8409999999999994E-2</v>
      </c>
      <c r="D86" s="12">
        <f t="shared" si="5"/>
        <v>5.4886999999999991E-3</v>
      </c>
      <c r="E86" s="12">
        <f t="shared" si="6"/>
        <v>2.4503124999999997E-4</v>
      </c>
      <c r="F86" s="12">
        <f>E86/Calculation!K$19*1000</f>
        <v>3.4032618526491935E-4</v>
      </c>
      <c r="G86" s="12">
        <f t="shared" si="7"/>
        <v>75.468143385632288</v>
      </c>
    </row>
    <row r="87" spans="1:7">
      <c r="A87" s="12">
        <v>41</v>
      </c>
      <c r="B87" s="12">
        <v>110.36</v>
      </c>
      <c r="C87" s="12">
        <f t="shared" si="4"/>
        <v>0.11036</v>
      </c>
      <c r="D87" s="12">
        <f t="shared" si="5"/>
        <v>7.7251999999999998E-3</v>
      </c>
      <c r="E87" s="12">
        <f t="shared" si="6"/>
        <v>3.4487500000000002E-4</v>
      </c>
      <c r="F87" s="12">
        <f>E87/Calculation!K$19*1000</f>
        <v>4.7900009955154332E-4</v>
      </c>
      <c r="G87" s="12">
        <f t="shared" si="7"/>
        <v>75.480433279904531</v>
      </c>
    </row>
    <row r="88" spans="1:7">
      <c r="A88" s="12">
        <v>41.5</v>
      </c>
      <c r="B88" s="12">
        <v>89.06</v>
      </c>
      <c r="C88" s="12">
        <f t="shared" si="4"/>
        <v>8.906E-2</v>
      </c>
      <c r="D88" s="12">
        <f t="shared" si="5"/>
        <v>6.2342000000000005E-3</v>
      </c>
      <c r="E88" s="12">
        <f t="shared" si="6"/>
        <v>2.7831250000000002E-4</v>
      </c>
      <c r="F88" s="12">
        <f>E88/Calculation!K$19*1000</f>
        <v>3.8655082336046069E-4</v>
      </c>
      <c r="G88" s="12">
        <f t="shared" si="7"/>
        <v>75.493416543748211</v>
      </c>
    </row>
    <row r="89" spans="1:7">
      <c r="A89" s="12">
        <v>42</v>
      </c>
      <c r="B89" s="12">
        <v>77.45</v>
      </c>
      <c r="C89" s="12">
        <f t="shared" si="4"/>
        <v>7.7450000000000005E-2</v>
      </c>
      <c r="D89" s="12">
        <f t="shared" si="5"/>
        <v>5.4215000000000001E-3</v>
      </c>
      <c r="E89" s="12">
        <f t="shared" si="6"/>
        <v>2.4203125000000003E-4</v>
      </c>
      <c r="F89" s="12">
        <f>E89/Calculation!K$19*1000</f>
        <v>3.3615945732391294E-4</v>
      </c>
      <c r="G89" s="12">
        <f t="shared" si="7"/>
        <v>75.504257197958481</v>
      </c>
    </row>
    <row r="90" spans="1:7">
      <c r="A90" s="12">
        <v>42.5</v>
      </c>
      <c r="B90" s="12">
        <v>92.94</v>
      </c>
      <c r="C90" s="12">
        <f t="shared" si="4"/>
        <v>9.2939999999999995E-2</v>
      </c>
      <c r="D90" s="12">
        <f t="shared" si="5"/>
        <v>6.5058E-3</v>
      </c>
      <c r="E90" s="12">
        <f t="shared" si="6"/>
        <v>2.9043750000000001E-4</v>
      </c>
      <c r="F90" s="12">
        <f>E90/Calculation!K$19*1000</f>
        <v>4.0339134878869542E-4</v>
      </c>
      <c r="G90" s="12">
        <f t="shared" si="7"/>
        <v>75.515350460050172</v>
      </c>
    </row>
    <row r="91" spans="1:7">
      <c r="A91" s="12">
        <v>43</v>
      </c>
      <c r="B91" s="12">
        <v>109.39</v>
      </c>
      <c r="C91" s="12">
        <f t="shared" si="4"/>
        <v>0.10939</v>
      </c>
      <c r="D91" s="12">
        <f t="shared" si="5"/>
        <v>7.6572999999999997E-3</v>
      </c>
      <c r="E91" s="12">
        <f t="shared" si="6"/>
        <v>3.4184375000000003E-4</v>
      </c>
      <c r="F91" s="12">
        <f>E91/Calculation!K$19*1000</f>
        <v>4.7478996819448453E-4</v>
      </c>
      <c r="G91" s="12">
        <f t="shared" si="7"/>
        <v>75.528523179804921</v>
      </c>
    </row>
    <row r="92" spans="1:7">
      <c r="A92" s="12">
        <v>43.5</v>
      </c>
      <c r="B92" s="12">
        <v>138.43</v>
      </c>
      <c r="C92" s="12">
        <f t="shared" si="4"/>
        <v>0.13843</v>
      </c>
      <c r="D92" s="12">
        <f t="shared" si="5"/>
        <v>9.6900999999999984E-3</v>
      </c>
      <c r="E92" s="12">
        <f t="shared" si="6"/>
        <v>4.3259374999999998E-4</v>
      </c>
      <c r="F92" s="12">
        <f>E92/Calculation!K$19*1000</f>
        <v>6.0083348840993223E-4</v>
      </c>
      <c r="G92" s="12">
        <f t="shared" si="7"/>
        <v>75.544657531653982</v>
      </c>
    </row>
    <row r="93" spans="1:7">
      <c r="A93" s="12">
        <v>44</v>
      </c>
      <c r="B93" s="12">
        <v>107.46</v>
      </c>
      <c r="C93" s="12">
        <f t="shared" si="4"/>
        <v>0.10746</v>
      </c>
      <c r="D93" s="12">
        <f t="shared" si="5"/>
        <v>7.5222000000000006E-3</v>
      </c>
      <c r="E93" s="12">
        <f t="shared" si="6"/>
        <v>3.3581250000000006E-4</v>
      </c>
      <c r="F93" s="12">
        <f>E93/Calculation!K$19*1000</f>
        <v>4.6641310889641944E-4</v>
      </c>
      <c r="G93" s="12">
        <f t="shared" si="7"/>
        <v>75.560666230613577</v>
      </c>
    </row>
    <row r="94" spans="1:7">
      <c r="A94" s="12">
        <v>44.5</v>
      </c>
      <c r="B94" s="12">
        <v>97.78</v>
      </c>
      <c r="C94" s="12">
        <f t="shared" si="4"/>
        <v>9.7780000000000006E-2</v>
      </c>
      <c r="D94" s="12">
        <f t="shared" si="5"/>
        <v>6.8446000000000002E-3</v>
      </c>
      <c r="E94" s="12">
        <f t="shared" si="6"/>
        <v>3.0556250000000001E-4</v>
      </c>
      <c r="F94" s="12">
        <f>E94/Calculation!K$19*1000</f>
        <v>4.2439860215793672E-4</v>
      </c>
      <c r="G94" s="12">
        <f t="shared" si="7"/>
        <v>75.574028406279396</v>
      </c>
    </row>
    <row r="95" spans="1:7">
      <c r="A95" s="12">
        <v>45</v>
      </c>
      <c r="B95" s="12">
        <v>72.61</v>
      </c>
      <c r="C95" s="12">
        <f t="shared" si="4"/>
        <v>7.2609999999999994E-2</v>
      </c>
      <c r="D95" s="12">
        <f t="shared" si="5"/>
        <v>5.0826999999999999E-3</v>
      </c>
      <c r="E95" s="12">
        <f t="shared" si="6"/>
        <v>2.2690625E-4</v>
      </c>
      <c r="F95" s="12">
        <f>E95/Calculation!K$19*1000</f>
        <v>3.1515220395467159E-4</v>
      </c>
      <c r="G95" s="12">
        <f t="shared" si="7"/>
        <v>75.585121668371087</v>
      </c>
    </row>
    <row r="96" spans="1:7">
      <c r="A96" s="12">
        <v>45.5</v>
      </c>
      <c r="B96" s="12">
        <v>85.19</v>
      </c>
      <c r="C96" s="12">
        <f t="shared" si="4"/>
        <v>8.5190000000000002E-2</v>
      </c>
      <c r="D96" s="12">
        <f t="shared" si="5"/>
        <v>5.9633000000000004E-3</v>
      </c>
      <c r="E96" s="12">
        <f t="shared" si="6"/>
        <v>2.6621875000000002E-4</v>
      </c>
      <c r="F96" s="12">
        <f>E96/Calculation!K$19*1000</f>
        <v>3.6975370134827813E-4</v>
      </c>
      <c r="G96" s="12">
        <f t="shared" si="7"/>
        <v>75.595395256950638</v>
      </c>
    </row>
    <row r="97" spans="1:7">
      <c r="A97" s="12">
        <v>46</v>
      </c>
      <c r="B97" s="12">
        <v>77.45</v>
      </c>
      <c r="C97" s="12">
        <f t="shared" si="4"/>
        <v>7.7450000000000005E-2</v>
      </c>
      <c r="D97" s="12">
        <f t="shared" si="5"/>
        <v>5.4215000000000001E-3</v>
      </c>
      <c r="E97" s="12">
        <f t="shared" si="6"/>
        <v>2.4203125000000003E-4</v>
      </c>
      <c r="F97" s="12">
        <f>E97/Calculation!K$19*1000</f>
        <v>3.3615945732391294E-4</v>
      </c>
      <c r="G97" s="12">
        <f t="shared" si="7"/>
        <v>75.605983954330725</v>
      </c>
    </row>
    <row r="98" spans="1:7">
      <c r="A98" s="12">
        <v>46.5</v>
      </c>
      <c r="B98" s="12">
        <v>91.97</v>
      </c>
      <c r="C98" s="12">
        <f t="shared" si="4"/>
        <v>9.1969999999999996E-2</v>
      </c>
      <c r="D98" s="12">
        <f t="shared" si="5"/>
        <v>6.4378999999999999E-3</v>
      </c>
      <c r="E98" s="12">
        <f t="shared" si="6"/>
        <v>2.8740625000000001E-4</v>
      </c>
      <c r="F98" s="12">
        <f>E98/Calculation!K$19*1000</f>
        <v>3.9918121743163674E-4</v>
      </c>
      <c r="G98" s="12">
        <f t="shared" si="7"/>
        <v>75.617014064452064</v>
      </c>
    </row>
    <row r="99" spans="1:7">
      <c r="A99" s="12">
        <v>47</v>
      </c>
      <c r="B99" s="12">
        <v>115.2</v>
      </c>
      <c r="C99" s="12">
        <f t="shared" si="4"/>
        <v>0.1152</v>
      </c>
      <c r="D99" s="12">
        <f t="shared" si="5"/>
        <v>8.064E-3</v>
      </c>
      <c r="E99" s="12">
        <f t="shared" si="6"/>
        <v>3.6000000000000002E-4</v>
      </c>
      <c r="F99" s="12">
        <f>E99/Calculation!K$19*1000</f>
        <v>5.0000735292078462E-4</v>
      </c>
      <c r="G99" s="12">
        <f t="shared" si="7"/>
        <v>75.630501893007349</v>
      </c>
    </row>
    <row r="100" spans="1:7">
      <c r="A100" s="12">
        <v>47.5</v>
      </c>
      <c r="B100" s="12">
        <v>178.13</v>
      </c>
      <c r="C100" s="12">
        <f t="shared" si="4"/>
        <v>0.17812999999999998</v>
      </c>
      <c r="D100" s="12">
        <f t="shared" si="5"/>
        <v>1.2469099999999999E-2</v>
      </c>
      <c r="E100" s="12">
        <f t="shared" si="6"/>
        <v>5.5665624999999997E-4</v>
      </c>
      <c r="F100" s="12">
        <f>E100/Calculation!K$19*1000</f>
        <v>7.731450501369735E-4</v>
      </c>
      <c r="G100" s="12">
        <f t="shared" si="7"/>
        <v>75.649599179053212</v>
      </c>
    </row>
    <row r="101" spans="1:7">
      <c r="A101" s="12">
        <v>48</v>
      </c>
      <c r="B101" s="12">
        <v>82.29</v>
      </c>
      <c r="C101" s="12">
        <f t="shared" si="4"/>
        <v>8.2290000000000002E-2</v>
      </c>
      <c r="D101" s="12">
        <f t="shared" si="5"/>
        <v>5.7603000000000003E-3</v>
      </c>
      <c r="E101" s="12">
        <f t="shared" si="6"/>
        <v>2.5715625000000001E-4</v>
      </c>
      <c r="F101" s="12">
        <f>E101/Calculation!K$20*1000</f>
        <v>3.7993229423591898E-4</v>
      </c>
      <c r="G101" s="12">
        <f t="shared" si="7"/>
        <v>75.666895339218812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R. intestinalis </vt:lpstr>
      <vt:lpstr>Determination cell counts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2016-04-13T16:12:57Z</dcterms:modified>
  <cp:category/>
</cp:coreProperties>
</file>