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780" tabRatio="930" firstSheet="7" activeTab="18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R. intestinalis " sheetId="27" r:id="rId5"/>
    <sheet name="Determination cell counts" sheetId="28" r:id="rId6"/>
    <sheet name="OD600nm" sheetId="4" r:id="rId7"/>
    <sheet name="CDM" sheetId="5" r:id="rId8"/>
    <sheet name="H2" sheetId="17" r:id="rId9"/>
    <sheet name="CO2" sheetId="7" r:id="rId10"/>
    <sheet name="Metabolites" sheetId="8" r:id="rId11"/>
    <sheet name="D-Fructose" sheetId="19" r:id="rId12"/>
    <sheet name="Formic acid" sheetId="18" r:id="rId13"/>
    <sheet name="Acetic acid" sheetId="15" r:id="rId14"/>
    <sheet name="Propionic acid" sheetId="20" r:id="rId15"/>
    <sheet name="Butyric acid" sheetId="21" r:id="rId16"/>
    <sheet name="Lactic acid" sheetId="14" r:id="rId17"/>
    <sheet name="Ethanol" sheetId="16" r:id="rId18"/>
    <sheet name="Graph" sheetId="13" r:id="rId19"/>
    <sheet name="Graph (2)" sheetId="26" r:id="rId20"/>
    <sheet name="Carbon recovery" sheetId="23" r:id="rId21"/>
  </sheets>
  <definedNames>
    <definedName name="_2012_05_10_FPRAU_fruc1" localSheetId="9">'CO2'!$I$108:$I$293</definedName>
    <definedName name="_2012_06_08_BIF_REC_OLI_1" localSheetId="9">'CO2'!$N$108:$N$201</definedName>
    <definedName name="_2012_06_08_BIF_REC_OLI_1" localSheetId="8">'H2'!$K$105:$K$244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4" i="28" l="1"/>
  <c r="H71" i="28"/>
  <c r="H70" i="28"/>
  <c r="H69" i="28"/>
  <c r="H68" i="28"/>
  <c r="H67" i="28"/>
  <c r="H66" i="28"/>
  <c r="H65" i="28"/>
  <c r="H64" i="28"/>
  <c r="H63" i="28"/>
  <c r="H62" i="28"/>
  <c r="H61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B3" i="23"/>
  <c r="H5" i="28"/>
  <c r="I5" i="28"/>
  <c r="J5" i="28"/>
  <c r="H6" i="28"/>
  <c r="I6" i="28"/>
  <c r="J6" i="28"/>
  <c r="H7" i="28"/>
  <c r="I7" i="28"/>
  <c r="J7" i="28"/>
  <c r="H8" i="28"/>
  <c r="I8" i="28"/>
  <c r="J8" i="28"/>
  <c r="H9" i="28"/>
  <c r="I9" i="28"/>
  <c r="J9" i="28"/>
  <c r="H10" i="28"/>
  <c r="I10" i="28"/>
  <c r="J10" i="28"/>
  <c r="H11" i="28"/>
  <c r="I11" i="28"/>
  <c r="J11" i="28"/>
  <c r="H12" i="28"/>
  <c r="I12" i="28"/>
  <c r="J12" i="28"/>
  <c r="H13" i="28"/>
  <c r="I13" i="28"/>
  <c r="J13" i="28"/>
  <c r="H14" i="28"/>
  <c r="I14" i="28"/>
  <c r="J14" i="28"/>
  <c r="H15" i="28"/>
  <c r="I15" i="28"/>
  <c r="J15" i="28"/>
  <c r="H16" i="28"/>
  <c r="I16" i="28"/>
  <c r="J16" i="28"/>
  <c r="H17" i="28"/>
  <c r="I17" i="28"/>
  <c r="J17" i="28"/>
  <c r="H18" i="28"/>
  <c r="I18" i="28"/>
  <c r="J18" i="28"/>
  <c r="H19" i="28"/>
  <c r="I19" i="28"/>
  <c r="J19" i="28"/>
  <c r="H20" i="28"/>
  <c r="I20" i="28"/>
  <c r="J20" i="28"/>
  <c r="I4" i="28"/>
  <c r="J4" i="28"/>
  <c r="H4" i="28"/>
  <c r="H4" i="8"/>
  <c r="H20" i="8"/>
  <c r="B2" i="23"/>
  <c r="L41" i="8"/>
  <c r="L25" i="8"/>
  <c r="B6" i="23"/>
  <c r="L20" i="8"/>
  <c r="L4" i="8"/>
  <c r="B5" i="23"/>
  <c r="P4" i="8"/>
  <c r="P20" i="8"/>
  <c r="T20" i="8"/>
  <c r="T4" i="8"/>
  <c r="B4" i="23"/>
  <c r="B12" i="23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3" i="8"/>
  <c r="T3" i="8"/>
  <c r="Q3" i="8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B25" i="28"/>
  <c r="B24" i="28"/>
  <c r="G12" i="27"/>
  <c r="G4" i="27"/>
  <c r="H4" i="22"/>
  <c r="H20" i="22"/>
  <c r="K5" i="28"/>
  <c r="L5" i="28"/>
  <c r="M5" i="28"/>
  <c r="F3" i="2"/>
  <c r="F4" i="2"/>
  <c r="I5" i="2"/>
  <c r="I3" i="2"/>
  <c r="J3" i="2"/>
  <c r="K3" i="2"/>
  <c r="I4" i="2"/>
  <c r="J4" i="2"/>
  <c r="K4" i="2"/>
  <c r="Q5" i="28"/>
  <c r="P5" i="28"/>
  <c r="R5" i="28"/>
  <c r="O5" i="28"/>
  <c r="S5" i="28"/>
  <c r="K6" i="28"/>
  <c r="L6" i="28"/>
  <c r="M6" i="28"/>
  <c r="O6" i="28"/>
  <c r="F5" i="2"/>
  <c r="I6" i="2"/>
  <c r="J5" i="2"/>
  <c r="K5" i="2"/>
  <c r="S6" i="28"/>
  <c r="K7" i="28"/>
  <c r="L7" i="28"/>
  <c r="M7" i="28"/>
  <c r="O7" i="28"/>
  <c r="F6" i="2"/>
  <c r="I7" i="2"/>
  <c r="J6" i="2"/>
  <c r="K6" i="2"/>
  <c r="S7" i="28"/>
  <c r="K8" i="28"/>
  <c r="L8" i="28"/>
  <c r="M8" i="28"/>
  <c r="O8" i="28"/>
  <c r="F7" i="2"/>
  <c r="I8" i="2"/>
  <c r="J7" i="2"/>
  <c r="K7" i="2"/>
  <c r="S8" i="28"/>
  <c r="L9" i="28"/>
  <c r="K9" i="28"/>
  <c r="M9" i="28"/>
  <c r="O9" i="28"/>
  <c r="F8" i="2"/>
  <c r="I9" i="2"/>
  <c r="J8" i="2"/>
  <c r="K8" i="2"/>
  <c r="S9" i="28"/>
  <c r="M10" i="28"/>
  <c r="K10" i="28"/>
  <c r="L10" i="28"/>
  <c r="O10" i="28"/>
  <c r="F9" i="2"/>
  <c r="I10" i="2"/>
  <c r="J9" i="2"/>
  <c r="K9" i="2"/>
  <c r="S10" i="28"/>
  <c r="K11" i="28"/>
  <c r="L11" i="28"/>
  <c r="M11" i="28"/>
  <c r="O11" i="28"/>
  <c r="F10" i="2"/>
  <c r="I11" i="2"/>
  <c r="J10" i="2"/>
  <c r="K10" i="2"/>
  <c r="S11" i="28"/>
  <c r="K12" i="28"/>
  <c r="L12" i="28"/>
  <c r="M12" i="28"/>
  <c r="O12" i="28"/>
  <c r="F11" i="2"/>
  <c r="I12" i="2"/>
  <c r="J11" i="2"/>
  <c r="K11" i="2"/>
  <c r="S12" i="28"/>
  <c r="K13" i="28"/>
  <c r="L13" i="28"/>
  <c r="M13" i="28"/>
  <c r="O13" i="28"/>
  <c r="F12" i="2"/>
  <c r="I13" i="2"/>
  <c r="J12" i="2"/>
  <c r="K12" i="2"/>
  <c r="S13" i="28"/>
  <c r="K14" i="28"/>
  <c r="L14" i="28"/>
  <c r="M14" i="28"/>
  <c r="O14" i="28"/>
  <c r="F13" i="2"/>
  <c r="I14" i="2"/>
  <c r="J13" i="2"/>
  <c r="K13" i="2"/>
  <c r="S14" i="28"/>
  <c r="K15" i="28"/>
  <c r="L15" i="28"/>
  <c r="M15" i="28"/>
  <c r="O15" i="28"/>
  <c r="F14" i="2"/>
  <c r="I15" i="2"/>
  <c r="J14" i="2"/>
  <c r="K14" i="2"/>
  <c r="S15" i="28"/>
  <c r="K16" i="28"/>
  <c r="L16" i="28"/>
  <c r="M16" i="28"/>
  <c r="O16" i="28"/>
  <c r="F15" i="2"/>
  <c r="I16" i="2"/>
  <c r="J15" i="2"/>
  <c r="K15" i="2"/>
  <c r="S16" i="28"/>
  <c r="K17" i="28"/>
  <c r="L17" i="28"/>
  <c r="M17" i="28"/>
  <c r="O17" i="28"/>
  <c r="F16" i="2"/>
  <c r="I17" i="2"/>
  <c r="J16" i="2"/>
  <c r="K16" i="2"/>
  <c r="S17" i="28"/>
  <c r="K18" i="28"/>
  <c r="L18" i="28"/>
  <c r="M18" i="28"/>
  <c r="O18" i="28"/>
  <c r="F17" i="2"/>
  <c r="I18" i="2"/>
  <c r="J17" i="2"/>
  <c r="K17" i="2"/>
  <c r="S18" i="28"/>
  <c r="K19" i="28"/>
  <c r="L19" i="28"/>
  <c r="M19" i="28"/>
  <c r="O19" i="28"/>
  <c r="F18" i="2"/>
  <c r="I19" i="2"/>
  <c r="J18" i="2"/>
  <c r="K18" i="2"/>
  <c r="S19" i="28"/>
  <c r="K20" i="28"/>
  <c r="L20" i="28"/>
  <c r="M20" i="28"/>
  <c r="O20" i="28"/>
  <c r="F19" i="2"/>
  <c r="I20" i="2"/>
  <c r="J19" i="2"/>
  <c r="K19" i="2"/>
  <c r="S20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K4" i="28"/>
  <c r="L4" i="28"/>
  <c r="M4" i="28"/>
  <c r="Q4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4" i="28"/>
  <c r="O4" i="28"/>
  <c r="N5" i="28"/>
  <c r="N6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N4" i="28"/>
  <c r="D48" i="27"/>
  <c r="G28" i="27"/>
  <c r="G29" i="27"/>
  <c r="G33" i="27"/>
  <c r="G27" i="27"/>
  <c r="H27" i="27"/>
  <c r="O13" i="27"/>
  <c r="O14" i="27"/>
  <c r="O15" i="27"/>
  <c r="O16" i="27"/>
  <c r="O17" i="27"/>
  <c r="O18" i="27"/>
  <c r="O19" i="27"/>
  <c r="K19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G11" i="27"/>
  <c r="G13" i="27"/>
  <c r="G14" i="27"/>
  <c r="G15" i="27"/>
  <c r="G16" i="27"/>
  <c r="G17" i="27"/>
  <c r="G18" i="27"/>
  <c r="G19" i="27"/>
  <c r="O12" i="27"/>
  <c r="O11" i="27"/>
  <c r="R19" i="28"/>
  <c r="S4" i="28"/>
  <c r="Q6" i="28"/>
  <c r="P6" i="28"/>
  <c r="F40" i="27"/>
  <c r="R4" i="28"/>
  <c r="G23" i="27"/>
  <c r="G24" i="27"/>
  <c r="G25" i="27"/>
  <c r="G26" i="27"/>
  <c r="G30" i="27"/>
  <c r="G31" i="27"/>
  <c r="G32" i="27"/>
  <c r="G34" i="27"/>
  <c r="G35" i="27"/>
  <c r="G36" i="27"/>
  <c r="G37" i="27"/>
  <c r="G38" i="27"/>
  <c r="R6" i="28"/>
  <c r="R7" i="28"/>
  <c r="R8" i="28"/>
  <c r="R9" i="28"/>
  <c r="R10" i="28"/>
  <c r="R11" i="28"/>
  <c r="R12" i="28"/>
  <c r="R13" i="28"/>
  <c r="R14" i="28"/>
  <c r="R15" i="28"/>
  <c r="R16" i="28"/>
  <c r="R17" i="28"/>
  <c r="R18" i="28"/>
  <c r="R20" i="28"/>
  <c r="H23" i="27"/>
  <c r="I23" i="27"/>
  <c r="J23" i="27"/>
  <c r="K23" i="27"/>
  <c r="L23" i="27"/>
  <c r="H24" i="27"/>
  <c r="K24" i="27"/>
  <c r="H25" i="27"/>
  <c r="K25" i="27"/>
  <c r="H26" i="27"/>
  <c r="K26" i="27"/>
  <c r="K27" i="27"/>
  <c r="H28" i="27"/>
  <c r="K28" i="27"/>
  <c r="H29" i="27"/>
  <c r="K29" i="27"/>
  <c r="H30" i="27"/>
  <c r="K30" i="27"/>
  <c r="H31" i="27"/>
  <c r="K31" i="27"/>
  <c r="H32" i="27"/>
  <c r="K32" i="27"/>
  <c r="H33" i="27"/>
  <c r="K33" i="27"/>
  <c r="H34" i="27"/>
  <c r="K34" i="27"/>
  <c r="H35" i="27"/>
  <c r="K35" i="27"/>
  <c r="H36" i="27"/>
  <c r="H37" i="27"/>
  <c r="K37" i="27"/>
  <c r="H38" i="27"/>
  <c r="K38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L38" i="27"/>
  <c r="L37" i="27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U4" i="22"/>
  <c r="O5" i="27"/>
  <c r="G5" i="27"/>
  <c r="P5" i="27"/>
  <c r="R5" i="27"/>
  <c r="O6" i="27"/>
  <c r="G6" i="27"/>
  <c r="P6" i="27"/>
  <c r="R6" i="27"/>
  <c r="O7" i="27"/>
  <c r="G7" i="27"/>
  <c r="P7" i="27"/>
  <c r="R7" i="27"/>
  <c r="O8" i="27"/>
  <c r="G8" i="27"/>
  <c r="P8" i="27"/>
  <c r="R8" i="27"/>
  <c r="G9" i="27"/>
  <c r="O9" i="27"/>
  <c r="P9" i="27"/>
  <c r="R9" i="27"/>
  <c r="G10" i="27"/>
  <c r="O10" i="27"/>
  <c r="P10" i="27"/>
  <c r="R10" i="27"/>
  <c r="P11" i="27"/>
  <c r="R11" i="27"/>
  <c r="P12" i="27"/>
  <c r="R12" i="27"/>
  <c r="P13" i="27"/>
  <c r="R13" i="27"/>
  <c r="P14" i="27"/>
  <c r="R14" i="27"/>
  <c r="P15" i="27"/>
  <c r="R15" i="27"/>
  <c r="P16" i="27"/>
  <c r="R16" i="27"/>
  <c r="P17" i="27"/>
  <c r="R17" i="27"/>
  <c r="P18" i="27"/>
  <c r="R18" i="27"/>
  <c r="P19" i="27"/>
  <c r="R19" i="27"/>
  <c r="K4" i="27"/>
  <c r="O4" i="27"/>
  <c r="P4" i="27"/>
  <c r="R4" i="27"/>
  <c r="L4" i="22"/>
  <c r="P4" i="22"/>
  <c r="Q4" i="22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23" i="27"/>
  <c r="Q11" i="27"/>
  <c r="Q12" i="27"/>
  <c r="Q13" i="27"/>
  <c r="Q14" i="27"/>
  <c r="Q15" i="27"/>
  <c r="Q16" i="27"/>
  <c r="Q17" i="27"/>
  <c r="Q18" i="27"/>
  <c r="Q19" i="27"/>
  <c r="Q4" i="27"/>
  <c r="Q5" i="27"/>
  <c r="Q6" i="27"/>
  <c r="Q7" i="27"/>
  <c r="Q8" i="27"/>
  <c r="Q9" i="27"/>
  <c r="Q10" i="27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C45" i="7"/>
  <c r="D45" i="7"/>
  <c r="E45" i="7"/>
  <c r="F45" i="7"/>
  <c r="G45" i="7"/>
  <c r="C46" i="7"/>
  <c r="D46" i="7"/>
  <c r="E46" i="7"/>
  <c r="F46" i="7"/>
  <c r="G46" i="7"/>
  <c r="C47" i="7"/>
  <c r="D47" i="7"/>
  <c r="E47" i="7"/>
  <c r="F47" i="7"/>
  <c r="G47" i="7"/>
  <c r="C48" i="7"/>
  <c r="D48" i="7"/>
  <c r="E48" i="7"/>
  <c r="F48" i="7"/>
  <c r="G48" i="7"/>
  <c r="C49" i="7"/>
  <c r="D49" i="7"/>
  <c r="E49" i="7"/>
  <c r="F49" i="7"/>
  <c r="G49" i="7"/>
  <c r="C50" i="7"/>
  <c r="D50" i="7"/>
  <c r="E50" i="7"/>
  <c r="F50" i="7"/>
  <c r="G50" i="7"/>
  <c r="C51" i="7"/>
  <c r="D51" i="7"/>
  <c r="E51" i="7"/>
  <c r="F51" i="7"/>
  <c r="G51" i="7"/>
  <c r="C52" i="7"/>
  <c r="D52" i="7"/>
  <c r="E52" i="7"/>
  <c r="F52" i="7"/>
  <c r="G52" i="7"/>
  <c r="C53" i="7"/>
  <c r="D53" i="7"/>
  <c r="E53" i="7"/>
  <c r="F53" i="7"/>
  <c r="G53" i="7"/>
  <c r="C54" i="7"/>
  <c r="D54" i="7"/>
  <c r="E54" i="7"/>
  <c r="F54" i="7"/>
  <c r="G54" i="7"/>
  <c r="C55" i="7"/>
  <c r="D55" i="7"/>
  <c r="E55" i="7"/>
  <c r="F55" i="7"/>
  <c r="G55" i="7"/>
  <c r="C56" i="7"/>
  <c r="D56" i="7"/>
  <c r="E56" i="7"/>
  <c r="F56" i="7"/>
  <c r="G56" i="7"/>
  <c r="C57" i="7"/>
  <c r="D57" i="7"/>
  <c r="E57" i="7"/>
  <c r="F57" i="7"/>
  <c r="G57" i="7"/>
  <c r="C58" i="7"/>
  <c r="D58" i="7"/>
  <c r="E58" i="7"/>
  <c r="F58" i="7"/>
  <c r="G58" i="7"/>
  <c r="C59" i="7"/>
  <c r="D59" i="7"/>
  <c r="E59" i="7"/>
  <c r="F59" i="7"/>
  <c r="G59" i="7"/>
  <c r="C60" i="7"/>
  <c r="D60" i="7"/>
  <c r="E60" i="7"/>
  <c r="F60" i="7"/>
  <c r="G60" i="7"/>
  <c r="C61" i="7"/>
  <c r="D61" i="7"/>
  <c r="E61" i="7"/>
  <c r="F61" i="7"/>
  <c r="G61" i="7"/>
  <c r="C62" i="7"/>
  <c r="D62" i="7"/>
  <c r="E62" i="7"/>
  <c r="F62" i="7"/>
  <c r="G62" i="7"/>
  <c r="C63" i="7"/>
  <c r="D63" i="7"/>
  <c r="E63" i="7"/>
  <c r="F63" i="7"/>
  <c r="G63" i="7"/>
  <c r="C64" i="7"/>
  <c r="D64" i="7"/>
  <c r="E64" i="7"/>
  <c r="F64" i="7"/>
  <c r="G64" i="7"/>
  <c r="C65" i="7"/>
  <c r="D65" i="7"/>
  <c r="E65" i="7"/>
  <c r="F65" i="7"/>
  <c r="G65" i="7"/>
  <c r="C66" i="7"/>
  <c r="D66" i="7"/>
  <c r="E66" i="7"/>
  <c r="F66" i="7"/>
  <c r="G66" i="7"/>
  <c r="C67" i="7"/>
  <c r="D67" i="7"/>
  <c r="E67" i="7"/>
  <c r="F67" i="7"/>
  <c r="G67" i="7"/>
  <c r="C68" i="7"/>
  <c r="D68" i="7"/>
  <c r="E68" i="7"/>
  <c r="F68" i="7"/>
  <c r="G68" i="7"/>
  <c r="C69" i="7"/>
  <c r="D69" i="7"/>
  <c r="E69" i="7"/>
  <c r="F69" i="7"/>
  <c r="G69" i="7"/>
  <c r="C70" i="7"/>
  <c r="D70" i="7"/>
  <c r="E70" i="7"/>
  <c r="F70" i="7"/>
  <c r="G70" i="7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C78" i="7"/>
  <c r="D78" i="7"/>
  <c r="E78" i="7"/>
  <c r="F78" i="7"/>
  <c r="G78" i="7"/>
  <c r="C79" i="7"/>
  <c r="D79" i="7"/>
  <c r="E79" i="7"/>
  <c r="F79" i="7"/>
  <c r="G79" i="7"/>
  <c r="C80" i="7"/>
  <c r="D80" i="7"/>
  <c r="E80" i="7"/>
  <c r="F80" i="7"/>
  <c r="G80" i="7"/>
  <c r="C81" i="7"/>
  <c r="D81" i="7"/>
  <c r="E81" i="7"/>
  <c r="F81" i="7"/>
  <c r="G81" i="7"/>
  <c r="C82" i="7"/>
  <c r="D82" i="7"/>
  <c r="E82" i="7"/>
  <c r="F82" i="7"/>
  <c r="G82" i="7"/>
  <c r="C83" i="7"/>
  <c r="D83" i="7"/>
  <c r="E83" i="7"/>
  <c r="F83" i="7"/>
  <c r="G83" i="7"/>
  <c r="C84" i="7"/>
  <c r="D84" i="7"/>
  <c r="E84" i="7"/>
  <c r="F84" i="7"/>
  <c r="G84" i="7"/>
  <c r="C85" i="7"/>
  <c r="D85" i="7"/>
  <c r="E85" i="7"/>
  <c r="F85" i="7"/>
  <c r="G85" i="7"/>
  <c r="C86" i="7"/>
  <c r="D86" i="7"/>
  <c r="E86" i="7"/>
  <c r="F86" i="7"/>
  <c r="G86" i="7"/>
  <c r="C87" i="7"/>
  <c r="D87" i="7"/>
  <c r="E87" i="7"/>
  <c r="F87" i="7"/>
  <c r="G87" i="7"/>
  <c r="C88" i="7"/>
  <c r="D88" i="7"/>
  <c r="E88" i="7"/>
  <c r="F88" i="7"/>
  <c r="G88" i="7"/>
  <c r="C89" i="7"/>
  <c r="D89" i="7"/>
  <c r="E89" i="7"/>
  <c r="F89" i="7"/>
  <c r="G89" i="7"/>
  <c r="C90" i="7"/>
  <c r="D90" i="7"/>
  <c r="E90" i="7"/>
  <c r="F90" i="7"/>
  <c r="G90" i="7"/>
  <c r="C91" i="7"/>
  <c r="D91" i="7"/>
  <c r="E91" i="7"/>
  <c r="F91" i="7"/>
  <c r="G91" i="7"/>
  <c r="C92" i="7"/>
  <c r="D92" i="7"/>
  <c r="E92" i="7"/>
  <c r="F92" i="7"/>
  <c r="G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96" i="7"/>
  <c r="D96" i="7"/>
  <c r="E96" i="7"/>
  <c r="F96" i="7"/>
  <c r="G96" i="7"/>
  <c r="C97" i="7"/>
  <c r="D97" i="7"/>
  <c r="E97" i="7"/>
  <c r="F97" i="7"/>
  <c r="G97" i="7"/>
  <c r="C98" i="7"/>
  <c r="D98" i="7"/>
  <c r="E98" i="7"/>
  <c r="F98" i="7"/>
  <c r="G98" i="7"/>
  <c r="C99" i="7"/>
  <c r="D99" i="7"/>
  <c r="E99" i="7"/>
  <c r="F99" i="7"/>
  <c r="G99" i="7"/>
  <c r="C100" i="7"/>
  <c r="D100" i="7"/>
  <c r="E100" i="7"/>
  <c r="F100" i="7"/>
  <c r="G100" i="7"/>
  <c r="J20" i="2"/>
  <c r="K20" i="2"/>
  <c r="C101" i="7"/>
  <c r="D101" i="7"/>
  <c r="E101" i="7"/>
  <c r="F101" i="7"/>
  <c r="G101" i="7"/>
  <c r="B8" i="23"/>
  <c r="C101" i="17"/>
  <c r="D101" i="17"/>
  <c r="E101" i="17"/>
  <c r="F101" i="17"/>
  <c r="C67" i="17"/>
  <c r="D67" i="17"/>
  <c r="E67" i="17"/>
  <c r="F67" i="17"/>
  <c r="C68" i="17"/>
  <c r="D68" i="17"/>
  <c r="E68" i="17"/>
  <c r="F68" i="17"/>
  <c r="C69" i="17"/>
  <c r="D69" i="17"/>
  <c r="E69" i="17"/>
  <c r="F69" i="17"/>
  <c r="C70" i="17"/>
  <c r="D70" i="17"/>
  <c r="E70" i="17"/>
  <c r="F70" i="17"/>
  <c r="C71" i="17"/>
  <c r="D71" i="17"/>
  <c r="E71" i="17"/>
  <c r="F71" i="17"/>
  <c r="C72" i="17"/>
  <c r="D72" i="17"/>
  <c r="E72" i="17"/>
  <c r="F72" i="17"/>
  <c r="C73" i="17"/>
  <c r="D73" i="17"/>
  <c r="E73" i="17"/>
  <c r="F73" i="17"/>
  <c r="C74" i="17"/>
  <c r="D74" i="17"/>
  <c r="E74" i="17"/>
  <c r="F74" i="17"/>
  <c r="C75" i="17"/>
  <c r="D75" i="17"/>
  <c r="E75" i="17"/>
  <c r="F75" i="17"/>
  <c r="C76" i="17"/>
  <c r="D76" i="17"/>
  <c r="E76" i="17"/>
  <c r="F76" i="17"/>
  <c r="C77" i="17"/>
  <c r="D77" i="17"/>
  <c r="E77" i="17"/>
  <c r="F77" i="17"/>
  <c r="C78" i="17"/>
  <c r="D78" i="17"/>
  <c r="E78" i="17"/>
  <c r="F78" i="17"/>
  <c r="C79" i="17"/>
  <c r="D79" i="17"/>
  <c r="E79" i="17"/>
  <c r="F79" i="17"/>
  <c r="C80" i="17"/>
  <c r="D80" i="17"/>
  <c r="E80" i="17"/>
  <c r="F80" i="17"/>
  <c r="C81" i="17"/>
  <c r="D81" i="17"/>
  <c r="E81" i="17"/>
  <c r="F81" i="17"/>
  <c r="C82" i="17"/>
  <c r="D82" i="17"/>
  <c r="E82" i="17"/>
  <c r="F82" i="17"/>
  <c r="C83" i="17"/>
  <c r="D83" i="17"/>
  <c r="E83" i="17"/>
  <c r="F83" i="17"/>
  <c r="C84" i="17"/>
  <c r="D84" i="17"/>
  <c r="E84" i="17"/>
  <c r="F84" i="17"/>
  <c r="C85" i="17"/>
  <c r="D85" i="17"/>
  <c r="E85" i="17"/>
  <c r="F85" i="17"/>
  <c r="C86" i="17"/>
  <c r="D86" i="17"/>
  <c r="E86" i="17"/>
  <c r="F86" i="17"/>
  <c r="C87" i="17"/>
  <c r="D87" i="17"/>
  <c r="E87" i="17"/>
  <c r="F87" i="17"/>
  <c r="C88" i="17"/>
  <c r="D88" i="17"/>
  <c r="E88" i="17"/>
  <c r="F88" i="17"/>
  <c r="C89" i="17"/>
  <c r="D89" i="17"/>
  <c r="E89" i="17"/>
  <c r="F89" i="17"/>
  <c r="C90" i="17"/>
  <c r="D90" i="17"/>
  <c r="E90" i="17"/>
  <c r="F90" i="17"/>
  <c r="C91" i="17"/>
  <c r="D91" i="17"/>
  <c r="E91" i="17"/>
  <c r="F91" i="17"/>
  <c r="C92" i="17"/>
  <c r="D92" i="17"/>
  <c r="E92" i="17"/>
  <c r="F92" i="17"/>
  <c r="C93" i="17"/>
  <c r="D93" i="17"/>
  <c r="E93" i="17"/>
  <c r="F93" i="17"/>
  <c r="C94" i="17"/>
  <c r="D94" i="17"/>
  <c r="E94" i="17"/>
  <c r="F94" i="17"/>
  <c r="C95" i="17"/>
  <c r="D95" i="17"/>
  <c r="E95" i="17"/>
  <c r="F95" i="17"/>
  <c r="C96" i="17"/>
  <c r="D96" i="17"/>
  <c r="E96" i="17"/>
  <c r="F96" i="17"/>
  <c r="C97" i="17"/>
  <c r="D97" i="17"/>
  <c r="E97" i="17"/>
  <c r="F97" i="17"/>
  <c r="C98" i="17"/>
  <c r="D98" i="17"/>
  <c r="E98" i="17"/>
  <c r="F98" i="17"/>
  <c r="C99" i="17"/>
  <c r="D99" i="17"/>
  <c r="E99" i="17"/>
  <c r="F99" i="17"/>
  <c r="C100" i="17"/>
  <c r="D100" i="17"/>
  <c r="E100" i="17"/>
  <c r="F100" i="17"/>
  <c r="C66" i="17"/>
  <c r="D66" i="17"/>
  <c r="E66" i="17"/>
  <c r="F66" i="17"/>
  <c r="C54" i="17"/>
  <c r="D54" i="17"/>
  <c r="E54" i="17"/>
  <c r="F54" i="17"/>
  <c r="C55" i="17"/>
  <c r="D55" i="17"/>
  <c r="E55" i="17"/>
  <c r="F55" i="17"/>
  <c r="C56" i="17"/>
  <c r="D56" i="17"/>
  <c r="E56" i="17"/>
  <c r="F56" i="17"/>
  <c r="C57" i="17"/>
  <c r="D57" i="17"/>
  <c r="E57" i="17"/>
  <c r="F57" i="17"/>
  <c r="C58" i="17"/>
  <c r="D58" i="17"/>
  <c r="E58" i="17"/>
  <c r="F58" i="17"/>
  <c r="C59" i="17"/>
  <c r="D59" i="17"/>
  <c r="E59" i="17"/>
  <c r="F59" i="17"/>
  <c r="C60" i="17"/>
  <c r="D60" i="17"/>
  <c r="E60" i="17"/>
  <c r="F60" i="17"/>
  <c r="C61" i="17"/>
  <c r="D61" i="17"/>
  <c r="E61" i="17"/>
  <c r="F61" i="17"/>
  <c r="C62" i="17"/>
  <c r="D62" i="17"/>
  <c r="E62" i="17"/>
  <c r="F62" i="17"/>
  <c r="C63" i="17"/>
  <c r="D63" i="17"/>
  <c r="E63" i="17"/>
  <c r="F63" i="17"/>
  <c r="C64" i="17"/>
  <c r="D64" i="17"/>
  <c r="E64" i="17"/>
  <c r="F64" i="17"/>
  <c r="C65" i="17"/>
  <c r="D65" i="17"/>
  <c r="E65" i="17"/>
  <c r="F65" i="17"/>
  <c r="C53" i="17"/>
  <c r="D53" i="17"/>
  <c r="E53" i="17"/>
  <c r="F53" i="17"/>
  <c r="C42" i="17"/>
  <c r="D42" i="17"/>
  <c r="E42" i="17"/>
  <c r="F42" i="17"/>
  <c r="C43" i="17"/>
  <c r="D43" i="17"/>
  <c r="E43" i="17"/>
  <c r="F43" i="17"/>
  <c r="C44" i="17"/>
  <c r="D44" i="17"/>
  <c r="E44" i="17"/>
  <c r="F44" i="17"/>
  <c r="C45" i="17"/>
  <c r="D45" i="17"/>
  <c r="E45" i="17"/>
  <c r="F45" i="17"/>
  <c r="C46" i="17"/>
  <c r="D46" i="17"/>
  <c r="E46" i="17"/>
  <c r="F46" i="17"/>
  <c r="C47" i="17"/>
  <c r="D47" i="17"/>
  <c r="E47" i="17"/>
  <c r="F47" i="17"/>
  <c r="C48" i="17"/>
  <c r="D48" i="17"/>
  <c r="E48" i="17"/>
  <c r="F48" i="17"/>
  <c r="C49" i="17"/>
  <c r="D49" i="17"/>
  <c r="E49" i="17"/>
  <c r="F49" i="17"/>
  <c r="C50" i="17"/>
  <c r="D50" i="17"/>
  <c r="E50" i="17"/>
  <c r="F50" i="17"/>
  <c r="C51" i="17"/>
  <c r="D51" i="17"/>
  <c r="E51" i="17"/>
  <c r="F51" i="17"/>
  <c r="C52" i="17"/>
  <c r="D52" i="17"/>
  <c r="E52" i="17"/>
  <c r="F52" i="17"/>
  <c r="C41" i="17"/>
  <c r="D41" i="17"/>
  <c r="E41" i="17"/>
  <c r="F41" i="17"/>
  <c r="C40" i="17"/>
  <c r="D40" i="17"/>
  <c r="E40" i="17"/>
  <c r="F40" i="17"/>
  <c r="C39" i="17"/>
  <c r="D39" i="17"/>
  <c r="E39" i="17"/>
  <c r="F39" i="17"/>
  <c r="C37" i="17"/>
  <c r="D37" i="17"/>
  <c r="E37" i="17"/>
  <c r="F37" i="17"/>
  <c r="C38" i="17"/>
  <c r="D38" i="17"/>
  <c r="E38" i="17"/>
  <c r="F38" i="17"/>
  <c r="C36" i="17"/>
  <c r="D36" i="17"/>
  <c r="E36" i="17"/>
  <c r="F36" i="17"/>
  <c r="C34" i="17"/>
  <c r="D34" i="17"/>
  <c r="E34" i="17"/>
  <c r="F34" i="17"/>
  <c r="C35" i="17"/>
  <c r="D35" i="17"/>
  <c r="E35" i="17"/>
  <c r="F35" i="17"/>
  <c r="C33" i="17"/>
  <c r="D33" i="17"/>
  <c r="E33" i="17"/>
  <c r="F33" i="17"/>
  <c r="C32" i="17"/>
  <c r="D32" i="17"/>
  <c r="E32" i="17"/>
  <c r="F32" i="17"/>
  <c r="C31" i="17"/>
  <c r="D31" i="17"/>
  <c r="E31" i="17"/>
  <c r="F31" i="17"/>
  <c r="C29" i="17"/>
  <c r="D29" i="17"/>
  <c r="E29" i="17"/>
  <c r="F29" i="17"/>
  <c r="C30" i="17"/>
  <c r="D30" i="17"/>
  <c r="E30" i="17"/>
  <c r="F30" i="17"/>
  <c r="C28" i="17"/>
  <c r="D28" i="17"/>
  <c r="E28" i="17"/>
  <c r="F28" i="17"/>
  <c r="C26" i="17"/>
  <c r="D26" i="17"/>
  <c r="E26" i="17"/>
  <c r="F26" i="17"/>
  <c r="C27" i="17"/>
  <c r="D27" i="17"/>
  <c r="E27" i="17"/>
  <c r="F27" i="17"/>
  <c r="C25" i="17"/>
  <c r="D25" i="17"/>
  <c r="E25" i="17"/>
  <c r="F25" i="17"/>
  <c r="C24" i="17"/>
  <c r="D24" i="17"/>
  <c r="E24" i="17"/>
  <c r="F24" i="17"/>
  <c r="C23" i="17"/>
  <c r="D23" i="17"/>
  <c r="E23" i="17"/>
  <c r="F23" i="17"/>
  <c r="C21" i="17"/>
  <c r="D21" i="17"/>
  <c r="E21" i="17"/>
  <c r="F21" i="17"/>
  <c r="C22" i="17"/>
  <c r="D22" i="17"/>
  <c r="E22" i="17"/>
  <c r="F22" i="17"/>
  <c r="C20" i="17"/>
  <c r="D20" i="17"/>
  <c r="E20" i="17"/>
  <c r="F20" i="17"/>
  <c r="C18" i="17"/>
  <c r="D18" i="17"/>
  <c r="E18" i="17"/>
  <c r="F18" i="17"/>
  <c r="C19" i="17"/>
  <c r="D19" i="17"/>
  <c r="E19" i="17"/>
  <c r="F19" i="17"/>
  <c r="C17" i="17"/>
  <c r="D17" i="17"/>
  <c r="E17" i="17"/>
  <c r="F17" i="17"/>
  <c r="C16" i="17"/>
  <c r="D16" i="17"/>
  <c r="E16" i="17"/>
  <c r="F16" i="17"/>
  <c r="C15" i="17"/>
  <c r="D15" i="17"/>
  <c r="E15" i="17"/>
  <c r="F15" i="17"/>
  <c r="C13" i="17"/>
  <c r="D13" i="17"/>
  <c r="E13" i="17"/>
  <c r="F13" i="17"/>
  <c r="C14" i="17"/>
  <c r="D14" i="17"/>
  <c r="E14" i="17"/>
  <c r="F14" i="17"/>
  <c r="C12" i="17"/>
  <c r="D12" i="17"/>
  <c r="E12" i="17"/>
  <c r="F12" i="17"/>
  <c r="C10" i="17"/>
  <c r="D10" i="17"/>
  <c r="E10" i="17"/>
  <c r="F10" i="17"/>
  <c r="C11" i="17"/>
  <c r="D11" i="17"/>
  <c r="E11" i="17"/>
  <c r="F11" i="17"/>
  <c r="C9" i="17"/>
  <c r="D9" i="17"/>
  <c r="E9" i="17"/>
  <c r="F9" i="17"/>
  <c r="C6" i="17"/>
  <c r="D6" i="17"/>
  <c r="E6" i="17"/>
  <c r="F6" i="17"/>
  <c r="C7" i="17"/>
  <c r="D7" i="17"/>
  <c r="E7" i="17"/>
  <c r="F7" i="17"/>
  <c r="C8" i="17"/>
  <c r="D8" i="17"/>
  <c r="E8" i="17"/>
  <c r="F8" i="17"/>
  <c r="I20" i="4"/>
  <c r="J20" i="4"/>
  <c r="D3" i="4"/>
  <c r="L20" i="22"/>
  <c r="P20" i="22"/>
  <c r="Q20" i="22"/>
  <c r="R20" i="22"/>
  <c r="S20" i="22"/>
  <c r="T20" i="22"/>
  <c r="U20" i="22"/>
  <c r="V20" i="22"/>
  <c r="W20" i="22"/>
  <c r="X20" i="22"/>
  <c r="F20" i="2"/>
  <c r="C18" i="2"/>
  <c r="C19" i="2"/>
  <c r="C20" i="2"/>
  <c r="D20" i="2"/>
  <c r="G24" i="16"/>
  <c r="H24" i="16"/>
  <c r="G24" i="14"/>
  <c r="H24" i="14"/>
  <c r="G24" i="21"/>
  <c r="H24" i="21"/>
  <c r="G24" i="20"/>
  <c r="H24" i="20"/>
  <c r="G24" i="15"/>
  <c r="H24" i="15"/>
  <c r="G24" i="18"/>
  <c r="H24" i="18"/>
  <c r="G24" i="19"/>
  <c r="H24" i="19"/>
  <c r="B9" i="23"/>
  <c r="B10" i="23"/>
  <c r="M41" i="8"/>
  <c r="M25" i="8"/>
  <c r="C6" i="23"/>
  <c r="M20" i="8"/>
  <c r="M4" i="8"/>
  <c r="C5" i="23"/>
  <c r="U20" i="8"/>
  <c r="U4" i="8"/>
  <c r="C4" i="23"/>
  <c r="Q20" i="8"/>
  <c r="Q4" i="8"/>
  <c r="C3" i="23"/>
  <c r="I20" i="8"/>
  <c r="I4" i="8"/>
  <c r="C2" i="23"/>
  <c r="H41" i="8"/>
  <c r="I41" i="8"/>
  <c r="P41" i="8"/>
  <c r="Q41" i="8"/>
  <c r="G20" i="5"/>
  <c r="Q20" i="3"/>
  <c r="R20" i="3"/>
  <c r="S20" i="3"/>
  <c r="L40" i="8"/>
  <c r="L19" i="8"/>
  <c r="T19" i="8"/>
  <c r="H19" i="8"/>
  <c r="C5" i="17"/>
  <c r="D5" i="17"/>
  <c r="E5" i="17"/>
  <c r="F5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B7" i="23"/>
  <c r="H5" i="22"/>
  <c r="U5" i="22"/>
  <c r="L5" i="22"/>
  <c r="V5" i="22"/>
  <c r="P5" i="22"/>
  <c r="W5" i="22"/>
  <c r="X5" i="22"/>
  <c r="H6" i="22"/>
  <c r="U6" i="22"/>
  <c r="L6" i="22"/>
  <c r="V6" i="22"/>
  <c r="P6" i="22"/>
  <c r="W6" i="22"/>
  <c r="X6" i="22"/>
  <c r="H7" i="22"/>
  <c r="U7" i="22"/>
  <c r="L7" i="22"/>
  <c r="V7" i="22"/>
  <c r="P7" i="22"/>
  <c r="W7" i="22"/>
  <c r="X7" i="22"/>
  <c r="H8" i="22"/>
  <c r="U8" i="22"/>
  <c r="L8" i="22"/>
  <c r="V8" i="22"/>
  <c r="P8" i="22"/>
  <c r="W8" i="22"/>
  <c r="X8" i="22"/>
  <c r="H9" i="22"/>
  <c r="U9" i="22"/>
  <c r="L9" i="22"/>
  <c r="V9" i="22"/>
  <c r="P9" i="22"/>
  <c r="W9" i="22"/>
  <c r="X9" i="22"/>
  <c r="H10" i="22"/>
  <c r="U10" i="22"/>
  <c r="L10" i="22"/>
  <c r="V10" i="22"/>
  <c r="P10" i="22"/>
  <c r="W10" i="22"/>
  <c r="X10" i="22"/>
  <c r="H11" i="22"/>
  <c r="U11" i="22"/>
  <c r="L11" i="22"/>
  <c r="V11" i="22"/>
  <c r="P11" i="22"/>
  <c r="W11" i="22"/>
  <c r="X11" i="22"/>
  <c r="H12" i="22"/>
  <c r="U12" i="22"/>
  <c r="L12" i="22"/>
  <c r="V12" i="22"/>
  <c r="P12" i="22"/>
  <c r="W12" i="22"/>
  <c r="X12" i="22"/>
  <c r="H13" i="22"/>
  <c r="U13" i="22"/>
  <c r="L13" i="22"/>
  <c r="V13" i="22"/>
  <c r="P13" i="22"/>
  <c r="W13" i="22"/>
  <c r="X13" i="22"/>
  <c r="H14" i="22"/>
  <c r="U14" i="22"/>
  <c r="L14" i="22"/>
  <c r="V14" i="22"/>
  <c r="P14" i="22"/>
  <c r="W14" i="22"/>
  <c r="X14" i="22"/>
  <c r="H15" i="22"/>
  <c r="U15" i="22"/>
  <c r="L15" i="22"/>
  <c r="V15" i="22"/>
  <c r="P15" i="22"/>
  <c r="W15" i="22"/>
  <c r="X15" i="22"/>
  <c r="H16" i="22"/>
  <c r="U16" i="22"/>
  <c r="L16" i="22"/>
  <c r="V16" i="22"/>
  <c r="P16" i="22"/>
  <c r="W16" i="22"/>
  <c r="X16" i="22"/>
  <c r="H17" i="22"/>
  <c r="U17" i="22"/>
  <c r="L17" i="22"/>
  <c r="V17" i="22"/>
  <c r="P17" i="22"/>
  <c r="W17" i="22"/>
  <c r="X17" i="22"/>
  <c r="H18" i="22"/>
  <c r="U18" i="22"/>
  <c r="L18" i="22"/>
  <c r="V18" i="22"/>
  <c r="P18" i="22"/>
  <c r="W18" i="22"/>
  <c r="X18" i="22"/>
  <c r="H19" i="22"/>
  <c r="U19" i="22"/>
  <c r="L19" i="22"/>
  <c r="V19" i="22"/>
  <c r="P19" i="22"/>
  <c r="W19" i="22"/>
  <c r="X19" i="22"/>
  <c r="V4" i="22"/>
  <c r="W4" i="22"/>
  <c r="X4" i="22"/>
  <c r="C16" i="23"/>
  <c r="C17" i="23"/>
  <c r="C18" i="23"/>
  <c r="C20" i="23"/>
  <c r="C22" i="23"/>
  <c r="C25" i="23"/>
  <c r="C19" i="23"/>
  <c r="C26" i="23"/>
  <c r="C23" i="23"/>
  <c r="M40" i="8"/>
  <c r="M19" i="8"/>
  <c r="U19" i="8"/>
  <c r="Q19" i="8"/>
  <c r="I19" i="8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G7" i="19"/>
  <c r="D25" i="23"/>
  <c r="D26" i="23"/>
  <c r="D21" i="23"/>
  <c r="D20" i="23"/>
  <c r="D18" i="23"/>
  <c r="D19" i="23"/>
  <c r="D17" i="23"/>
  <c r="D16" i="2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Q5" i="22"/>
  <c r="T5" i="22"/>
  <c r="Q6" i="22"/>
  <c r="T6" i="22"/>
  <c r="Q7" i="22"/>
  <c r="T7" i="22"/>
  <c r="Q8" i="22"/>
  <c r="T8" i="22"/>
  <c r="Q9" i="22"/>
  <c r="T9" i="22"/>
  <c r="Q10" i="22"/>
  <c r="T10" i="22"/>
  <c r="Q11" i="22"/>
  <c r="T11" i="22"/>
  <c r="Q12" i="22"/>
  <c r="T12" i="22"/>
  <c r="Q13" i="22"/>
  <c r="T13" i="22"/>
  <c r="Q14" i="22"/>
  <c r="T14" i="22"/>
  <c r="Q15" i="22"/>
  <c r="T15" i="22"/>
  <c r="Q16" i="22"/>
  <c r="T16" i="22"/>
  <c r="Q17" i="22"/>
  <c r="T17" i="22"/>
  <c r="Q18" i="22"/>
  <c r="T18" i="22"/>
  <c r="Q19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19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4" i="22"/>
  <c r="T13" i="8"/>
  <c r="C21" i="23"/>
  <c r="D24" i="23"/>
  <c r="C24" i="23"/>
  <c r="D22" i="23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3" i="4"/>
  <c r="I3" i="4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14"/>
  <c r="H18" i="14"/>
  <c r="G19" i="14"/>
  <c r="H19" i="14"/>
  <c r="G20" i="14"/>
  <c r="H20" i="14"/>
  <c r="G21" i="14"/>
  <c r="H21" i="14"/>
  <c r="G22" i="14"/>
  <c r="H22" i="14"/>
  <c r="G23" i="14"/>
  <c r="H23" i="14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8"/>
  <c r="H18" i="18"/>
  <c r="G19" i="18"/>
  <c r="H19" i="18"/>
  <c r="G20" i="18"/>
  <c r="H20" i="18"/>
  <c r="G21" i="18"/>
  <c r="H21" i="18"/>
  <c r="G22" i="18"/>
  <c r="H22" i="18"/>
  <c r="G23" i="18"/>
  <c r="H23" i="18"/>
  <c r="G18" i="15"/>
  <c r="H18" i="15"/>
  <c r="G19" i="15"/>
  <c r="H19" i="15"/>
  <c r="G20" i="15"/>
  <c r="H20" i="15"/>
  <c r="G21" i="15"/>
  <c r="H21" i="15"/>
  <c r="G22" i="15"/>
  <c r="H22" i="15"/>
  <c r="G23" i="15"/>
  <c r="H23" i="15"/>
  <c r="H35" i="8"/>
  <c r="I35" i="8"/>
  <c r="L35" i="8"/>
  <c r="M35" i="8"/>
  <c r="P35" i="8"/>
  <c r="Q35" i="8"/>
  <c r="H36" i="8"/>
  <c r="I36" i="8"/>
  <c r="L36" i="8"/>
  <c r="M36" i="8"/>
  <c r="P36" i="8"/>
  <c r="Q36" i="8"/>
  <c r="H37" i="8"/>
  <c r="I37" i="8"/>
  <c r="L37" i="8"/>
  <c r="M37" i="8"/>
  <c r="P37" i="8"/>
  <c r="Q37" i="8"/>
  <c r="H38" i="8"/>
  <c r="I38" i="8"/>
  <c r="L38" i="8"/>
  <c r="M38" i="8"/>
  <c r="P38" i="8"/>
  <c r="Q38" i="8"/>
  <c r="H39" i="8"/>
  <c r="I39" i="8"/>
  <c r="L39" i="8"/>
  <c r="M39" i="8"/>
  <c r="P39" i="8"/>
  <c r="Q39" i="8"/>
  <c r="H40" i="8"/>
  <c r="I40" i="8"/>
  <c r="P40" i="8"/>
  <c r="Q40" i="8"/>
  <c r="H14" i="8"/>
  <c r="I14" i="8"/>
  <c r="L14" i="8"/>
  <c r="M14" i="8"/>
  <c r="Q14" i="8"/>
  <c r="T14" i="8"/>
  <c r="U14" i="8"/>
  <c r="H15" i="8"/>
  <c r="I15" i="8"/>
  <c r="L15" i="8"/>
  <c r="M15" i="8"/>
  <c r="Q15" i="8"/>
  <c r="T15" i="8"/>
  <c r="U15" i="8"/>
  <c r="H16" i="8"/>
  <c r="I16" i="8"/>
  <c r="L16" i="8"/>
  <c r="M16" i="8"/>
  <c r="Q16" i="8"/>
  <c r="T16" i="8"/>
  <c r="U16" i="8"/>
  <c r="H17" i="8"/>
  <c r="I17" i="8"/>
  <c r="L17" i="8"/>
  <c r="M17" i="8"/>
  <c r="Q17" i="8"/>
  <c r="T17" i="8"/>
  <c r="U17" i="8"/>
  <c r="H18" i="8"/>
  <c r="I18" i="8"/>
  <c r="L18" i="8"/>
  <c r="M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H17" i="18"/>
  <c r="G17" i="18"/>
  <c r="H16" i="18"/>
  <c r="G16" i="18"/>
  <c r="H15" i="18"/>
  <c r="G15" i="18"/>
  <c r="H14" i="18"/>
  <c r="G14" i="18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H8" i="14"/>
  <c r="H9" i="14"/>
  <c r="H10" i="14"/>
  <c r="H11" i="14"/>
  <c r="H12" i="14"/>
  <c r="H13" i="14"/>
  <c r="H14" i="14"/>
  <c r="H15" i="14"/>
  <c r="H16" i="14"/>
  <c r="H17" i="14"/>
  <c r="G8" i="14"/>
  <c r="G9" i="14"/>
  <c r="G10" i="14"/>
  <c r="G11" i="14"/>
  <c r="G12" i="14"/>
  <c r="G13" i="14"/>
  <c r="G14" i="14"/>
  <c r="G15" i="14"/>
  <c r="G16" i="14"/>
  <c r="G17" i="14"/>
  <c r="H7" i="14"/>
  <c r="G7" i="14"/>
  <c r="P24" i="8"/>
  <c r="L24" i="8"/>
  <c r="H24" i="8"/>
  <c r="U3" i="8"/>
  <c r="M3" i="8"/>
  <c r="Q24" i="8"/>
  <c r="M24" i="8"/>
  <c r="I24" i="8"/>
  <c r="L3" i="8"/>
  <c r="G3" i="5"/>
  <c r="P25" i="8"/>
  <c r="I25" i="8"/>
  <c r="Q25" i="8"/>
  <c r="H25" i="8"/>
  <c r="G4" i="5"/>
  <c r="L26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L27" i="8"/>
  <c r="Q27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L28" i="8"/>
  <c r="H7" i="8"/>
  <c r="G6" i="5"/>
  <c r="U8" i="8"/>
  <c r="M8" i="8"/>
  <c r="I29" i="8"/>
  <c r="P29" i="8"/>
  <c r="L29" i="8"/>
  <c r="H8" i="8"/>
  <c r="H29" i="8"/>
  <c r="G7" i="5"/>
  <c r="T8" i="8"/>
  <c r="Q8" i="8"/>
  <c r="M29" i="8"/>
  <c r="T9" i="8"/>
  <c r="L8" i="8"/>
  <c r="I8" i="8"/>
  <c r="Q29" i="8"/>
  <c r="L9" i="8"/>
  <c r="M30" i="8"/>
  <c r="U9" i="8"/>
  <c r="M9" i="8"/>
  <c r="H30" i="8"/>
  <c r="I30" i="8"/>
  <c r="P30" i="8"/>
  <c r="H9" i="8"/>
  <c r="Q9" i="8"/>
  <c r="L30" i="8"/>
  <c r="G8" i="5"/>
  <c r="Q30" i="8"/>
  <c r="I9" i="8"/>
  <c r="Q31" i="8"/>
  <c r="U10" i="8"/>
  <c r="M31" i="8"/>
  <c r="H31" i="8"/>
  <c r="Q10" i="8"/>
  <c r="I10" i="8"/>
  <c r="T10" i="8"/>
  <c r="L10" i="8"/>
  <c r="G9" i="5"/>
  <c r="P31" i="8"/>
  <c r="M10" i="8"/>
  <c r="L31" i="8"/>
  <c r="I31" i="8"/>
  <c r="H10" i="8"/>
  <c r="P32" i="8"/>
  <c r="L32" i="8"/>
  <c r="T11" i="8"/>
  <c r="L11" i="8"/>
  <c r="I32" i="8"/>
  <c r="Q11" i="8"/>
  <c r="I11" i="8"/>
  <c r="G10" i="5"/>
  <c r="M32" i="8"/>
  <c r="H32" i="8"/>
  <c r="Q32" i="8"/>
  <c r="U11" i="8"/>
  <c r="M11" i="8"/>
  <c r="H11" i="8"/>
  <c r="Q33" i="8"/>
  <c r="U12" i="8"/>
  <c r="M12" i="8"/>
  <c r="H12" i="8"/>
  <c r="M33" i="8"/>
  <c r="H33" i="8"/>
  <c r="G11" i="5"/>
  <c r="I33" i="8"/>
  <c r="Q12" i="8"/>
  <c r="I12" i="8"/>
  <c r="P33" i="8"/>
  <c r="L33" i="8"/>
  <c r="T12" i="8"/>
  <c r="L12" i="8"/>
  <c r="G12" i="5"/>
  <c r="H34" i="8"/>
  <c r="H13" i="8"/>
  <c r="U13" i="8"/>
  <c r="L34" i="8"/>
  <c r="L13" i="8"/>
  <c r="Q34" i="8"/>
  <c r="I34" i="8"/>
  <c r="Q13" i="8"/>
  <c r="I13" i="8"/>
  <c r="P34" i="8"/>
  <c r="M34" i="8"/>
  <c r="M13" i="8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<sst xmlns="http://schemas.openxmlformats.org/spreadsheetml/2006/main" count="591" uniqueCount="272">
  <si>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</si>
  <si>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</si>
  <si>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</si>
  <si>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</si>
  <si>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</si>
  <si>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</si>
  <si>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</si>
  <si>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</si>
  <si>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</si>
  <si>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</si>
  <si>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</si>
  <si>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</si>
  <si>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</si>
  <si>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</si>
  <si>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</si>
  <si>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</si>
  <si>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</si>
  <si>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</si>
  <si>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</si>
  <si>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</si>
  <si>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</si>
  <si>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</si>
  <si>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</si>
  <si>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</si>
  <si>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</si>
  <si>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</si>
  <si>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</si>
  <si>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</si>
  <si>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</si>
  <si>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</si>
  <si>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</si>
  <si>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</si>
  <si>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</si>
  <si>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</si>
  <si>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</si>
  <si>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</si>
  <si>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</si>
  <si>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</si>
  <si>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</si>
  <si>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</si>
  <si>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</si>
  <si>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</si>
  <si>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</si>
  <si>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</si>
  <si>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</si>
  <si>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</si>
  <si>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</si>
  <si>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</si>
  <si>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</si>
  <si>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</si>
  <si>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</si>
  <si>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</si>
  <si>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</si>
  <si>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</si>
  <si>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</si>
  <si>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</si>
  <si>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</si>
  <si>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</si>
  <si>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</si>
  <si>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</si>
  <si>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</si>
  <si>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</si>
  <si>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</si>
  <si>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</si>
  <si>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</si>
  <si>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</si>
  <si>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</si>
  <si>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</si>
  <si>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</si>
  <si>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</si>
  <si>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</si>
  <si>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</si>
  <si>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</si>
  <si>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</si>
  <si>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</si>
  <si>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</si>
  <si>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</si>
  <si>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</si>
  <si>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</si>
  <si>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</si>
  <si>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</si>
  <si>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</si>
  <si>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</si>
  <si>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</si>
  <si>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</si>
  <si>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Neutralised soy pepton</t>
  </si>
  <si>
    <t>Trypton</t>
  </si>
  <si>
    <t>Granulated yeast extract</t>
  </si>
  <si>
    <t>Na-acetate trihydrate (50 mM)</t>
  </si>
  <si>
    <t>Hemine</t>
  </si>
  <si>
    <t>Menadione</t>
  </si>
  <si>
    <t>/</t>
  </si>
  <si>
    <t>Selenite and tungsten</t>
  </si>
  <si>
    <t>1,0 ml of a 1000x stock solution</t>
  </si>
  <si>
    <t>Trace element solution SL-10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</si>
  <si>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</si>
  <si>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</si>
  <si>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</si>
  <si>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</si>
  <si>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</si>
  <si>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</si>
  <si>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</si>
  <si>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</si>
  <si>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</si>
  <si>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</si>
  <si>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</si>
  <si>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</si>
  <si>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</si>
  <si>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</si>
  <si>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</si>
  <si>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Acetic acid consumed</t>
  </si>
  <si>
    <t>Formic acid produced</t>
  </si>
  <si>
    <t>Lactic acid produced</t>
  </si>
  <si>
    <t>Butyric acid produced</t>
  </si>
  <si>
    <t>Hydrogen recovery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</si>
  <si>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</si>
  <si>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</si>
  <si>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r>
      <rPr>
        <i/>
        <sz val="11"/>
        <color theme="1"/>
        <rFont val="Calibri"/>
        <family val="2"/>
        <scheme val="minor"/>
      </rPr>
      <t xml:space="preserve">Roseburia intestinalis </t>
    </r>
    <r>
      <rPr>
        <sz val="11"/>
        <color theme="1"/>
        <rFont val="Calibri"/>
        <family val="2"/>
        <scheme val="minor"/>
      </rPr>
      <t>DSM 14610</t>
    </r>
    <r>
      <rPr>
        <vertAlign val="superscript"/>
        <sz val="11"/>
        <color theme="1"/>
        <rFont val="Calibri"/>
        <family val="2"/>
        <scheme val="minor"/>
      </rPr>
      <t>T</t>
    </r>
  </si>
  <si>
    <t>x</t>
  </si>
  <si>
    <t>2x</t>
  </si>
  <si>
    <t>z</t>
  </si>
  <si>
    <t>2x-z</t>
  </si>
  <si>
    <t>y</t>
  </si>
  <si>
    <t>(2x-2+Y)/2</t>
  </si>
  <si>
    <t>2x NAD + H2 wordt NADH + H+</t>
  </si>
  <si>
    <t>2x-z+y NADH + H+ wordt NAD + H2</t>
  </si>
  <si>
    <t>Theoretical</t>
  </si>
  <si>
    <t>Experimental</t>
  </si>
  <si>
    <t>2x-z-y</t>
  </si>
  <si>
    <t>f</t>
  </si>
  <si>
    <t>2x-z -f</t>
  </si>
  <si>
    <t>LN(Count/mL)</t>
  </si>
  <si>
    <t>D - Fructose (50 mM)</t>
  </si>
  <si>
    <t>D-Fructose</t>
  </si>
  <si>
    <t>D Fructose</t>
  </si>
  <si>
    <t>D-Fructose consumed</t>
  </si>
  <si>
    <t>10 ml of a 0,1 g/l stock solution</t>
  </si>
  <si>
    <t>2x-z-y-f</t>
  </si>
  <si>
    <t>2x-z+y</t>
  </si>
  <si>
    <t>Left (mL) after inoculation</t>
  </si>
  <si>
    <t xml:space="preserve"> Volume Fermentor (mL) after inoculation</t>
  </si>
  <si>
    <r>
      <t>Na</t>
    </r>
    <r>
      <rPr>
        <vertAlign val="subscript"/>
        <sz val="11"/>
        <rFont val="Calibri"/>
        <scheme val="minor"/>
      </rPr>
      <t>2</t>
    </r>
    <r>
      <rPr>
        <sz val="11"/>
        <rFont val="Calibri"/>
        <family val="2"/>
        <scheme val="minor"/>
      </rPr>
      <t>SO</t>
    </r>
    <r>
      <rPr>
        <vertAlign val="subscript"/>
        <sz val="11"/>
        <rFont val="Calibri"/>
        <scheme val="minor"/>
      </rPr>
      <t>4</t>
    </r>
  </si>
  <si>
    <t>13,5 g in 100 ml MilliQ,H20 per 1.5l</t>
  </si>
  <si>
    <t xml:space="preserve">2x-z-y </t>
  </si>
  <si>
    <t>LOG</t>
  </si>
  <si>
    <t>STDEV LOG(Count/mL)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</si>
  <si>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</si>
  <si>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</si>
  <si>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</si>
  <si>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</si>
  <si>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</si>
  <si>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</si>
  <si>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</si>
  <si>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</si>
  <si>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</si>
  <si>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</si>
  <si>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</si>
  <si>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</si>
  <si>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</si>
  <si>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</si>
  <si>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</si>
  <si>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</si>
  <si>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</si>
  <si>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</si>
  <si>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x moles D-fructose consumed</t>
  </si>
  <si>
    <t>2x moles pyruvate produced</t>
  </si>
  <si>
    <t>z moles lactate produced</t>
  </si>
  <si>
    <t>f moles formate produced</t>
  </si>
  <si>
    <t xml:space="preserve">2x-z moles </t>
  </si>
  <si>
    <t>2x-z-f moles CO2 produced</t>
  </si>
  <si>
    <t>y moles acetate consumed</t>
  </si>
  <si>
    <t>2x-z+y  moles acetyl-CoA produced</t>
  </si>
  <si>
    <t>(2x-2+Y)/2 moles butyrate produced</t>
  </si>
  <si>
    <t>2x-z-y-f moles H2</t>
  </si>
  <si>
    <t>intercept</t>
  </si>
  <si>
    <t>Rico</t>
  </si>
  <si>
    <t>AUTO</t>
  </si>
  <si>
    <t>Average CT</t>
  </si>
  <si>
    <t>CT3</t>
  </si>
  <si>
    <t>CT2</t>
  </si>
  <si>
    <t>CT1</t>
  </si>
  <si>
    <t xml:space="preserve">Dilution </t>
  </si>
  <si>
    <t>Dilution log (10x)</t>
  </si>
  <si>
    <t>STDV Log (cells/ml)</t>
  </si>
  <si>
    <t>Log (cells/ml)</t>
  </si>
  <si>
    <t>Log (cells/ml) 3</t>
  </si>
  <si>
    <t>Log (cells/ml) 2</t>
  </si>
  <si>
    <t>Log (cells/ml) 1</t>
  </si>
  <si>
    <t>Ct3</t>
  </si>
  <si>
    <t>Ct2</t>
  </si>
  <si>
    <t>Ct1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</si>
  <si>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</si>
  <si>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</si>
  <si>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</si>
  <si>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</si>
  <si>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</si>
  <si>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</si>
  <si>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</si>
  <si>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</si>
  <si>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</si>
  <si>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</si>
  <si>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</si>
  <si>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</si>
  <si>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</si>
  <si>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</si>
  <si>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</si>
  <si>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</si>
  <si>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 xml:space="preserve">Volume (ul) </t>
  </si>
  <si>
    <t>Log (cells/ml medium)</t>
  </si>
  <si>
    <t>STDV Log (cells/ml medium)</t>
  </si>
  <si>
    <t>cells/ml medium</t>
  </si>
  <si>
    <t>CT1 normalized</t>
  </si>
  <si>
    <t>CT2 normalized</t>
  </si>
  <si>
    <t>CT3 normalized</t>
  </si>
  <si>
    <t>Average CT normalized</t>
  </si>
  <si>
    <t>Dilution for 1 ml</t>
  </si>
  <si>
    <t>Log Dilution for 1 ml</t>
  </si>
  <si>
    <t>Efficiency E (%)</t>
  </si>
  <si>
    <t>Ct1 IPC corrected</t>
  </si>
  <si>
    <t>Ct2 IPC corrected</t>
  </si>
  <si>
    <t>Ct3 IPC corrected</t>
  </si>
  <si>
    <t>IPC RI10 epp</t>
  </si>
  <si>
    <t>R. Intestinalis</t>
  </si>
  <si>
    <t>IPC value epp 10</t>
  </si>
  <si>
    <t>STDV(cells/ml medium)</t>
  </si>
  <si>
    <t>Total average</t>
  </si>
  <si>
    <t>Threshold</t>
  </si>
  <si>
    <t>Baseline</t>
  </si>
  <si>
    <t>plate 20150701</t>
  </si>
  <si>
    <t>plate 20150629</t>
  </si>
  <si>
    <t>plate 20150630</t>
  </si>
  <si>
    <t>outliers</t>
  </si>
  <si>
    <t>plate 20150708</t>
  </si>
  <si>
    <t>IPC value epp 9</t>
  </si>
  <si>
    <t>plate 20150727</t>
  </si>
  <si>
    <t>plate 20150729</t>
  </si>
  <si>
    <t>plate 20150730</t>
  </si>
  <si>
    <t>IPC value epp 8</t>
  </si>
  <si>
    <t>plate 20150804</t>
  </si>
  <si>
    <t>plate 20150807</t>
  </si>
  <si>
    <t>IPC value epp 7</t>
  </si>
  <si>
    <t>plate 20150831</t>
  </si>
  <si>
    <t>plate 20150902</t>
  </si>
  <si>
    <t>plate 20150903</t>
  </si>
  <si>
    <t>IPC value epp 6</t>
  </si>
  <si>
    <t>plate 20150908</t>
  </si>
  <si>
    <t>plate 20150910</t>
  </si>
  <si>
    <t>R. intestinalis</t>
  </si>
  <si>
    <t>plate 20150911</t>
  </si>
  <si>
    <t>IPC value epp 5</t>
  </si>
  <si>
    <t>plate 20150922</t>
  </si>
  <si>
    <t>plate 20151007</t>
  </si>
  <si>
    <t>plate 20151009</t>
  </si>
  <si>
    <t>IPC value epp 4</t>
  </si>
  <si>
    <t>plate 20151013</t>
  </si>
  <si>
    <t>plate 20151019</t>
  </si>
  <si>
    <t>plate 20151111</t>
  </si>
  <si>
    <t>plate 20151112</t>
  </si>
  <si>
    <t>IPC value epp 3</t>
  </si>
  <si>
    <t>plate 20151204</t>
  </si>
  <si>
    <t>plate 20160126</t>
  </si>
  <si>
    <t>IPC value epp 2</t>
  </si>
  <si>
    <t>plate 20160208</t>
  </si>
  <si>
    <t>plate 20160222</t>
  </si>
  <si>
    <t>plate 20160223</t>
  </si>
  <si>
    <t>IPC value epp 1</t>
  </si>
  <si>
    <t>plate 20160225</t>
  </si>
  <si>
    <t>plate 20160308</t>
  </si>
  <si>
    <t>plate 20160310</t>
  </si>
  <si>
    <t>plate 20160311</t>
  </si>
  <si>
    <t>plate 20160318</t>
  </si>
  <si>
    <t>plate 20160405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</si>
</sst>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vertAlign val="subscript"/>
      <sz val="11"/>
      <name val="Calibri"/>
      <scheme val="minor"/>
    </font>
    <font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i/>
      <sz val="1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22F918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522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8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1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25" fillId="0" borderId="0" xfId="0" applyFont="1"/>
    <xf numFmtId="2" fontId="25" fillId="0" borderId="0" xfId="0" applyNumberFormat="1" applyFont="1"/>
    <xf numFmtId="0" fontId="0" fillId="0" borderId="17" xfId="0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/>
    </xf>
    <xf numFmtId="2" fontId="18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1" fontId="25" fillId="0" borderId="16" xfId="0" applyNumberFormat="1" applyFont="1" applyBorder="1" applyAlignment="1">
      <alignment horizontal="center"/>
    </xf>
    <xf numFmtId="1" fontId="25" fillId="0" borderId="3" xfId="0" applyNumberFormat="1" applyFont="1" applyBorder="1" applyAlignment="1">
      <alignment horizontal="center"/>
    </xf>
    <xf numFmtId="1" fontId="25" fillId="0" borderId="20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165" fontId="0" fillId="0" borderId="0" xfId="0" applyNumberFormat="1"/>
    <xf numFmtId="165" fontId="24" fillId="0" borderId="0" xfId="0" applyNumberFormat="1" applyFont="1"/>
    <xf numFmtId="0" fontId="0" fillId="12" borderId="0" xfId="0" applyFill="1"/>
    <xf numFmtId="0" fontId="27" fillId="0" borderId="0" xfId="0" applyFont="1"/>
    <xf numFmtId="165" fontId="27" fillId="0" borderId="0" xfId="0" applyNumberFormat="1" applyFont="1"/>
    <xf numFmtId="165" fontId="18" fillId="0" borderId="0" xfId="0" applyNumberFormat="1" applyFont="1"/>
    <xf numFmtId="164" fontId="25" fillId="0" borderId="18" xfId="0" applyNumberFormat="1" applyFont="1" applyBorder="1" applyAlignment="1">
      <alignment horizontal="center"/>
    </xf>
    <xf numFmtId="164" fontId="25" fillId="0" borderId="18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/>
    </xf>
    <xf numFmtId="164" fontId="24" fillId="0" borderId="18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 applyProtection="1">
      <alignment horizontal="center" vertical="center"/>
    </xf>
    <xf numFmtId="0" fontId="28" fillId="0" borderId="0" xfId="315"/>
    <xf numFmtId="0" fontId="28" fillId="0" borderId="16" xfId="315" applyBorder="1"/>
    <xf numFmtId="0" fontId="28" fillId="2" borderId="16" xfId="315" applyFill="1" applyBorder="1"/>
    <xf numFmtId="2" fontId="28" fillId="0" borderId="16" xfId="315" applyNumberFormat="1" applyBorder="1" applyAlignment="1">
      <alignment horizontal="center" vertical="center"/>
    </xf>
    <xf numFmtId="11" fontId="28" fillId="0" borderId="16" xfId="315" applyNumberFormat="1" applyBorder="1" applyAlignment="1">
      <alignment horizontal="center" vertical="center"/>
    </xf>
    <xf numFmtId="11" fontId="28" fillId="0" borderId="16" xfId="315" applyNumberFormat="1" applyFill="1" applyBorder="1" applyAlignment="1">
      <alignment horizontal="center" vertical="center"/>
    </xf>
    <xf numFmtId="0" fontId="28" fillId="0" borderId="16" xfId="315" applyBorder="1" applyAlignment="1">
      <alignment horizontal="center" vertical="center"/>
    </xf>
    <xf numFmtId="0" fontId="28" fillId="0" borderId="16" xfId="315" applyFill="1" applyBorder="1" applyAlignment="1">
      <alignment horizontal="center" vertical="center"/>
    </xf>
    <xf numFmtId="0" fontId="28" fillId="0" borderId="3" xfId="315" applyFill="1" applyBorder="1" applyAlignment="1">
      <alignment horizontal="center" vertical="center"/>
    </xf>
    <xf numFmtId="0" fontId="28" fillId="2" borderId="3" xfId="315" applyFill="1" applyBorder="1" applyAlignment="1">
      <alignment horizontal="center" vertical="center"/>
    </xf>
    <xf numFmtId="0" fontId="28" fillId="2" borderId="16" xfId="315" applyFill="1" applyBorder="1" applyAlignment="1">
      <alignment horizontal="center" vertical="center"/>
    </xf>
    <xf numFmtId="0" fontId="28" fillId="2" borderId="4" xfId="315" applyFill="1" applyBorder="1" applyAlignment="1">
      <alignment horizontal="center" vertical="center"/>
    </xf>
    <xf numFmtId="165" fontId="28" fillId="0" borderId="16" xfId="315" applyNumberFormat="1" applyBorder="1"/>
    <xf numFmtId="0" fontId="0" fillId="0" borderId="16" xfId="315" applyFont="1" applyBorder="1" applyAlignment="1">
      <alignment horizontal="center" vertical="center"/>
    </xf>
    <xf numFmtId="0" fontId="29" fillId="13" borderId="0" xfId="315" applyFont="1" applyFill="1"/>
    <xf numFmtId="0" fontId="0" fillId="0" borderId="16" xfId="315" applyFont="1" applyBorder="1"/>
    <xf numFmtId="0" fontId="28" fillId="2" borderId="21" xfId="315" applyFill="1" applyBorder="1" applyAlignment="1">
      <alignment wrapText="1"/>
    </xf>
    <xf numFmtId="0" fontId="0" fillId="2" borderId="21" xfId="315" applyFont="1" applyFill="1" applyBorder="1" applyAlignment="1">
      <alignment wrapText="1"/>
    </xf>
    <xf numFmtId="0" fontId="0" fillId="0" borderId="0" xfId="315" applyFont="1"/>
    <xf numFmtId="0" fontId="0" fillId="2" borderId="21" xfId="315" applyFont="1" applyFill="1" applyBorder="1" applyAlignment="1">
      <alignment horizontal="center" vertical="center" wrapText="1"/>
    </xf>
    <xf numFmtId="165" fontId="28" fillId="0" borderId="16" xfId="315" applyNumberFormat="1" applyBorder="1" applyAlignment="1">
      <alignment horizontal="center" vertical="center"/>
    </xf>
    <xf numFmtId="0" fontId="28" fillId="0" borderId="0" xfId="315" applyFont="1"/>
    <xf numFmtId="165" fontId="25" fillId="0" borderId="18" xfId="0" applyNumberFormat="1" applyFont="1" applyBorder="1" applyAlignment="1">
      <alignment horizontal="center" vertical="center"/>
    </xf>
    <xf numFmtId="165" fontId="25" fillId="0" borderId="16" xfId="0" applyNumberFormat="1" applyFont="1" applyBorder="1" applyAlignment="1">
      <alignment horizontal="center" vertical="center"/>
    </xf>
    <xf numFmtId="2" fontId="28" fillId="0" borderId="16" xfId="315" applyNumberFormat="1" applyBorder="1"/>
    <xf numFmtId="1" fontId="28" fillId="0" borderId="16" xfId="315" applyNumberFormat="1" applyBorder="1"/>
    <xf numFmtId="165" fontId="28" fillId="0" borderId="0" xfId="315" applyNumberFormat="1"/>
    <xf numFmtId="165" fontId="0" fillId="0" borderId="16" xfId="315" applyNumberFormat="1" applyFont="1" applyBorder="1" applyAlignment="1">
      <alignment horizontal="center" vertical="center"/>
    </xf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164" fontId="18" fillId="0" borderId="18" xfId="0" applyNumberFormat="1" applyFont="1" applyBorder="1" applyAlignment="1">
      <alignment horizontal="center"/>
    </xf>
    <xf numFmtId="164" fontId="18" fillId="0" borderId="18" xfId="0" applyNumberFormat="1" applyFont="1" applyBorder="1" applyAlignment="1">
      <alignment horizontal="center" vertical="center"/>
    </xf>
    <xf numFmtId="164" fontId="18" fillId="0" borderId="16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5" fillId="11" borderId="17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1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8" fillId="0" borderId="17" xfId="315" applyNumberFormat="1" applyFill="1" applyBorder="1" applyAlignment="1">
      <alignment horizontal="center" vertical="center"/>
    </xf>
    <xf numFmtId="0" fontId="28" fillId="0" borderId="5" xfId="315" applyNumberFormat="1" applyFill="1" applyBorder="1" applyAlignment="1">
      <alignment horizontal="center" vertical="center"/>
    </xf>
    <xf numFmtId="0" fontId="28" fillId="0" borderId="18" xfId="315" applyNumberFormat="1" applyFill="1" applyBorder="1" applyAlignment="1">
      <alignment horizontal="center" vertical="center"/>
    </xf>
    <xf numFmtId="0" fontId="28" fillId="2" borderId="4" xfId="315" applyFill="1" applyBorder="1" applyAlignment="1">
      <alignment horizontal="center" vertical="center"/>
    </xf>
    <xf numFmtId="0" fontId="28" fillId="2" borderId="3" xfId="315" applyFill="1" applyBorder="1" applyAlignment="1">
      <alignment horizontal="center" vertical="center"/>
    </xf>
    <xf numFmtId="0" fontId="0" fillId="2" borderId="4" xfId="315" applyFont="1" applyFill="1" applyBorder="1" applyAlignment="1">
      <alignment horizontal="center" vertical="center"/>
    </xf>
    <xf numFmtId="0" fontId="28" fillId="2" borderId="16" xfId="315" applyFill="1" applyBorder="1" applyAlignment="1">
      <alignment horizontal="center" vertical="center"/>
    </xf>
    <xf numFmtId="0" fontId="21" fillId="0" borderId="23" xfId="315" applyFont="1" applyBorder="1" applyAlignment="1">
      <alignment horizontal="center"/>
    </xf>
    <xf numFmtId="0" fontId="28" fillId="0" borderId="23" xfId="315" applyBorder="1" applyAlignment="1">
      <alignment horizontal="center"/>
    </xf>
    <xf numFmtId="0" fontId="25" fillId="11" borderId="4" xfId="0" applyFont="1" applyFill="1" applyBorder="1" applyAlignment="1">
      <alignment horizontal="center" vertical="center"/>
    </xf>
    <xf numFmtId="0" fontId="25" fillId="11" borderId="22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522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Input" xfId="10"/>
    <cellStyle name="Linked Cell" xfId="11"/>
    <cellStyle name="Neutral" xfId="12"/>
    <cellStyle name="Normal" xfId="0" builtinId="0"/>
    <cellStyle name="Normal 2" xfId="315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C97A36"/>
      <color rgb="FFFBC008"/>
      <color rgb="FF67FE66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hartsheet" Target="chartsheets/sheet2.xml"/><Relationship Id="rId21" Type="http://schemas.openxmlformats.org/officeDocument/2006/relationships/worksheet" Target="worksheets/sheet19.xml"/><Relationship Id="rId22" Type="http://schemas.openxmlformats.org/officeDocument/2006/relationships/theme" Target="theme/theme1.xml"/><Relationship Id="rId23" Type="http://schemas.openxmlformats.org/officeDocument/2006/relationships/connections" Target="connections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R. intestinalis</a:t>
            </a:r>
            <a:endParaRPr lang="nl-BE" i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('Calibration R. intestinalis '!$R$4:$R$7,'Calibration R. intestinalis '!$R$9:$R$19)</c:f>
              <c:numCache>
                <c:formatCode>0.00</c:formatCode>
                <c:ptCount val="15"/>
                <c:pt idx="0">
                  <c:v>9.340913567641642</c:v>
                </c:pt>
                <c:pt idx="1">
                  <c:v>8.364361745916065</c:v>
                </c:pt>
                <c:pt idx="2">
                  <c:v>7.41501868403934</c:v>
                </c:pt>
                <c:pt idx="3">
                  <c:v>6.423175631952359</c:v>
                </c:pt>
                <c:pt idx="4">
                  <c:v>9.318402644082718</c:v>
                </c:pt>
                <c:pt idx="5">
                  <c:v>8.99449689289361</c:v>
                </c:pt>
                <c:pt idx="6">
                  <c:v>8.717506452759563</c:v>
                </c:pt>
                <c:pt idx="7">
                  <c:v>8.435095941696934</c:v>
                </c:pt>
                <c:pt idx="8">
                  <c:v>8.129456020849723</c:v>
                </c:pt>
                <c:pt idx="9">
                  <c:v>7.827516967148737</c:v>
                </c:pt>
                <c:pt idx="10">
                  <c:v>7.53584943027753</c:v>
                </c:pt>
                <c:pt idx="11">
                  <c:v>7.244489178658548</c:v>
                </c:pt>
                <c:pt idx="12">
                  <c:v>6.918410814648132</c:v>
                </c:pt>
                <c:pt idx="13">
                  <c:v>6.624850565395643</c:v>
                </c:pt>
                <c:pt idx="14">
                  <c:v>6.118853089115321</c:v>
                </c:pt>
              </c:numCache>
            </c:numRef>
          </c:xVal>
          <c:yVal>
            <c:numRef>
              <c:f>('Calibration R. intestinalis '!$L$23:$L$26,'Calibration R. intestinalis '!$L$28:$L$38)</c:f>
              <c:numCache>
                <c:formatCode>General</c:formatCode>
                <c:ptCount val="15"/>
                <c:pt idx="0">
                  <c:v>6.796308649797421</c:v>
                </c:pt>
                <c:pt idx="1">
                  <c:v>10.71828728240647</c:v>
                </c:pt>
                <c:pt idx="2">
                  <c:v>13.96980108143804</c:v>
                </c:pt>
                <c:pt idx="3">
                  <c:v>18.14686788441656</c:v>
                </c:pt>
                <c:pt idx="4">
                  <c:v>7.554405467811155</c:v>
                </c:pt>
                <c:pt idx="5">
                  <c:v>8.5896399191051</c:v>
                </c:pt>
                <c:pt idx="6">
                  <c:v>9.44354082852893</c:v>
                </c:pt>
                <c:pt idx="7">
                  <c:v>10.11613553474638</c:v>
                </c:pt>
                <c:pt idx="8">
                  <c:v>11.36988919685575</c:v>
                </c:pt>
                <c:pt idx="9">
                  <c:v>12.6170091004202</c:v>
                </c:pt>
                <c:pt idx="10">
                  <c:v>13.73197898974312</c:v>
                </c:pt>
                <c:pt idx="11">
                  <c:v>14.64585393379423</c:v>
                </c:pt>
                <c:pt idx="12">
                  <c:v>16.3368634552786</c:v>
                </c:pt>
                <c:pt idx="13">
                  <c:v>17.33992220670276</c:v>
                </c:pt>
                <c:pt idx="14">
                  <c:v>18.7174786896536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644200"/>
        <c:axId val="-2088923848"/>
      </c:scatterChart>
      <c:valAx>
        <c:axId val="-2090644200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088923848"/>
        <c:crosses val="autoZero"/>
        <c:crossBetween val="midCat"/>
        <c:majorUnit val="2.0"/>
      </c:valAx>
      <c:valAx>
        <c:axId val="-2088923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0644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4106320726302"/>
          <c:y val="0.0345387605837973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0.033937200410926</c:v>
                  </c:pt>
                  <c:pt idx="1">
                    <c:v>0.0257066103205399</c:v>
                  </c:pt>
                  <c:pt idx="2">
                    <c:v>0.0223096111973863</c:v>
                  </c:pt>
                  <c:pt idx="3">
                    <c:v>0.0129369120100069</c:v>
                  </c:pt>
                  <c:pt idx="4">
                    <c:v>0.0112548139655802</c:v>
                  </c:pt>
                  <c:pt idx="5">
                    <c:v>0.00651843591955008</c:v>
                  </c:pt>
                  <c:pt idx="6">
                    <c:v>0.0392710364176995</c:v>
                  </c:pt>
                  <c:pt idx="7">
                    <c:v>0.0113951082384809</c:v>
                  </c:pt>
                  <c:pt idx="8">
                    <c:v>0.0</c:v>
                  </c:pt>
                  <c:pt idx="9">
                    <c:v>0.0265307099696731</c:v>
                  </c:pt>
                  <c:pt idx="10">
                    <c:v>0.0115105066259908</c:v>
                  </c:pt>
                  <c:pt idx="11">
                    <c:v>0.0305162159885461</c:v>
                  </c:pt>
                  <c:pt idx="12">
                    <c:v>0.0177704295287017</c:v>
                  </c:pt>
                  <c:pt idx="13">
                    <c:v>0.00672419759032343</c:v>
                  </c:pt>
                  <c:pt idx="14">
                    <c:v>0.0293451158105797</c:v>
                  </c:pt>
                  <c:pt idx="15">
                    <c:v>0.0233211332477603</c:v>
                  </c:pt>
                  <c:pt idx="16">
                    <c:v>0.0178118097333355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0.033937200410926</c:v>
                  </c:pt>
                  <c:pt idx="1">
                    <c:v>0.0257066103205399</c:v>
                  </c:pt>
                  <c:pt idx="2">
                    <c:v>0.0223096111973863</c:v>
                  </c:pt>
                  <c:pt idx="3">
                    <c:v>0.0129369120100069</c:v>
                  </c:pt>
                  <c:pt idx="4">
                    <c:v>0.0112548139655802</c:v>
                  </c:pt>
                  <c:pt idx="5">
                    <c:v>0.00651843591955008</c:v>
                  </c:pt>
                  <c:pt idx="6">
                    <c:v>0.0392710364176995</c:v>
                  </c:pt>
                  <c:pt idx="7">
                    <c:v>0.0113951082384809</c:v>
                  </c:pt>
                  <c:pt idx="8">
                    <c:v>0.0</c:v>
                  </c:pt>
                  <c:pt idx="9">
                    <c:v>0.0265307099696731</c:v>
                  </c:pt>
                  <c:pt idx="10">
                    <c:v>0.0115105066259908</c:v>
                  </c:pt>
                  <c:pt idx="11">
                    <c:v>0.0305162159885461</c:v>
                  </c:pt>
                  <c:pt idx="12">
                    <c:v>0.0177704295287017</c:v>
                  </c:pt>
                  <c:pt idx="13">
                    <c:v>0.00672419759032343</c:v>
                  </c:pt>
                  <c:pt idx="14">
                    <c:v>0.0293451158105797</c:v>
                  </c:pt>
                  <c:pt idx="15">
                    <c:v>0.0233211332477603</c:v>
                  </c:pt>
                  <c:pt idx="16">
                    <c:v>0.0178118097333355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1.258969726612016</c:v>
                </c:pt>
                <c:pt idx="1">
                  <c:v>1.298650358995201</c:v>
                </c:pt>
                <c:pt idx="2">
                  <c:v>1.305112255047102</c:v>
                </c:pt>
                <c:pt idx="3">
                  <c:v>1.258548342901011</c:v>
                </c:pt>
                <c:pt idx="4">
                  <c:v>1.271793978110566</c:v>
                </c:pt>
                <c:pt idx="5">
                  <c:v>1.290853311366714</c:v>
                </c:pt>
                <c:pt idx="6">
                  <c:v>1.337715463379752</c:v>
                </c:pt>
                <c:pt idx="7">
                  <c:v>1.367412988617711</c:v>
                </c:pt>
                <c:pt idx="8">
                  <c:v>1.3747253575408</c:v>
                </c:pt>
                <c:pt idx="9">
                  <c:v>1.405381775800308</c:v>
                </c:pt>
                <c:pt idx="10">
                  <c:v>1.438813328248845</c:v>
                </c:pt>
                <c:pt idx="11">
                  <c:v>1.487891868770707</c:v>
                </c:pt>
                <c:pt idx="12">
                  <c:v>1.47357374332945</c:v>
                </c:pt>
                <c:pt idx="13">
                  <c:v>1.517946959943268</c:v>
                </c:pt>
                <c:pt idx="14">
                  <c:v>1.531421083269589</c:v>
                </c:pt>
                <c:pt idx="15">
                  <c:v>1.690782160462618</c:v>
                </c:pt>
                <c:pt idx="16">
                  <c:v>2.15331796987653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BC008"/>
              </a:solidFill>
            </a:ln>
          </c:spPr>
          <c:marker>
            <c:symbol val="circle"/>
            <c:size val="8"/>
            <c:spPr>
              <a:solidFill>
                <a:srgbClr val="FBC008"/>
              </a:solidFill>
              <a:ln>
                <a:solidFill>
                  <a:srgbClr val="FBC008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1.420074339627649</c:v>
                  </c:pt>
                  <c:pt idx="1">
                    <c:v>0.957813082478408</c:v>
                  </c:pt>
                  <c:pt idx="2">
                    <c:v>1.284097938961091</c:v>
                  </c:pt>
                  <c:pt idx="3">
                    <c:v>0.504287596697338</c:v>
                  </c:pt>
                  <c:pt idx="4">
                    <c:v>0.335262849216824</c:v>
                  </c:pt>
                  <c:pt idx="5">
                    <c:v>0.348877505213556</c:v>
                  </c:pt>
                  <c:pt idx="6">
                    <c:v>0.979717198608812</c:v>
                  </c:pt>
                  <c:pt idx="7">
                    <c:v>0.57891596904208</c:v>
                  </c:pt>
                  <c:pt idx="8">
                    <c:v>0.263067439913843</c:v>
                  </c:pt>
                  <c:pt idx="9">
                    <c:v>0.925470333640479</c:v>
                  </c:pt>
                  <c:pt idx="10">
                    <c:v>0.364787095100276</c:v>
                  </c:pt>
                  <c:pt idx="11">
                    <c:v>0.736505717337746</c:v>
                  </c:pt>
                  <c:pt idx="12">
                    <c:v>0.157383494554123</c:v>
                  </c:pt>
                  <c:pt idx="13">
                    <c:v>0.145474709940349</c:v>
                  </c:pt>
                  <c:pt idx="14">
                    <c:v>0.588515944928055</c:v>
                  </c:pt>
                  <c:pt idx="15">
                    <c:v>0.15080884874505</c:v>
                  </c:pt>
                  <c:pt idx="16">
                    <c:v>0.268904153675048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1.420074339627649</c:v>
                  </c:pt>
                  <c:pt idx="1">
                    <c:v>0.957813082478408</c:v>
                  </c:pt>
                  <c:pt idx="2">
                    <c:v>1.284097938961091</c:v>
                  </c:pt>
                  <c:pt idx="3">
                    <c:v>0.504287596697338</c:v>
                  </c:pt>
                  <c:pt idx="4">
                    <c:v>0.335262849216824</c:v>
                  </c:pt>
                  <c:pt idx="5">
                    <c:v>0.348877505213556</c:v>
                  </c:pt>
                  <c:pt idx="6">
                    <c:v>0.979717198608812</c:v>
                  </c:pt>
                  <c:pt idx="7">
                    <c:v>0.57891596904208</c:v>
                  </c:pt>
                  <c:pt idx="8">
                    <c:v>0.263067439913843</c:v>
                  </c:pt>
                  <c:pt idx="9">
                    <c:v>0.925470333640479</c:v>
                  </c:pt>
                  <c:pt idx="10">
                    <c:v>0.364787095100276</c:v>
                  </c:pt>
                  <c:pt idx="11">
                    <c:v>0.736505717337746</c:v>
                  </c:pt>
                  <c:pt idx="12">
                    <c:v>0.157383494554123</c:v>
                  </c:pt>
                  <c:pt idx="13">
                    <c:v>0.145474709940349</c:v>
                  </c:pt>
                  <c:pt idx="14">
                    <c:v>0.588515944928055</c:v>
                  </c:pt>
                  <c:pt idx="15">
                    <c:v>0.15080884874505</c:v>
                  </c:pt>
                  <c:pt idx="16">
                    <c:v>0.268904153675048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44.94771411760878</c:v>
                </c:pt>
                <c:pt idx="1">
                  <c:v>46.64825494845671</c:v>
                </c:pt>
                <c:pt idx="2">
                  <c:v>45.24640296494723</c:v>
                </c:pt>
                <c:pt idx="3">
                  <c:v>42.8004884814542</c:v>
                </c:pt>
                <c:pt idx="4">
                  <c:v>40.18754392262567</c:v>
                </c:pt>
                <c:pt idx="5">
                  <c:v>38.3664405266098</c:v>
                </c:pt>
                <c:pt idx="6">
                  <c:v>36.81756027573098</c:v>
                </c:pt>
                <c:pt idx="7">
                  <c:v>35.00771565446455</c:v>
                </c:pt>
                <c:pt idx="8">
                  <c:v>34.56480525907572</c:v>
                </c:pt>
                <c:pt idx="9">
                  <c:v>35.5347721218817</c:v>
                </c:pt>
                <c:pt idx="10">
                  <c:v>35.7536181284028</c:v>
                </c:pt>
                <c:pt idx="11">
                  <c:v>36.80141485702051</c:v>
                </c:pt>
                <c:pt idx="12">
                  <c:v>36.60676703513923</c:v>
                </c:pt>
                <c:pt idx="13">
                  <c:v>36.88699391891249</c:v>
                </c:pt>
                <c:pt idx="14">
                  <c:v>37.71236573237278</c:v>
                </c:pt>
                <c:pt idx="15">
                  <c:v>39.27496839413468</c:v>
                </c:pt>
                <c:pt idx="16">
                  <c:v>41.88124969938679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triangle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0.0217392735504741</c:v>
                  </c:pt>
                  <c:pt idx="1">
                    <c:v>0.0453465135061233</c:v>
                  </c:pt>
                  <c:pt idx="2">
                    <c:v>0.115512351322623</c:v>
                  </c:pt>
                  <c:pt idx="3">
                    <c:v>0.116018614367134</c:v>
                  </c:pt>
                  <c:pt idx="4">
                    <c:v>0.0993184683832244</c:v>
                  </c:pt>
                  <c:pt idx="5">
                    <c:v>0.0883794758935239</c:v>
                  </c:pt>
                  <c:pt idx="6">
                    <c:v>0.288695737316631</c:v>
                  </c:pt>
                  <c:pt idx="7">
                    <c:v>0.151793309601034</c:v>
                  </c:pt>
                  <c:pt idx="8">
                    <c:v>0.0787340034239914</c:v>
                  </c:pt>
                  <c:pt idx="9">
                    <c:v>0.273506573268843</c:v>
                  </c:pt>
                  <c:pt idx="10">
                    <c:v>0.124062894833164</c:v>
                  </c:pt>
                  <c:pt idx="11">
                    <c:v>0.2223079172216</c:v>
                  </c:pt>
                  <c:pt idx="12">
                    <c:v>0.0473923216088388</c:v>
                  </c:pt>
                  <c:pt idx="13">
                    <c:v>0.0911692722260127</c:v>
                  </c:pt>
                  <c:pt idx="14">
                    <c:v>0.0263497455411864</c:v>
                  </c:pt>
                  <c:pt idx="15">
                    <c:v>0.0697148738118122</c:v>
                  </c:pt>
                  <c:pt idx="16">
                    <c:v>0.197623091558898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0.0217392735504741</c:v>
                  </c:pt>
                  <c:pt idx="1">
                    <c:v>0.0453465135061233</c:v>
                  </c:pt>
                  <c:pt idx="2">
                    <c:v>0.115512351322623</c:v>
                  </c:pt>
                  <c:pt idx="3">
                    <c:v>0.116018614367134</c:v>
                  </c:pt>
                  <c:pt idx="4">
                    <c:v>0.0993184683832244</c:v>
                  </c:pt>
                  <c:pt idx="5">
                    <c:v>0.0883794758935239</c:v>
                  </c:pt>
                  <c:pt idx="6">
                    <c:v>0.288695737316631</c:v>
                  </c:pt>
                  <c:pt idx="7">
                    <c:v>0.151793309601034</c:v>
                  </c:pt>
                  <c:pt idx="8">
                    <c:v>0.0787340034239914</c:v>
                  </c:pt>
                  <c:pt idx="9">
                    <c:v>0.273506573268843</c:v>
                  </c:pt>
                  <c:pt idx="10">
                    <c:v>0.124062894833164</c:v>
                  </c:pt>
                  <c:pt idx="11">
                    <c:v>0.2223079172216</c:v>
                  </c:pt>
                  <c:pt idx="12">
                    <c:v>0.0473923216088388</c:v>
                  </c:pt>
                  <c:pt idx="13">
                    <c:v>0.0911692722260127</c:v>
                  </c:pt>
                  <c:pt idx="14">
                    <c:v>0.0263497455411864</c:v>
                  </c:pt>
                  <c:pt idx="15">
                    <c:v>0.0697148738118122</c:v>
                  </c:pt>
                  <c:pt idx="16">
                    <c:v>0.197623091558898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1.108702951074183</c:v>
                </c:pt>
                <c:pt idx="1">
                  <c:v>1.227151839680371</c:v>
                </c:pt>
                <c:pt idx="2">
                  <c:v>1.30978694981136</c:v>
                </c:pt>
                <c:pt idx="3">
                  <c:v>1.732111120322121</c:v>
                </c:pt>
                <c:pt idx="4">
                  <c:v>2.45951386832154</c:v>
                </c:pt>
                <c:pt idx="5">
                  <c:v>3.247945739087001</c:v>
                </c:pt>
                <c:pt idx="6">
                  <c:v>4.407518538571862</c:v>
                </c:pt>
                <c:pt idx="7">
                  <c:v>6.006147084501905</c:v>
                </c:pt>
                <c:pt idx="8">
                  <c:v>7.899067639407268</c:v>
                </c:pt>
                <c:pt idx="9">
                  <c:v>8.633127104017205</c:v>
                </c:pt>
                <c:pt idx="10">
                  <c:v>8.770077473121015</c:v>
                </c:pt>
                <c:pt idx="11">
                  <c:v>8.803060157961937</c:v>
                </c:pt>
                <c:pt idx="12">
                  <c:v>8.393262529918883</c:v>
                </c:pt>
                <c:pt idx="13">
                  <c:v>8.387573044793168</c:v>
                </c:pt>
                <c:pt idx="14">
                  <c:v>8.435626621770913</c:v>
                </c:pt>
                <c:pt idx="15">
                  <c:v>9.705914850657967</c:v>
                </c:pt>
                <c:pt idx="16">
                  <c:v>10.17751886377771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0.0784918237565483</c:v>
                </c:pt>
                <c:pt idx="2">
                  <c:v>0.261733187409342</c:v>
                </c:pt>
                <c:pt idx="3">
                  <c:v>0.495641827699681</c:v>
                </c:pt>
                <c:pt idx="4">
                  <c:v>0.800536732251301</c:v>
                </c:pt>
                <c:pt idx="5">
                  <c:v>1.218521827231059</c:v>
                </c:pt>
                <c:pt idx="6">
                  <c:v>1.78090073057397</c:v>
                </c:pt>
                <c:pt idx="7">
                  <c:v>2.500558174152805</c:v>
                </c:pt>
                <c:pt idx="8">
                  <c:v>3.39197924764346</c:v>
                </c:pt>
                <c:pt idx="9">
                  <c:v>4.493848460001224</c:v>
                </c:pt>
                <c:pt idx="10">
                  <c:v>5.871075771477887</c:v>
                </c:pt>
                <c:pt idx="11">
                  <c:v>7.509917339452296</c:v>
                </c:pt>
                <c:pt idx="12">
                  <c:v>9.35919150662135</c:v>
                </c:pt>
                <c:pt idx="13">
                  <c:v>11.40647813165765</c:v>
                </c:pt>
                <c:pt idx="14">
                  <c:v>13.62206385778597</c:v>
                </c:pt>
                <c:pt idx="15">
                  <c:v>16.02026507129576</c:v>
                </c:pt>
                <c:pt idx="16">
                  <c:v>18.55792915866124</c:v>
                </c:pt>
                <c:pt idx="17">
                  <c:v>20.87804477279289</c:v>
                </c:pt>
                <c:pt idx="18">
                  <c:v>23.33043934550518</c:v>
                </c:pt>
                <c:pt idx="19">
                  <c:v>26.17086555472281</c:v>
                </c:pt>
                <c:pt idx="20">
                  <c:v>29.12142867856019</c:v>
                </c:pt>
                <c:pt idx="21">
                  <c:v>32.25178940001183</c:v>
                </c:pt>
                <c:pt idx="22">
                  <c:v>35.56139418777073</c:v>
                </c:pt>
                <c:pt idx="23">
                  <c:v>39.13386692018254</c:v>
                </c:pt>
                <c:pt idx="24">
                  <c:v>42.95342549336721</c:v>
                </c:pt>
                <c:pt idx="25">
                  <c:v>46.9199717028472</c:v>
                </c:pt>
                <c:pt idx="26">
                  <c:v>51.1038658655909</c:v>
                </c:pt>
                <c:pt idx="27">
                  <c:v>55.42790752867648</c:v>
                </c:pt>
                <c:pt idx="28">
                  <c:v>59.84307931064804</c:v>
                </c:pt>
                <c:pt idx="29">
                  <c:v>64.38340531330994</c:v>
                </c:pt>
                <c:pt idx="30">
                  <c:v>68.87874553999133</c:v>
                </c:pt>
                <c:pt idx="31">
                  <c:v>73.2192186391365</c:v>
                </c:pt>
                <c:pt idx="32">
                  <c:v>77.09845755139118</c:v>
                </c:pt>
                <c:pt idx="33">
                  <c:v>80.29560943523506</c:v>
                </c:pt>
                <c:pt idx="34">
                  <c:v>83.01059695628386</c:v>
                </c:pt>
                <c:pt idx="35">
                  <c:v>85.31982082906874</c:v>
                </c:pt>
                <c:pt idx="36">
                  <c:v>87.2304124150154</c:v>
                </c:pt>
                <c:pt idx="37">
                  <c:v>88.82313762257078</c:v>
                </c:pt>
                <c:pt idx="38">
                  <c:v>90.10977000355322</c:v>
                </c:pt>
                <c:pt idx="39">
                  <c:v>91.14016089947217</c:v>
                </c:pt>
                <c:pt idx="40">
                  <c:v>91.97242323562152</c:v>
                </c:pt>
                <c:pt idx="41">
                  <c:v>92.65648719776874</c:v>
                </c:pt>
                <c:pt idx="42">
                  <c:v>93.23075641186818</c:v>
                </c:pt>
                <c:pt idx="43">
                  <c:v>93.72493398116068</c:v>
                </c:pt>
                <c:pt idx="44">
                  <c:v>94.16726968562326</c:v>
                </c:pt>
                <c:pt idx="45">
                  <c:v>94.56915122503254</c:v>
                </c:pt>
                <c:pt idx="46">
                  <c:v>94.9432007413544</c:v>
                </c:pt>
                <c:pt idx="47">
                  <c:v>95.29686430985356</c:v>
                </c:pt>
                <c:pt idx="48">
                  <c:v>95.6401658847572</c:v>
                </c:pt>
                <c:pt idx="49">
                  <c:v>95.9771832189629</c:v>
                </c:pt>
                <c:pt idx="50">
                  <c:v>96.29915595668537</c:v>
                </c:pt>
                <c:pt idx="51">
                  <c:v>96.60117838709988</c:v>
                </c:pt>
                <c:pt idx="52">
                  <c:v>96.88043831928782</c:v>
                </c:pt>
                <c:pt idx="53">
                  <c:v>97.1417146030169</c:v>
                </c:pt>
                <c:pt idx="54">
                  <c:v>97.39099095563058</c:v>
                </c:pt>
                <c:pt idx="55">
                  <c:v>97.62954661153121</c:v>
                </c:pt>
                <c:pt idx="56">
                  <c:v>97.85643042525697</c:v>
                </c:pt>
                <c:pt idx="57">
                  <c:v>98.07544885344903</c:v>
                </c:pt>
                <c:pt idx="58">
                  <c:v>98.28751054623975</c:v>
                </c:pt>
                <c:pt idx="59">
                  <c:v>98.48858719637107</c:v>
                </c:pt>
                <c:pt idx="60">
                  <c:v>98.67606784080786</c:v>
                </c:pt>
                <c:pt idx="61">
                  <c:v>98.85444400433967</c:v>
                </c:pt>
                <c:pt idx="62">
                  <c:v>99.0205933738827</c:v>
                </c:pt>
                <c:pt idx="63">
                  <c:v>99.16522747748351</c:v>
                </c:pt>
                <c:pt idx="64">
                  <c:v>99.29353164175127</c:v>
                </c:pt>
                <c:pt idx="65">
                  <c:v>99.41107850984491</c:v>
                </c:pt>
                <c:pt idx="66">
                  <c:v>99.5219244648302</c:v>
                </c:pt>
                <c:pt idx="67">
                  <c:v>99.62760799540235</c:v>
                </c:pt>
                <c:pt idx="68">
                  <c:v>99.72918933851675</c:v>
                </c:pt>
                <c:pt idx="69">
                  <c:v>99.82975624906768</c:v>
                </c:pt>
                <c:pt idx="70">
                  <c:v>99.93125743449611</c:v>
                </c:pt>
                <c:pt idx="71">
                  <c:v>100.03381885688</c:v>
                </c:pt>
                <c:pt idx="72">
                  <c:v>100.1374512937232</c:v>
                </c:pt>
                <c:pt idx="73">
                  <c:v>100.243727587015</c:v>
                </c:pt>
                <c:pt idx="74">
                  <c:v>100.3562258680814</c:v>
                </c:pt>
                <c:pt idx="75">
                  <c:v>100.4773959982991</c:v>
                </c:pt>
                <c:pt idx="76">
                  <c:v>100.6112384524318</c:v>
                </c:pt>
                <c:pt idx="77">
                  <c:v>100.7638155764763</c:v>
                </c:pt>
                <c:pt idx="78">
                  <c:v>100.9439810899636</c:v>
                </c:pt>
                <c:pt idx="79">
                  <c:v>101.15513125384</c:v>
                </c:pt>
                <c:pt idx="80">
                  <c:v>101.4037278553439</c:v>
                </c:pt>
                <c:pt idx="81">
                  <c:v>101.6992975344121</c:v>
                </c:pt>
                <c:pt idx="82">
                  <c:v>102.031971465356</c:v>
                </c:pt>
                <c:pt idx="83">
                  <c:v>102.38255962872</c:v>
                </c:pt>
                <c:pt idx="84">
                  <c:v>102.7109380507282</c:v>
                </c:pt>
                <c:pt idx="85">
                  <c:v>102.977973614378</c:v>
                </c:pt>
                <c:pt idx="86">
                  <c:v>103.1831301388457</c:v>
                </c:pt>
                <c:pt idx="87">
                  <c:v>103.3389317573664</c:v>
                </c:pt>
                <c:pt idx="88">
                  <c:v>103.4575267377235</c:v>
                </c:pt>
                <c:pt idx="89">
                  <c:v>103.5502536877127</c:v>
                </c:pt>
                <c:pt idx="90">
                  <c:v>103.6254766240275</c:v>
                </c:pt>
                <c:pt idx="91">
                  <c:v>103.6910132786277</c:v>
                </c:pt>
                <c:pt idx="92">
                  <c:v>103.748812358954</c:v>
                </c:pt>
                <c:pt idx="93">
                  <c:v>103.7983949396729</c:v>
                </c:pt>
                <c:pt idx="94">
                  <c:v>103.8436813378621</c:v>
                </c:pt>
                <c:pt idx="95">
                  <c:v>103.887691275422</c:v>
                </c:pt>
                <c:pt idx="96">
                  <c:v>103.9335108423259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E66"/>
              </a:solidFill>
            </a:ln>
          </c:spPr>
          <c:marker>
            <c:symbol val="circle"/>
            <c:size val="8"/>
            <c:spPr>
              <a:solidFill>
                <a:srgbClr val="67FE66"/>
              </a:solidFill>
              <a:ln>
                <a:solidFill>
                  <a:srgbClr val="67FE66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1.341807551778214</c:v>
                  </c:pt>
                  <c:pt idx="1">
                    <c:v>1.076401957244883</c:v>
                  </c:pt>
                  <c:pt idx="2">
                    <c:v>1.253121315356968</c:v>
                  </c:pt>
                  <c:pt idx="3">
                    <c:v>0.312216095942887</c:v>
                  </c:pt>
                  <c:pt idx="4">
                    <c:v>0.321567453158307</c:v>
                  </c:pt>
                  <c:pt idx="5">
                    <c:v>0.3112681128717</c:v>
                  </c:pt>
                  <c:pt idx="6">
                    <c:v>0.820812678536476</c:v>
                  </c:pt>
                  <c:pt idx="7">
                    <c:v>0.225107471914979</c:v>
                  </c:pt>
                  <c:pt idx="8">
                    <c:v>0.0678555105301477</c:v>
                  </c:pt>
                  <c:pt idx="9">
                    <c:v>0.305967073406311</c:v>
                  </c:pt>
                  <c:pt idx="10">
                    <c:v>0.0283899904359637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1.341807551778214</c:v>
                  </c:pt>
                  <c:pt idx="1">
                    <c:v>1.076401957244883</c:v>
                  </c:pt>
                  <c:pt idx="2">
                    <c:v>1.253121315356968</c:v>
                  </c:pt>
                  <c:pt idx="3">
                    <c:v>0.312216095942887</c:v>
                  </c:pt>
                  <c:pt idx="4">
                    <c:v>0.321567453158307</c:v>
                  </c:pt>
                  <c:pt idx="5">
                    <c:v>0.3112681128717</c:v>
                  </c:pt>
                  <c:pt idx="6">
                    <c:v>0.820812678536476</c:v>
                  </c:pt>
                  <c:pt idx="7">
                    <c:v>0.225107471914979</c:v>
                  </c:pt>
                  <c:pt idx="8">
                    <c:v>0.0678555105301477</c:v>
                  </c:pt>
                  <c:pt idx="9">
                    <c:v>0.305967073406311</c:v>
                  </c:pt>
                  <c:pt idx="10">
                    <c:v>0.0283899904359637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46.42636009488663</c:v>
                </c:pt>
                <c:pt idx="1">
                  <c:v>48.1929148223119</c:v>
                </c:pt>
                <c:pt idx="2">
                  <c:v>46.47835666122159</c:v>
                </c:pt>
                <c:pt idx="3">
                  <c:v>41.94476472787154</c:v>
                </c:pt>
                <c:pt idx="4">
                  <c:v>36.73946438830906</c:v>
                </c:pt>
                <c:pt idx="5">
                  <c:v>32.26945107380143</c:v>
                </c:pt>
                <c:pt idx="6">
                  <c:v>27.69902357789148</c:v>
                </c:pt>
                <c:pt idx="7">
                  <c:v>21.45129125894034</c:v>
                </c:pt>
                <c:pt idx="8">
                  <c:v>15.43892950149293</c:v>
                </c:pt>
                <c:pt idx="9">
                  <c:v>10.07317918594744</c:v>
                </c:pt>
                <c:pt idx="10">
                  <c:v>4.491016001907395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0.0454277045297162</c:v>
                  </c:pt>
                  <c:pt idx="1">
                    <c:v>0.0838845156760786</c:v>
                  </c:pt>
                  <c:pt idx="2">
                    <c:v>0.163017711530423</c:v>
                  </c:pt>
                  <c:pt idx="3">
                    <c:v>0.0412986740658501</c:v>
                  </c:pt>
                  <c:pt idx="4">
                    <c:v>0.153227489413656</c:v>
                  </c:pt>
                  <c:pt idx="5">
                    <c:v>0.200701316052196</c:v>
                  </c:pt>
                  <c:pt idx="6">
                    <c:v>0.769349348292303</c:v>
                  </c:pt>
                  <c:pt idx="7">
                    <c:v>0.406968568082193</c:v>
                  </c:pt>
                  <c:pt idx="8">
                    <c:v>0.0553496205281832</c:v>
                  </c:pt>
                  <c:pt idx="9">
                    <c:v>1.245984303626966</c:v>
                  </c:pt>
                  <c:pt idx="10">
                    <c:v>0.547469197786368</c:v>
                  </c:pt>
                  <c:pt idx="11">
                    <c:v>1.186774269853734</c:v>
                  </c:pt>
                  <c:pt idx="12">
                    <c:v>0.404614963428768</c:v>
                  </c:pt>
                  <c:pt idx="13">
                    <c:v>0.333893229983005</c:v>
                  </c:pt>
                  <c:pt idx="14">
                    <c:v>0.401152937764971</c:v>
                  </c:pt>
                  <c:pt idx="15">
                    <c:v>0.628444752643388</c:v>
                  </c:pt>
                  <c:pt idx="16">
                    <c:v>0.259087898687431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0.0454277045297162</c:v>
                  </c:pt>
                  <c:pt idx="1">
                    <c:v>0.0838845156760786</c:v>
                  </c:pt>
                  <c:pt idx="2">
                    <c:v>0.163017711530423</c:v>
                  </c:pt>
                  <c:pt idx="3">
                    <c:v>0.0412986740658501</c:v>
                  </c:pt>
                  <c:pt idx="4">
                    <c:v>0.153227489413656</c:v>
                  </c:pt>
                  <c:pt idx="5">
                    <c:v>0.200701316052196</c:v>
                  </c:pt>
                  <c:pt idx="6">
                    <c:v>0.769349348292303</c:v>
                  </c:pt>
                  <c:pt idx="7">
                    <c:v>0.406968568082193</c:v>
                  </c:pt>
                  <c:pt idx="8">
                    <c:v>0.0553496205281832</c:v>
                  </c:pt>
                  <c:pt idx="9">
                    <c:v>1.245984303626966</c:v>
                  </c:pt>
                  <c:pt idx="10">
                    <c:v>0.547469197786368</c:v>
                  </c:pt>
                  <c:pt idx="11">
                    <c:v>1.186774269853734</c:v>
                  </c:pt>
                  <c:pt idx="12">
                    <c:v>0.404614963428768</c:v>
                  </c:pt>
                  <c:pt idx="13">
                    <c:v>0.333893229983005</c:v>
                  </c:pt>
                  <c:pt idx="14">
                    <c:v>0.401152937764971</c:v>
                  </c:pt>
                  <c:pt idx="15">
                    <c:v>0.628444752643388</c:v>
                  </c:pt>
                  <c:pt idx="16">
                    <c:v>0.259087898687431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1.578612732407643</c:v>
                </c:pt>
                <c:pt idx="1">
                  <c:v>3.3268020865048</c:v>
                </c:pt>
                <c:pt idx="2">
                  <c:v>5.409396648484814</c:v>
                </c:pt>
                <c:pt idx="3">
                  <c:v>9.999509008465675</c:v>
                </c:pt>
                <c:pt idx="4">
                  <c:v>15.42631902622592</c:v>
                </c:pt>
                <c:pt idx="5">
                  <c:v>20.74606971289963</c:v>
                </c:pt>
                <c:pt idx="6">
                  <c:v>27.24045618518518</c:v>
                </c:pt>
                <c:pt idx="7">
                  <c:v>33.19828839782117</c:v>
                </c:pt>
                <c:pt idx="8">
                  <c:v>40.1923102382722</c:v>
                </c:pt>
                <c:pt idx="9">
                  <c:v>46.45926896713134</c:v>
                </c:pt>
                <c:pt idx="10">
                  <c:v>52.1394797369426</c:v>
                </c:pt>
                <c:pt idx="11">
                  <c:v>56.55408897690413</c:v>
                </c:pt>
                <c:pt idx="12">
                  <c:v>56.25268321884333</c:v>
                </c:pt>
                <c:pt idx="13">
                  <c:v>56.80060967886949</c:v>
                </c:pt>
                <c:pt idx="14">
                  <c:v>57.96920319107715</c:v>
                </c:pt>
                <c:pt idx="15">
                  <c:v>59.5944708155048</c:v>
                </c:pt>
                <c:pt idx="16">
                  <c:v>61.80388108245289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2.37107346561588E-5</c:v>
                </c:pt>
                <c:pt idx="1">
                  <c:v>0.0571108289880237</c:v>
                </c:pt>
                <c:pt idx="2">
                  <c:v>0.25571995285134</c:v>
                </c:pt>
                <c:pt idx="3">
                  <c:v>0.652891099523993</c:v>
                </c:pt>
                <c:pt idx="4">
                  <c:v>1.29869510852156</c:v>
                </c:pt>
                <c:pt idx="5">
                  <c:v>2.251104091114443</c:v>
                </c:pt>
                <c:pt idx="6">
                  <c:v>3.522043997164442</c:v>
                </c:pt>
                <c:pt idx="7">
                  <c:v>4.898316673282682</c:v>
                </c:pt>
                <c:pt idx="8">
                  <c:v>6.43636763667054</c:v>
                </c:pt>
                <c:pt idx="9">
                  <c:v>8.390579426864416</c:v>
                </c:pt>
                <c:pt idx="10">
                  <c:v>10.58673574992483</c:v>
                </c:pt>
                <c:pt idx="11">
                  <c:v>12.71509264519142</c:v>
                </c:pt>
                <c:pt idx="12">
                  <c:v>14.93691513724112</c:v>
                </c:pt>
                <c:pt idx="13">
                  <c:v>17.3050685899497</c:v>
                </c:pt>
                <c:pt idx="14">
                  <c:v>19.66616053667212</c:v>
                </c:pt>
                <c:pt idx="15">
                  <c:v>22.05321092458132</c:v>
                </c:pt>
                <c:pt idx="16">
                  <c:v>24.64646711671738</c:v>
                </c:pt>
                <c:pt idx="17">
                  <c:v>27.15593802607066</c:v>
                </c:pt>
                <c:pt idx="18">
                  <c:v>29.67086968074222</c:v>
                </c:pt>
                <c:pt idx="19">
                  <c:v>32.55821191330131</c:v>
                </c:pt>
                <c:pt idx="20">
                  <c:v>35.33277319013562</c:v>
                </c:pt>
                <c:pt idx="21">
                  <c:v>37.94865442356595</c:v>
                </c:pt>
                <c:pt idx="22">
                  <c:v>40.38729369869932</c:v>
                </c:pt>
                <c:pt idx="23">
                  <c:v>43.13176251188597</c:v>
                </c:pt>
                <c:pt idx="24">
                  <c:v>46.34778624644696</c:v>
                </c:pt>
                <c:pt idx="25">
                  <c:v>49.57520725357102</c:v>
                </c:pt>
                <c:pt idx="26">
                  <c:v>52.8636373964646</c:v>
                </c:pt>
                <c:pt idx="27">
                  <c:v>56.25263638315584</c:v>
                </c:pt>
                <c:pt idx="28">
                  <c:v>59.76729814983782</c:v>
                </c:pt>
                <c:pt idx="29">
                  <c:v>63.272084356305</c:v>
                </c:pt>
                <c:pt idx="30">
                  <c:v>66.75885027378112</c:v>
                </c:pt>
                <c:pt idx="31">
                  <c:v>69.74901589090895</c:v>
                </c:pt>
                <c:pt idx="32">
                  <c:v>71.37483167136281</c:v>
                </c:pt>
                <c:pt idx="33">
                  <c:v>71.90927436021624</c:v>
                </c:pt>
                <c:pt idx="34">
                  <c:v>72.09328310441297</c:v>
                </c:pt>
                <c:pt idx="35">
                  <c:v>72.1589470553744</c:v>
                </c:pt>
                <c:pt idx="36">
                  <c:v>72.17875173179873</c:v>
                </c:pt>
                <c:pt idx="37">
                  <c:v>72.18549115069102</c:v>
                </c:pt>
                <c:pt idx="38">
                  <c:v>72.19844808655859</c:v>
                </c:pt>
                <c:pt idx="39">
                  <c:v>72.21114436566264</c:v>
                </c:pt>
                <c:pt idx="40">
                  <c:v>72.22740628807797</c:v>
                </c:pt>
                <c:pt idx="41">
                  <c:v>72.24471142593733</c:v>
                </c:pt>
                <c:pt idx="42">
                  <c:v>72.26332102439424</c:v>
                </c:pt>
                <c:pt idx="43">
                  <c:v>72.28958322300071</c:v>
                </c:pt>
                <c:pt idx="44">
                  <c:v>72.32184523428789</c:v>
                </c:pt>
                <c:pt idx="45">
                  <c:v>72.35758580716849</c:v>
                </c:pt>
                <c:pt idx="46">
                  <c:v>72.39380474110718</c:v>
                </c:pt>
                <c:pt idx="47">
                  <c:v>72.42676281774703</c:v>
                </c:pt>
                <c:pt idx="48">
                  <c:v>72.45952152041655</c:v>
                </c:pt>
                <c:pt idx="49">
                  <c:v>72.49304846054825</c:v>
                </c:pt>
                <c:pt idx="50">
                  <c:v>72.52495932829872</c:v>
                </c:pt>
                <c:pt idx="51">
                  <c:v>72.55848689336173</c:v>
                </c:pt>
                <c:pt idx="52">
                  <c:v>72.59529347303585</c:v>
                </c:pt>
                <c:pt idx="53">
                  <c:v>72.63390110476051</c:v>
                </c:pt>
                <c:pt idx="54">
                  <c:v>72.66946032152939</c:v>
                </c:pt>
                <c:pt idx="55">
                  <c:v>72.69943140247733</c:v>
                </c:pt>
                <c:pt idx="56">
                  <c:v>72.72584662424151</c:v>
                </c:pt>
                <c:pt idx="57">
                  <c:v>72.74792107308998</c:v>
                </c:pt>
                <c:pt idx="58">
                  <c:v>72.76491608020813</c:v>
                </c:pt>
                <c:pt idx="59">
                  <c:v>72.77997130052375</c:v>
                </c:pt>
                <c:pt idx="60">
                  <c:v>72.79479529625273</c:v>
                </c:pt>
                <c:pt idx="61">
                  <c:v>72.80523837747377</c:v>
                </c:pt>
                <c:pt idx="62">
                  <c:v>72.81409815935092</c:v>
                </c:pt>
                <c:pt idx="63">
                  <c:v>72.82425258889536</c:v>
                </c:pt>
                <c:pt idx="64">
                  <c:v>72.83341212010235</c:v>
                </c:pt>
                <c:pt idx="65">
                  <c:v>72.84381577942666</c:v>
                </c:pt>
                <c:pt idx="66">
                  <c:v>72.85307432895159</c:v>
                </c:pt>
                <c:pt idx="67">
                  <c:v>72.86278081848627</c:v>
                </c:pt>
                <c:pt idx="68">
                  <c:v>72.87378128209424</c:v>
                </c:pt>
                <c:pt idx="69">
                  <c:v>72.88338807971698</c:v>
                </c:pt>
                <c:pt idx="70">
                  <c:v>72.89309456925165</c:v>
                </c:pt>
                <c:pt idx="71">
                  <c:v>72.9021537349527</c:v>
                </c:pt>
                <c:pt idx="72">
                  <c:v>72.9098192346685</c:v>
                </c:pt>
                <c:pt idx="73">
                  <c:v>72.91917747610537</c:v>
                </c:pt>
                <c:pt idx="74">
                  <c:v>72.92823731540041</c:v>
                </c:pt>
                <c:pt idx="75">
                  <c:v>72.93824288067093</c:v>
                </c:pt>
                <c:pt idx="76">
                  <c:v>72.95078654813205</c:v>
                </c:pt>
                <c:pt idx="77">
                  <c:v>72.95964633000921</c:v>
                </c:pt>
                <c:pt idx="78">
                  <c:v>72.96805817187661</c:v>
                </c:pt>
                <c:pt idx="79">
                  <c:v>72.97771481545531</c:v>
                </c:pt>
                <c:pt idx="80">
                  <c:v>72.98682382711233</c:v>
                </c:pt>
                <c:pt idx="81">
                  <c:v>72.99409123277435</c:v>
                </c:pt>
                <c:pt idx="82">
                  <c:v>73.00140848439234</c:v>
                </c:pt>
                <c:pt idx="83">
                  <c:v>73.01071687987324</c:v>
                </c:pt>
                <c:pt idx="84">
                  <c:v>73.01778557530536</c:v>
                </c:pt>
                <c:pt idx="85">
                  <c:v>73.02336091284032</c:v>
                </c:pt>
                <c:pt idx="86">
                  <c:v>73.02948388229696</c:v>
                </c:pt>
                <c:pt idx="87">
                  <c:v>73.03550715984166</c:v>
                </c:pt>
                <c:pt idx="88">
                  <c:v>73.04287425741562</c:v>
                </c:pt>
                <c:pt idx="89">
                  <c:v>73.05098769714118</c:v>
                </c:pt>
                <c:pt idx="90">
                  <c:v>73.05701030109188</c:v>
                </c:pt>
                <c:pt idx="91">
                  <c:v>73.06397863101805</c:v>
                </c:pt>
                <c:pt idx="92">
                  <c:v>73.07333619886094</c:v>
                </c:pt>
                <c:pt idx="93">
                  <c:v>73.08184773264028</c:v>
                </c:pt>
                <c:pt idx="94">
                  <c:v>73.09006086427778</c:v>
                </c:pt>
                <c:pt idx="95">
                  <c:v>73.09817430400335</c:v>
                </c:pt>
                <c:pt idx="96">
                  <c:v>73.10849559421989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744136"/>
        <c:axId val="-2107207720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12078.0</c:v>
                </c:pt>
                <c:pt idx="1">
                  <c:v>28353.0</c:v>
                </c:pt>
                <c:pt idx="2">
                  <c:v>5184.0</c:v>
                </c:pt>
                <c:pt idx="3">
                  <c:v>11699.0</c:v>
                </c:pt>
                <c:pt idx="4">
                  <c:v>17510.0</c:v>
                </c:pt>
                <c:pt idx="5">
                  <c:v>19421.0</c:v>
                </c:pt>
                <c:pt idx="6">
                  <c:v>23607.0</c:v>
                </c:pt>
                <c:pt idx="7">
                  <c:v>32164.0</c:v>
                </c:pt>
                <c:pt idx="8">
                  <c:v>41564.0</c:v>
                </c:pt>
                <c:pt idx="9">
                  <c:v>35837.0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0.0161034534084371</c:v>
                  </c:pt>
                  <c:pt idx="1">
                    <c:v>0.00534728193946957</c:v>
                  </c:pt>
                  <c:pt idx="2">
                    <c:v>0.0118644838429092</c:v>
                  </c:pt>
                  <c:pt idx="3">
                    <c:v>0.0142070070468311</c:v>
                  </c:pt>
                  <c:pt idx="4">
                    <c:v>0.00962632845420851</c:v>
                  </c:pt>
                  <c:pt idx="5">
                    <c:v>0.00491806491706376</c:v>
                  </c:pt>
                  <c:pt idx="6">
                    <c:v>0.0433271657024954</c:v>
                  </c:pt>
                  <c:pt idx="7">
                    <c:v>0.0161902594110811</c:v>
                  </c:pt>
                  <c:pt idx="8">
                    <c:v>0.0103664603333245</c:v>
                  </c:pt>
                  <c:pt idx="9">
                    <c:v>0.00616505356790527</c:v>
                  </c:pt>
                  <c:pt idx="10">
                    <c:v>0.00156326004105998</c:v>
                  </c:pt>
                  <c:pt idx="11">
                    <c:v>0.00914341006054752</c:v>
                  </c:pt>
                  <c:pt idx="12">
                    <c:v>0.0498730307797495</c:v>
                  </c:pt>
                  <c:pt idx="13">
                    <c:v>0.021126464084051</c:v>
                  </c:pt>
                  <c:pt idx="14">
                    <c:v>0.0163955169884587</c:v>
                  </c:pt>
                  <c:pt idx="15">
                    <c:v>0.0310122552685415</c:v>
                  </c:pt>
                  <c:pt idx="16">
                    <c:v>0.0514690219124769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0.0161034534084371</c:v>
                  </c:pt>
                  <c:pt idx="1">
                    <c:v>0.00534728193946957</c:v>
                  </c:pt>
                  <c:pt idx="2">
                    <c:v>0.0118644838429092</c:v>
                  </c:pt>
                  <c:pt idx="3">
                    <c:v>0.0142070070468311</c:v>
                  </c:pt>
                  <c:pt idx="4">
                    <c:v>0.00962632845420851</c:v>
                  </c:pt>
                  <c:pt idx="5">
                    <c:v>0.00491806491706376</c:v>
                  </c:pt>
                  <c:pt idx="6">
                    <c:v>0.0433271657024954</c:v>
                  </c:pt>
                  <c:pt idx="7">
                    <c:v>0.0161902594110811</c:v>
                  </c:pt>
                  <c:pt idx="8">
                    <c:v>0.0103664603333245</c:v>
                  </c:pt>
                  <c:pt idx="9">
                    <c:v>0.00616505356790527</c:v>
                  </c:pt>
                  <c:pt idx="10">
                    <c:v>0.00156326004105998</c:v>
                  </c:pt>
                  <c:pt idx="11">
                    <c:v>0.00914341006054752</c:v>
                  </c:pt>
                  <c:pt idx="12">
                    <c:v>0.0498730307797495</c:v>
                  </c:pt>
                  <c:pt idx="13">
                    <c:v>0.021126464084051</c:v>
                  </c:pt>
                  <c:pt idx="14">
                    <c:v>0.0163955169884587</c:v>
                  </c:pt>
                  <c:pt idx="15">
                    <c:v>0.0310122552685415</c:v>
                  </c:pt>
                  <c:pt idx="16">
                    <c:v>0.0514690219124769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8.264526180338693</c:v>
                </c:pt>
                <c:pt idx="1">
                  <c:v>8.614426832231465</c:v>
                </c:pt>
                <c:pt idx="2">
                  <c:v>8.87276511576665</c:v>
                </c:pt>
                <c:pt idx="3">
                  <c:v>9.25130482572924</c:v>
                </c:pt>
                <c:pt idx="4">
                  <c:v>9.416934714315013</c:v>
                </c:pt>
                <c:pt idx="5">
                  <c:v>9.464521126237869</c:v>
                </c:pt>
                <c:pt idx="6">
                  <c:v>9.56889879536134</c:v>
                </c:pt>
                <c:pt idx="7">
                  <c:v>9.688678940304555</c:v>
                </c:pt>
                <c:pt idx="8">
                  <c:v>9.7950493219727</c:v>
                </c:pt>
                <c:pt idx="9">
                  <c:v>9.733990312519156</c:v>
                </c:pt>
                <c:pt idx="10">
                  <c:v>9.773248984170443</c:v>
                </c:pt>
                <c:pt idx="11">
                  <c:v>9.776074768407625</c:v>
                </c:pt>
                <c:pt idx="12">
                  <c:v>9.79243381724352</c:v>
                </c:pt>
                <c:pt idx="13">
                  <c:v>9.78751929490366</c:v>
                </c:pt>
                <c:pt idx="14">
                  <c:v>9.642938818341706</c:v>
                </c:pt>
                <c:pt idx="15">
                  <c:v>9.637014971591006</c:v>
                </c:pt>
                <c:pt idx="16">
                  <c:v>9.498372904199792</c:v>
                </c:pt>
              </c:numCache>
            </c:numRef>
          </c:yVal>
          <c:smooth val="0"/>
        </c:ser>
        <c:ser>
          <c:idx val="5"/>
          <c:order val="9"/>
          <c:tx>
            <c:v>qPCR</c:v>
          </c:tx>
          <c:spPr>
            <a:ln>
              <a:solidFill>
                <a:srgbClr val="C97A36"/>
              </a:solidFill>
            </a:ln>
          </c:spPr>
          <c:marker>
            <c:symbol val="circle"/>
            <c:size val="8"/>
            <c:spPr>
              <a:solidFill>
                <a:srgbClr val="C97A36"/>
              </a:solidFill>
              <a:ln w="19050">
                <a:solidFill>
                  <a:srgbClr val="C97A36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counts'!$S$4:$S$20</c:f>
                <c:numCache>
                  <c:formatCode>General</c:formatCode>
                  <c:ptCount val="17"/>
                  <c:pt idx="0">
                    <c:v>0.0712952569512542</c:v>
                  </c:pt>
                  <c:pt idx="1">
                    <c:v>0.0557016820338282</c:v>
                  </c:pt>
                  <c:pt idx="2">
                    <c:v>0.0338351514300166</c:v>
                  </c:pt>
                  <c:pt idx="3">
                    <c:v>0.0422814742205151</c:v>
                  </c:pt>
                  <c:pt idx="4">
                    <c:v>0.209321020019757</c:v>
                  </c:pt>
                  <c:pt idx="5">
                    <c:v>0.120693261315917</c:v>
                  </c:pt>
                  <c:pt idx="6">
                    <c:v>0.201762316952169</c:v>
                  </c:pt>
                  <c:pt idx="7">
                    <c:v>0.232322233488877</c:v>
                  </c:pt>
                  <c:pt idx="8">
                    <c:v>0.0651954123105389</c:v>
                  </c:pt>
                  <c:pt idx="9">
                    <c:v>0.0387934709167376</c:v>
                  </c:pt>
                  <c:pt idx="10">
                    <c:v>0.0443819295696356</c:v>
                  </c:pt>
                  <c:pt idx="11">
                    <c:v>0.0359646411617404</c:v>
                  </c:pt>
                  <c:pt idx="12">
                    <c:v>0.0185722495161719</c:v>
                  </c:pt>
                  <c:pt idx="13">
                    <c:v>0.0241750195412087</c:v>
                  </c:pt>
                  <c:pt idx="14">
                    <c:v>0.0194078483722618</c:v>
                  </c:pt>
                  <c:pt idx="15">
                    <c:v>0.0325521374854875</c:v>
                  </c:pt>
                  <c:pt idx="16">
                    <c:v>0.0785101308834216</c:v>
                  </c:pt>
                </c:numCache>
              </c:numRef>
            </c:plus>
            <c:minus>
              <c:numRef>
                <c:f>'Determination cell counts'!$S$4:$S$20</c:f>
                <c:numCache>
                  <c:formatCode>General</c:formatCode>
                  <c:ptCount val="17"/>
                  <c:pt idx="0">
                    <c:v>0.0712952569512542</c:v>
                  </c:pt>
                  <c:pt idx="1">
                    <c:v>0.0557016820338282</c:v>
                  </c:pt>
                  <c:pt idx="2">
                    <c:v>0.0338351514300166</c:v>
                  </c:pt>
                  <c:pt idx="3">
                    <c:v>0.0422814742205151</c:v>
                  </c:pt>
                  <c:pt idx="4">
                    <c:v>0.209321020019757</c:v>
                  </c:pt>
                  <c:pt idx="5">
                    <c:v>0.120693261315917</c:v>
                  </c:pt>
                  <c:pt idx="6">
                    <c:v>0.201762316952169</c:v>
                  </c:pt>
                  <c:pt idx="7">
                    <c:v>0.232322233488877</c:v>
                  </c:pt>
                  <c:pt idx="8">
                    <c:v>0.0651954123105389</c:v>
                  </c:pt>
                  <c:pt idx="9">
                    <c:v>0.0387934709167376</c:v>
                  </c:pt>
                  <c:pt idx="10">
                    <c:v>0.0443819295696356</c:v>
                  </c:pt>
                  <c:pt idx="11">
                    <c:v>0.0359646411617404</c:v>
                  </c:pt>
                  <c:pt idx="12">
                    <c:v>0.0185722495161719</c:v>
                  </c:pt>
                  <c:pt idx="13">
                    <c:v>0.0241750195412087</c:v>
                  </c:pt>
                  <c:pt idx="14">
                    <c:v>0.0194078483722618</c:v>
                  </c:pt>
                  <c:pt idx="15">
                    <c:v>0.0325521374854875</c:v>
                  </c:pt>
                  <c:pt idx="16">
                    <c:v>0.0785101308834216</c:v>
                  </c:pt>
                </c:numCache>
              </c:numRef>
            </c:minus>
          </c:errBars>
          <c:xVal>
            <c:numRef>
              <c:f>'Determination cell counts'!$D$4:$D$20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counts'!$R$4:$R$20</c:f>
              <c:numCache>
                <c:formatCode>0.00</c:formatCode>
                <c:ptCount val="17"/>
                <c:pt idx="0">
                  <c:v>8.507611931050585</c:v>
                </c:pt>
                <c:pt idx="1">
                  <c:v>8.95288611246334</c:v>
                </c:pt>
                <c:pt idx="2">
                  <c:v>9.213739646946967</c:v>
                </c:pt>
                <c:pt idx="3">
                  <c:v>9.449169338118707</c:v>
                </c:pt>
                <c:pt idx="4">
                  <c:v>9.035250687897367</c:v>
                </c:pt>
                <c:pt idx="5">
                  <c:v>9.16704261049799</c:v>
                </c:pt>
                <c:pt idx="6">
                  <c:v>9.488276630335458</c:v>
                </c:pt>
                <c:pt idx="7">
                  <c:v>9.383166050624023</c:v>
                </c:pt>
                <c:pt idx="8">
                  <c:v>9.628363929709227</c:v>
                </c:pt>
                <c:pt idx="9">
                  <c:v>9.90669967139499</c:v>
                </c:pt>
                <c:pt idx="10">
                  <c:v>9.928215725916209</c:v>
                </c:pt>
                <c:pt idx="11">
                  <c:v>10.00600521255141</c:v>
                </c:pt>
                <c:pt idx="12">
                  <c:v>10.00246469915665</c:v>
                </c:pt>
                <c:pt idx="13">
                  <c:v>10.04639197931795</c:v>
                </c:pt>
                <c:pt idx="14">
                  <c:v>9.590186360597823</c:v>
                </c:pt>
                <c:pt idx="15">
                  <c:v>9.37237829210045</c:v>
                </c:pt>
                <c:pt idx="16">
                  <c:v>9.050828991018657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307544"/>
        <c:axId val="-2125116472"/>
      </c:scatterChart>
      <c:valAx>
        <c:axId val="-2108744136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07207720"/>
        <c:crosses val="autoZero"/>
        <c:crossBetween val="midCat"/>
        <c:majorUnit val="6.0"/>
      </c:valAx>
      <c:valAx>
        <c:axId val="-2107207720"/>
        <c:scaling>
          <c:orientation val="minMax"/>
          <c:max val="15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08744136"/>
        <c:crosses val="autoZero"/>
        <c:crossBetween val="midCat"/>
      </c:valAx>
      <c:valAx>
        <c:axId val="-2125116472"/>
        <c:scaling>
          <c:orientation val="minMax"/>
          <c:max val="12.0"/>
          <c:min val="5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Bacterial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92307544"/>
        <c:crosses val="max"/>
        <c:crossBetween val="midCat"/>
        <c:majorUnit val="1.0"/>
        <c:minorUnit val="0.2"/>
      </c:valAx>
      <c:valAx>
        <c:axId val="-2092307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2511647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0.033937200410926</c:v>
                  </c:pt>
                  <c:pt idx="1">
                    <c:v>0.0257066103205399</c:v>
                  </c:pt>
                  <c:pt idx="2">
                    <c:v>0.0223096111973863</c:v>
                  </c:pt>
                  <c:pt idx="3">
                    <c:v>0.0129369120100069</c:v>
                  </c:pt>
                  <c:pt idx="4">
                    <c:v>0.0112548139655802</c:v>
                  </c:pt>
                  <c:pt idx="5">
                    <c:v>0.00651843591955008</c:v>
                  </c:pt>
                  <c:pt idx="6">
                    <c:v>0.0392710364176995</c:v>
                  </c:pt>
                  <c:pt idx="7">
                    <c:v>0.0113951082384809</c:v>
                  </c:pt>
                  <c:pt idx="8">
                    <c:v>0.0</c:v>
                  </c:pt>
                  <c:pt idx="9">
                    <c:v>0.0265307099696731</c:v>
                  </c:pt>
                  <c:pt idx="10">
                    <c:v>0.0115105066259908</c:v>
                  </c:pt>
                  <c:pt idx="11">
                    <c:v>0.0305162159885461</c:v>
                  </c:pt>
                  <c:pt idx="12">
                    <c:v>0.0177704295287017</c:v>
                  </c:pt>
                  <c:pt idx="13">
                    <c:v>0.00672419759032343</c:v>
                  </c:pt>
                  <c:pt idx="14">
                    <c:v>0.0293451158105797</c:v>
                  </c:pt>
                  <c:pt idx="15">
                    <c:v>0.0233211332477603</c:v>
                  </c:pt>
                  <c:pt idx="16">
                    <c:v>0.0178118097333355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0.033937200410926</c:v>
                  </c:pt>
                  <c:pt idx="1">
                    <c:v>0.0257066103205399</c:v>
                  </c:pt>
                  <c:pt idx="2">
                    <c:v>0.0223096111973863</c:v>
                  </c:pt>
                  <c:pt idx="3">
                    <c:v>0.0129369120100069</c:v>
                  </c:pt>
                  <c:pt idx="4">
                    <c:v>0.0112548139655802</c:v>
                  </c:pt>
                  <c:pt idx="5">
                    <c:v>0.00651843591955008</c:v>
                  </c:pt>
                  <c:pt idx="6">
                    <c:v>0.0392710364176995</c:v>
                  </c:pt>
                  <c:pt idx="7">
                    <c:v>0.0113951082384809</c:v>
                  </c:pt>
                  <c:pt idx="8">
                    <c:v>0.0</c:v>
                  </c:pt>
                  <c:pt idx="9">
                    <c:v>0.0265307099696731</c:v>
                  </c:pt>
                  <c:pt idx="10">
                    <c:v>0.0115105066259908</c:v>
                  </c:pt>
                  <c:pt idx="11">
                    <c:v>0.0305162159885461</c:v>
                  </c:pt>
                  <c:pt idx="12">
                    <c:v>0.0177704295287017</c:v>
                  </c:pt>
                  <c:pt idx="13">
                    <c:v>0.00672419759032343</c:v>
                  </c:pt>
                  <c:pt idx="14">
                    <c:v>0.0293451158105797</c:v>
                  </c:pt>
                  <c:pt idx="15">
                    <c:v>0.0233211332477603</c:v>
                  </c:pt>
                  <c:pt idx="16">
                    <c:v>0.0178118097333355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1.258969726612016</c:v>
                </c:pt>
                <c:pt idx="1">
                  <c:v>1.298650358995201</c:v>
                </c:pt>
                <c:pt idx="2">
                  <c:v>1.305112255047102</c:v>
                </c:pt>
                <c:pt idx="3">
                  <c:v>1.258548342901011</c:v>
                </c:pt>
                <c:pt idx="4">
                  <c:v>1.271793978110566</c:v>
                </c:pt>
                <c:pt idx="5">
                  <c:v>1.290853311366714</c:v>
                </c:pt>
                <c:pt idx="6">
                  <c:v>1.337715463379752</c:v>
                </c:pt>
                <c:pt idx="7">
                  <c:v>1.367412988617711</c:v>
                </c:pt>
                <c:pt idx="8">
                  <c:v>1.3747253575408</c:v>
                </c:pt>
                <c:pt idx="9">
                  <c:v>1.405381775800308</c:v>
                </c:pt>
                <c:pt idx="10">
                  <c:v>1.438813328248845</c:v>
                </c:pt>
                <c:pt idx="11">
                  <c:v>1.487891868770707</c:v>
                </c:pt>
                <c:pt idx="12">
                  <c:v>1.47357374332945</c:v>
                </c:pt>
                <c:pt idx="13">
                  <c:v>1.517946959943268</c:v>
                </c:pt>
                <c:pt idx="14">
                  <c:v>1.531421083269589</c:v>
                </c:pt>
                <c:pt idx="15">
                  <c:v>1.690782160462618</c:v>
                </c:pt>
                <c:pt idx="16">
                  <c:v>2.15331796987653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BC008"/>
              </a:solidFill>
            </a:ln>
          </c:spPr>
          <c:marker>
            <c:symbol val="triangle"/>
            <c:size val="8"/>
            <c:spPr>
              <a:solidFill>
                <a:srgbClr val="FBC008"/>
              </a:solidFill>
              <a:ln>
                <a:solidFill>
                  <a:srgbClr val="FBC008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1.420074339627649</c:v>
                  </c:pt>
                  <c:pt idx="1">
                    <c:v>0.957813082478408</c:v>
                  </c:pt>
                  <c:pt idx="2">
                    <c:v>1.284097938961091</c:v>
                  </c:pt>
                  <c:pt idx="3">
                    <c:v>0.504287596697338</c:v>
                  </c:pt>
                  <c:pt idx="4">
                    <c:v>0.335262849216824</c:v>
                  </c:pt>
                  <c:pt idx="5">
                    <c:v>0.348877505213556</c:v>
                  </c:pt>
                  <c:pt idx="6">
                    <c:v>0.979717198608812</c:v>
                  </c:pt>
                  <c:pt idx="7">
                    <c:v>0.57891596904208</c:v>
                  </c:pt>
                  <c:pt idx="8">
                    <c:v>0.263067439913843</c:v>
                  </c:pt>
                  <c:pt idx="9">
                    <c:v>0.925470333640479</c:v>
                  </c:pt>
                  <c:pt idx="10">
                    <c:v>0.364787095100276</c:v>
                  </c:pt>
                  <c:pt idx="11">
                    <c:v>0.736505717337746</c:v>
                  </c:pt>
                  <c:pt idx="12">
                    <c:v>0.157383494554123</c:v>
                  </c:pt>
                  <c:pt idx="13">
                    <c:v>0.145474709940349</c:v>
                  </c:pt>
                  <c:pt idx="14">
                    <c:v>0.588515944928055</c:v>
                  </c:pt>
                  <c:pt idx="15">
                    <c:v>0.15080884874505</c:v>
                  </c:pt>
                  <c:pt idx="16">
                    <c:v>0.268904153675048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1.420074339627649</c:v>
                  </c:pt>
                  <c:pt idx="1">
                    <c:v>0.957813082478408</c:v>
                  </c:pt>
                  <c:pt idx="2">
                    <c:v>1.284097938961091</c:v>
                  </c:pt>
                  <c:pt idx="3">
                    <c:v>0.504287596697338</c:v>
                  </c:pt>
                  <c:pt idx="4">
                    <c:v>0.335262849216824</c:v>
                  </c:pt>
                  <c:pt idx="5">
                    <c:v>0.348877505213556</c:v>
                  </c:pt>
                  <c:pt idx="6">
                    <c:v>0.979717198608812</c:v>
                  </c:pt>
                  <c:pt idx="7">
                    <c:v>0.57891596904208</c:v>
                  </c:pt>
                  <c:pt idx="8">
                    <c:v>0.263067439913843</c:v>
                  </c:pt>
                  <c:pt idx="9">
                    <c:v>0.925470333640479</c:v>
                  </c:pt>
                  <c:pt idx="10">
                    <c:v>0.364787095100276</c:v>
                  </c:pt>
                  <c:pt idx="11">
                    <c:v>0.736505717337746</c:v>
                  </c:pt>
                  <c:pt idx="12">
                    <c:v>0.157383494554123</c:v>
                  </c:pt>
                  <c:pt idx="13">
                    <c:v>0.145474709940349</c:v>
                  </c:pt>
                  <c:pt idx="14">
                    <c:v>0.588515944928055</c:v>
                  </c:pt>
                  <c:pt idx="15">
                    <c:v>0.15080884874505</c:v>
                  </c:pt>
                  <c:pt idx="16">
                    <c:v>0.268904153675048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44.94771411760878</c:v>
                </c:pt>
                <c:pt idx="1">
                  <c:v>46.64825494845671</c:v>
                </c:pt>
                <c:pt idx="2">
                  <c:v>45.24640296494723</c:v>
                </c:pt>
                <c:pt idx="3">
                  <c:v>42.8004884814542</c:v>
                </c:pt>
                <c:pt idx="4">
                  <c:v>40.18754392262567</c:v>
                </c:pt>
                <c:pt idx="5">
                  <c:v>38.3664405266098</c:v>
                </c:pt>
                <c:pt idx="6">
                  <c:v>36.81756027573098</c:v>
                </c:pt>
                <c:pt idx="7">
                  <c:v>35.00771565446455</c:v>
                </c:pt>
                <c:pt idx="8">
                  <c:v>34.56480525907572</c:v>
                </c:pt>
                <c:pt idx="9">
                  <c:v>35.5347721218817</c:v>
                </c:pt>
                <c:pt idx="10">
                  <c:v>35.7536181284028</c:v>
                </c:pt>
                <c:pt idx="11">
                  <c:v>36.80141485702051</c:v>
                </c:pt>
                <c:pt idx="12">
                  <c:v>36.60676703513923</c:v>
                </c:pt>
                <c:pt idx="13">
                  <c:v>36.88699391891249</c:v>
                </c:pt>
                <c:pt idx="14">
                  <c:v>37.71236573237278</c:v>
                </c:pt>
                <c:pt idx="15">
                  <c:v>39.27496839413468</c:v>
                </c:pt>
                <c:pt idx="16">
                  <c:v>41.88124969938679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triangle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0.0217392735504741</c:v>
                  </c:pt>
                  <c:pt idx="1">
                    <c:v>0.0453465135061233</c:v>
                  </c:pt>
                  <c:pt idx="2">
                    <c:v>0.115512351322623</c:v>
                  </c:pt>
                  <c:pt idx="3">
                    <c:v>0.116018614367134</c:v>
                  </c:pt>
                  <c:pt idx="4">
                    <c:v>0.0993184683832244</c:v>
                  </c:pt>
                  <c:pt idx="5">
                    <c:v>0.0883794758935239</c:v>
                  </c:pt>
                  <c:pt idx="6">
                    <c:v>0.288695737316631</c:v>
                  </c:pt>
                  <c:pt idx="7">
                    <c:v>0.151793309601034</c:v>
                  </c:pt>
                  <c:pt idx="8">
                    <c:v>0.0787340034239914</c:v>
                  </c:pt>
                  <c:pt idx="9">
                    <c:v>0.273506573268843</c:v>
                  </c:pt>
                  <c:pt idx="10">
                    <c:v>0.124062894833164</c:v>
                  </c:pt>
                  <c:pt idx="11">
                    <c:v>0.2223079172216</c:v>
                  </c:pt>
                  <c:pt idx="12">
                    <c:v>0.0473923216088388</c:v>
                  </c:pt>
                  <c:pt idx="13">
                    <c:v>0.0911692722260127</c:v>
                  </c:pt>
                  <c:pt idx="14">
                    <c:v>0.0263497455411864</c:v>
                  </c:pt>
                  <c:pt idx="15">
                    <c:v>0.0697148738118122</c:v>
                  </c:pt>
                  <c:pt idx="16">
                    <c:v>0.197623091558898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0.0217392735504741</c:v>
                  </c:pt>
                  <c:pt idx="1">
                    <c:v>0.0453465135061233</c:v>
                  </c:pt>
                  <c:pt idx="2">
                    <c:v>0.115512351322623</c:v>
                  </c:pt>
                  <c:pt idx="3">
                    <c:v>0.116018614367134</c:v>
                  </c:pt>
                  <c:pt idx="4">
                    <c:v>0.0993184683832244</c:v>
                  </c:pt>
                  <c:pt idx="5">
                    <c:v>0.0883794758935239</c:v>
                  </c:pt>
                  <c:pt idx="6">
                    <c:v>0.288695737316631</c:v>
                  </c:pt>
                  <c:pt idx="7">
                    <c:v>0.151793309601034</c:v>
                  </c:pt>
                  <c:pt idx="8">
                    <c:v>0.0787340034239914</c:v>
                  </c:pt>
                  <c:pt idx="9">
                    <c:v>0.273506573268843</c:v>
                  </c:pt>
                  <c:pt idx="10">
                    <c:v>0.124062894833164</c:v>
                  </c:pt>
                  <c:pt idx="11">
                    <c:v>0.2223079172216</c:v>
                  </c:pt>
                  <c:pt idx="12">
                    <c:v>0.0473923216088388</c:v>
                  </c:pt>
                  <c:pt idx="13">
                    <c:v>0.0911692722260127</c:v>
                  </c:pt>
                  <c:pt idx="14">
                    <c:v>0.0263497455411864</c:v>
                  </c:pt>
                  <c:pt idx="15">
                    <c:v>0.0697148738118122</c:v>
                  </c:pt>
                  <c:pt idx="16">
                    <c:v>0.197623091558898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1.108702951074183</c:v>
                </c:pt>
                <c:pt idx="1">
                  <c:v>1.227151839680371</c:v>
                </c:pt>
                <c:pt idx="2">
                  <c:v>1.30978694981136</c:v>
                </c:pt>
                <c:pt idx="3">
                  <c:v>1.732111120322121</c:v>
                </c:pt>
                <c:pt idx="4">
                  <c:v>2.45951386832154</c:v>
                </c:pt>
                <c:pt idx="5">
                  <c:v>3.247945739087001</c:v>
                </c:pt>
                <c:pt idx="6">
                  <c:v>4.407518538571862</c:v>
                </c:pt>
                <c:pt idx="7">
                  <c:v>6.006147084501905</c:v>
                </c:pt>
                <c:pt idx="8">
                  <c:v>7.899067639407268</c:v>
                </c:pt>
                <c:pt idx="9">
                  <c:v>8.633127104017205</c:v>
                </c:pt>
                <c:pt idx="10">
                  <c:v>8.770077473121015</c:v>
                </c:pt>
                <c:pt idx="11">
                  <c:v>8.803060157961937</c:v>
                </c:pt>
                <c:pt idx="12">
                  <c:v>8.393262529918883</c:v>
                </c:pt>
                <c:pt idx="13">
                  <c:v>8.387573044793168</c:v>
                </c:pt>
                <c:pt idx="14">
                  <c:v>8.435626621770913</c:v>
                </c:pt>
                <c:pt idx="15">
                  <c:v>9.705914850657967</c:v>
                </c:pt>
                <c:pt idx="16">
                  <c:v>10.17751886377771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0.0784918237565483</c:v>
                </c:pt>
                <c:pt idx="2">
                  <c:v>0.261733187409342</c:v>
                </c:pt>
                <c:pt idx="3">
                  <c:v>0.495641827699681</c:v>
                </c:pt>
                <c:pt idx="4">
                  <c:v>0.800536732251301</c:v>
                </c:pt>
                <c:pt idx="5">
                  <c:v>1.218521827231059</c:v>
                </c:pt>
                <c:pt idx="6">
                  <c:v>1.78090073057397</c:v>
                </c:pt>
                <c:pt idx="7">
                  <c:v>2.500558174152805</c:v>
                </c:pt>
                <c:pt idx="8">
                  <c:v>3.39197924764346</c:v>
                </c:pt>
                <c:pt idx="9">
                  <c:v>4.493848460001224</c:v>
                </c:pt>
                <c:pt idx="10">
                  <c:v>5.871075771477887</c:v>
                </c:pt>
                <c:pt idx="11">
                  <c:v>7.509917339452296</c:v>
                </c:pt>
                <c:pt idx="12">
                  <c:v>9.35919150662135</c:v>
                </c:pt>
                <c:pt idx="13">
                  <c:v>11.40647813165765</c:v>
                </c:pt>
                <c:pt idx="14">
                  <c:v>13.62206385778597</c:v>
                </c:pt>
                <c:pt idx="15">
                  <c:v>16.02026507129576</c:v>
                </c:pt>
                <c:pt idx="16">
                  <c:v>18.55792915866124</c:v>
                </c:pt>
                <c:pt idx="17">
                  <c:v>20.87804477279289</c:v>
                </c:pt>
                <c:pt idx="18">
                  <c:v>23.33043934550518</c:v>
                </c:pt>
                <c:pt idx="19">
                  <c:v>26.17086555472281</c:v>
                </c:pt>
                <c:pt idx="20">
                  <c:v>29.12142867856019</c:v>
                </c:pt>
                <c:pt idx="21">
                  <c:v>32.25178940001183</c:v>
                </c:pt>
                <c:pt idx="22">
                  <c:v>35.56139418777073</c:v>
                </c:pt>
                <c:pt idx="23">
                  <c:v>39.13386692018254</c:v>
                </c:pt>
                <c:pt idx="24">
                  <c:v>42.95342549336721</c:v>
                </c:pt>
                <c:pt idx="25">
                  <c:v>46.9199717028472</c:v>
                </c:pt>
                <c:pt idx="26">
                  <c:v>51.1038658655909</c:v>
                </c:pt>
                <c:pt idx="27">
                  <c:v>55.42790752867648</c:v>
                </c:pt>
                <c:pt idx="28">
                  <c:v>59.84307931064804</c:v>
                </c:pt>
                <c:pt idx="29">
                  <c:v>64.38340531330994</c:v>
                </c:pt>
                <c:pt idx="30">
                  <c:v>68.87874553999133</c:v>
                </c:pt>
                <c:pt idx="31">
                  <c:v>73.2192186391365</c:v>
                </c:pt>
                <c:pt idx="32">
                  <c:v>77.09845755139118</c:v>
                </c:pt>
                <c:pt idx="33">
                  <c:v>80.29560943523506</c:v>
                </c:pt>
                <c:pt idx="34">
                  <c:v>83.01059695628386</c:v>
                </c:pt>
                <c:pt idx="35">
                  <c:v>85.31982082906874</c:v>
                </c:pt>
                <c:pt idx="36">
                  <c:v>87.2304124150154</c:v>
                </c:pt>
                <c:pt idx="37">
                  <c:v>88.82313762257078</c:v>
                </c:pt>
                <c:pt idx="38">
                  <c:v>90.10977000355322</c:v>
                </c:pt>
                <c:pt idx="39">
                  <c:v>91.14016089947217</c:v>
                </c:pt>
                <c:pt idx="40">
                  <c:v>91.97242323562152</c:v>
                </c:pt>
                <c:pt idx="41">
                  <c:v>92.65648719776874</c:v>
                </c:pt>
                <c:pt idx="42">
                  <c:v>93.23075641186818</c:v>
                </c:pt>
                <c:pt idx="43">
                  <c:v>93.72493398116068</c:v>
                </c:pt>
                <c:pt idx="44">
                  <c:v>94.16726968562326</c:v>
                </c:pt>
                <c:pt idx="45">
                  <c:v>94.56915122503254</c:v>
                </c:pt>
                <c:pt idx="46">
                  <c:v>94.9432007413544</c:v>
                </c:pt>
                <c:pt idx="47">
                  <c:v>95.29686430985356</c:v>
                </c:pt>
                <c:pt idx="48">
                  <c:v>95.6401658847572</c:v>
                </c:pt>
                <c:pt idx="49">
                  <c:v>95.9771832189629</c:v>
                </c:pt>
                <c:pt idx="50">
                  <c:v>96.29915595668537</c:v>
                </c:pt>
                <c:pt idx="51">
                  <c:v>96.60117838709988</c:v>
                </c:pt>
                <c:pt idx="52">
                  <c:v>96.88043831928782</c:v>
                </c:pt>
                <c:pt idx="53">
                  <c:v>97.1417146030169</c:v>
                </c:pt>
                <c:pt idx="54">
                  <c:v>97.39099095563058</c:v>
                </c:pt>
                <c:pt idx="55">
                  <c:v>97.62954661153121</c:v>
                </c:pt>
                <c:pt idx="56">
                  <c:v>97.85643042525697</c:v>
                </c:pt>
                <c:pt idx="57">
                  <c:v>98.07544885344903</c:v>
                </c:pt>
                <c:pt idx="58">
                  <c:v>98.28751054623975</c:v>
                </c:pt>
                <c:pt idx="59">
                  <c:v>98.48858719637107</c:v>
                </c:pt>
                <c:pt idx="60">
                  <c:v>98.67606784080786</c:v>
                </c:pt>
                <c:pt idx="61">
                  <c:v>98.85444400433967</c:v>
                </c:pt>
                <c:pt idx="62">
                  <c:v>99.0205933738827</c:v>
                </c:pt>
                <c:pt idx="63">
                  <c:v>99.16522747748351</c:v>
                </c:pt>
                <c:pt idx="64">
                  <c:v>99.29353164175127</c:v>
                </c:pt>
                <c:pt idx="65">
                  <c:v>99.41107850984491</c:v>
                </c:pt>
                <c:pt idx="66">
                  <c:v>99.5219244648302</c:v>
                </c:pt>
                <c:pt idx="67">
                  <c:v>99.62760799540235</c:v>
                </c:pt>
                <c:pt idx="68">
                  <c:v>99.72918933851675</c:v>
                </c:pt>
                <c:pt idx="69">
                  <c:v>99.82975624906768</c:v>
                </c:pt>
                <c:pt idx="70">
                  <c:v>99.93125743449611</c:v>
                </c:pt>
                <c:pt idx="71">
                  <c:v>100.03381885688</c:v>
                </c:pt>
                <c:pt idx="72">
                  <c:v>100.1374512937232</c:v>
                </c:pt>
                <c:pt idx="73">
                  <c:v>100.243727587015</c:v>
                </c:pt>
                <c:pt idx="74">
                  <c:v>100.3562258680814</c:v>
                </c:pt>
                <c:pt idx="75">
                  <c:v>100.4773959982991</c:v>
                </c:pt>
                <c:pt idx="76">
                  <c:v>100.6112384524318</c:v>
                </c:pt>
                <c:pt idx="77">
                  <c:v>100.7638155764763</c:v>
                </c:pt>
                <c:pt idx="78">
                  <c:v>100.9439810899636</c:v>
                </c:pt>
                <c:pt idx="79">
                  <c:v>101.15513125384</c:v>
                </c:pt>
                <c:pt idx="80">
                  <c:v>101.4037278553439</c:v>
                </c:pt>
                <c:pt idx="81">
                  <c:v>101.6992975344121</c:v>
                </c:pt>
                <c:pt idx="82">
                  <c:v>102.031971465356</c:v>
                </c:pt>
                <c:pt idx="83">
                  <c:v>102.38255962872</c:v>
                </c:pt>
                <c:pt idx="84">
                  <c:v>102.7109380507282</c:v>
                </c:pt>
                <c:pt idx="85">
                  <c:v>102.977973614378</c:v>
                </c:pt>
                <c:pt idx="86">
                  <c:v>103.1831301388457</c:v>
                </c:pt>
                <c:pt idx="87">
                  <c:v>103.3389317573664</c:v>
                </c:pt>
                <c:pt idx="88">
                  <c:v>103.4575267377235</c:v>
                </c:pt>
                <c:pt idx="89">
                  <c:v>103.5502536877127</c:v>
                </c:pt>
                <c:pt idx="90">
                  <c:v>103.6254766240275</c:v>
                </c:pt>
                <c:pt idx="91">
                  <c:v>103.6910132786277</c:v>
                </c:pt>
                <c:pt idx="92">
                  <c:v>103.748812358954</c:v>
                </c:pt>
                <c:pt idx="93">
                  <c:v>103.7983949396729</c:v>
                </c:pt>
                <c:pt idx="94">
                  <c:v>103.8436813378621</c:v>
                </c:pt>
                <c:pt idx="95">
                  <c:v>103.887691275422</c:v>
                </c:pt>
                <c:pt idx="96">
                  <c:v>103.9335108423259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E66"/>
              </a:solidFill>
            </a:ln>
          </c:spPr>
          <c:marker>
            <c:symbol val="circle"/>
            <c:size val="8"/>
            <c:spPr>
              <a:solidFill>
                <a:srgbClr val="67FE66"/>
              </a:solidFill>
              <a:ln>
                <a:solidFill>
                  <a:srgbClr val="67FE66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1.341807551778214</c:v>
                  </c:pt>
                  <c:pt idx="1">
                    <c:v>1.076401957244883</c:v>
                  </c:pt>
                  <c:pt idx="2">
                    <c:v>1.253121315356968</c:v>
                  </c:pt>
                  <c:pt idx="3">
                    <c:v>0.312216095942887</c:v>
                  </c:pt>
                  <c:pt idx="4">
                    <c:v>0.321567453158307</c:v>
                  </c:pt>
                  <c:pt idx="5">
                    <c:v>0.3112681128717</c:v>
                  </c:pt>
                  <c:pt idx="6">
                    <c:v>0.820812678536476</c:v>
                  </c:pt>
                  <c:pt idx="7">
                    <c:v>0.225107471914979</c:v>
                  </c:pt>
                  <c:pt idx="8">
                    <c:v>0.0678555105301477</c:v>
                  </c:pt>
                  <c:pt idx="9">
                    <c:v>0.305967073406311</c:v>
                  </c:pt>
                  <c:pt idx="10">
                    <c:v>0.0283899904359637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1.341807551778214</c:v>
                  </c:pt>
                  <c:pt idx="1">
                    <c:v>1.076401957244883</c:v>
                  </c:pt>
                  <c:pt idx="2">
                    <c:v>1.253121315356968</c:v>
                  </c:pt>
                  <c:pt idx="3">
                    <c:v>0.312216095942887</c:v>
                  </c:pt>
                  <c:pt idx="4">
                    <c:v>0.321567453158307</c:v>
                  </c:pt>
                  <c:pt idx="5">
                    <c:v>0.3112681128717</c:v>
                  </c:pt>
                  <c:pt idx="6">
                    <c:v>0.820812678536476</c:v>
                  </c:pt>
                  <c:pt idx="7">
                    <c:v>0.225107471914979</c:v>
                  </c:pt>
                  <c:pt idx="8">
                    <c:v>0.0678555105301477</c:v>
                  </c:pt>
                  <c:pt idx="9">
                    <c:v>0.305967073406311</c:v>
                  </c:pt>
                  <c:pt idx="10">
                    <c:v>0.0283899904359637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46.42636009488663</c:v>
                </c:pt>
                <c:pt idx="1">
                  <c:v>48.1929148223119</c:v>
                </c:pt>
                <c:pt idx="2">
                  <c:v>46.47835666122159</c:v>
                </c:pt>
                <c:pt idx="3">
                  <c:v>41.94476472787154</c:v>
                </c:pt>
                <c:pt idx="4">
                  <c:v>36.73946438830906</c:v>
                </c:pt>
                <c:pt idx="5">
                  <c:v>32.26945107380143</c:v>
                </c:pt>
                <c:pt idx="6">
                  <c:v>27.69902357789148</c:v>
                </c:pt>
                <c:pt idx="7">
                  <c:v>21.45129125894034</c:v>
                </c:pt>
                <c:pt idx="8">
                  <c:v>15.43892950149293</c:v>
                </c:pt>
                <c:pt idx="9">
                  <c:v>10.07317918594744</c:v>
                </c:pt>
                <c:pt idx="10">
                  <c:v>4.491016001907395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0.0454277045297162</c:v>
                  </c:pt>
                  <c:pt idx="1">
                    <c:v>0.0838845156760786</c:v>
                  </c:pt>
                  <c:pt idx="2">
                    <c:v>0.163017711530423</c:v>
                  </c:pt>
                  <c:pt idx="3">
                    <c:v>0.0412986740658501</c:v>
                  </c:pt>
                  <c:pt idx="4">
                    <c:v>0.153227489413656</c:v>
                  </c:pt>
                  <c:pt idx="5">
                    <c:v>0.200701316052196</c:v>
                  </c:pt>
                  <c:pt idx="6">
                    <c:v>0.769349348292303</c:v>
                  </c:pt>
                  <c:pt idx="7">
                    <c:v>0.406968568082193</c:v>
                  </c:pt>
                  <c:pt idx="8">
                    <c:v>0.0553496205281832</c:v>
                  </c:pt>
                  <c:pt idx="9">
                    <c:v>1.245984303626966</c:v>
                  </c:pt>
                  <c:pt idx="10">
                    <c:v>0.547469197786368</c:v>
                  </c:pt>
                  <c:pt idx="11">
                    <c:v>1.186774269853734</c:v>
                  </c:pt>
                  <c:pt idx="12">
                    <c:v>0.404614963428768</c:v>
                  </c:pt>
                  <c:pt idx="13">
                    <c:v>0.333893229983005</c:v>
                  </c:pt>
                  <c:pt idx="14">
                    <c:v>0.401152937764971</c:v>
                  </c:pt>
                  <c:pt idx="15">
                    <c:v>0.628444752643388</c:v>
                  </c:pt>
                  <c:pt idx="16">
                    <c:v>0.259087898687431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0.0454277045297162</c:v>
                  </c:pt>
                  <c:pt idx="1">
                    <c:v>0.0838845156760786</c:v>
                  </c:pt>
                  <c:pt idx="2">
                    <c:v>0.163017711530423</c:v>
                  </c:pt>
                  <c:pt idx="3">
                    <c:v>0.0412986740658501</c:v>
                  </c:pt>
                  <c:pt idx="4">
                    <c:v>0.153227489413656</c:v>
                  </c:pt>
                  <c:pt idx="5">
                    <c:v>0.200701316052196</c:v>
                  </c:pt>
                  <c:pt idx="6">
                    <c:v>0.769349348292303</c:v>
                  </c:pt>
                  <c:pt idx="7">
                    <c:v>0.406968568082193</c:v>
                  </c:pt>
                  <c:pt idx="8">
                    <c:v>0.0553496205281832</c:v>
                  </c:pt>
                  <c:pt idx="9">
                    <c:v>1.245984303626966</c:v>
                  </c:pt>
                  <c:pt idx="10">
                    <c:v>0.547469197786368</c:v>
                  </c:pt>
                  <c:pt idx="11">
                    <c:v>1.186774269853734</c:v>
                  </c:pt>
                  <c:pt idx="12">
                    <c:v>0.404614963428768</c:v>
                  </c:pt>
                  <c:pt idx="13">
                    <c:v>0.333893229983005</c:v>
                  </c:pt>
                  <c:pt idx="14">
                    <c:v>0.401152937764971</c:v>
                  </c:pt>
                  <c:pt idx="15">
                    <c:v>0.628444752643388</c:v>
                  </c:pt>
                  <c:pt idx="16">
                    <c:v>0.259087898687431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1.578612732407643</c:v>
                </c:pt>
                <c:pt idx="1">
                  <c:v>3.3268020865048</c:v>
                </c:pt>
                <c:pt idx="2">
                  <c:v>5.409396648484814</c:v>
                </c:pt>
                <c:pt idx="3">
                  <c:v>9.999509008465675</c:v>
                </c:pt>
                <c:pt idx="4">
                  <c:v>15.42631902622592</c:v>
                </c:pt>
                <c:pt idx="5">
                  <c:v>20.74606971289963</c:v>
                </c:pt>
                <c:pt idx="6">
                  <c:v>27.24045618518518</c:v>
                </c:pt>
                <c:pt idx="7">
                  <c:v>33.19828839782117</c:v>
                </c:pt>
                <c:pt idx="8">
                  <c:v>40.1923102382722</c:v>
                </c:pt>
                <c:pt idx="9">
                  <c:v>46.45926896713134</c:v>
                </c:pt>
                <c:pt idx="10">
                  <c:v>52.1394797369426</c:v>
                </c:pt>
                <c:pt idx="11">
                  <c:v>56.55408897690413</c:v>
                </c:pt>
                <c:pt idx="12">
                  <c:v>56.25268321884333</c:v>
                </c:pt>
                <c:pt idx="13">
                  <c:v>56.80060967886949</c:v>
                </c:pt>
                <c:pt idx="14">
                  <c:v>57.96920319107715</c:v>
                </c:pt>
                <c:pt idx="15">
                  <c:v>59.5944708155048</c:v>
                </c:pt>
                <c:pt idx="16">
                  <c:v>61.80388108245289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2.37107346561588E-5</c:v>
                </c:pt>
                <c:pt idx="1">
                  <c:v>0.0571108289880237</c:v>
                </c:pt>
                <c:pt idx="2">
                  <c:v>0.25571995285134</c:v>
                </c:pt>
                <c:pt idx="3">
                  <c:v>0.652891099523993</c:v>
                </c:pt>
                <c:pt idx="4">
                  <c:v>1.29869510852156</c:v>
                </c:pt>
                <c:pt idx="5">
                  <c:v>2.251104091114443</c:v>
                </c:pt>
                <c:pt idx="6">
                  <c:v>3.522043997164442</c:v>
                </c:pt>
                <c:pt idx="7">
                  <c:v>4.898316673282682</c:v>
                </c:pt>
                <c:pt idx="8">
                  <c:v>6.43636763667054</c:v>
                </c:pt>
                <c:pt idx="9">
                  <c:v>8.390579426864416</c:v>
                </c:pt>
                <c:pt idx="10">
                  <c:v>10.58673574992483</c:v>
                </c:pt>
                <c:pt idx="11">
                  <c:v>12.71509264519142</c:v>
                </c:pt>
                <c:pt idx="12">
                  <c:v>14.93691513724112</c:v>
                </c:pt>
                <c:pt idx="13">
                  <c:v>17.3050685899497</c:v>
                </c:pt>
                <c:pt idx="14">
                  <c:v>19.66616053667212</c:v>
                </c:pt>
                <c:pt idx="15">
                  <c:v>22.05321092458132</c:v>
                </c:pt>
                <c:pt idx="16">
                  <c:v>24.64646711671738</c:v>
                </c:pt>
                <c:pt idx="17">
                  <c:v>27.15593802607066</c:v>
                </c:pt>
                <c:pt idx="18">
                  <c:v>29.67086968074222</c:v>
                </c:pt>
                <c:pt idx="19">
                  <c:v>32.55821191330131</c:v>
                </c:pt>
                <c:pt idx="20">
                  <c:v>35.33277319013562</c:v>
                </c:pt>
                <c:pt idx="21">
                  <c:v>37.94865442356595</c:v>
                </c:pt>
                <c:pt idx="22">
                  <c:v>40.38729369869932</c:v>
                </c:pt>
                <c:pt idx="23">
                  <c:v>43.13176251188597</c:v>
                </c:pt>
                <c:pt idx="24">
                  <c:v>46.34778624644696</c:v>
                </c:pt>
                <c:pt idx="25">
                  <c:v>49.57520725357102</c:v>
                </c:pt>
                <c:pt idx="26">
                  <c:v>52.8636373964646</c:v>
                </c:pt>
                <c:pt idx="27">
                  <c:v>56.25263638315584</c:v>
                </c:pt>
                <c:pt idx="28">
                  <c:v>59.76729814983782</c:v>
                </c:pt>
                <c:pt idx="29">
                  <c:v>63.272084356305</c:v>
                </c:pt>
                <c:pt idx="30">
                  <c:v>66.75885027378112</c:v>
                </c:pt>
                <c:pt idx="31">
                  <c:v>69.74901589090895</c:v>
                </c:pt>
                <c:pt idx="32">
                  <c:v>71.37483167136281</c:v>
                </c:pt>
                <c:pt idx="33">
                  <c:v>71.90927436021624</c:v>
                </c:pt>
                <c:pt idx="34">
                  <c:v>72.09328310441297</c:v>
                </c:pt>
                <c:pt idx="35">
                  <c:v>72.1589470553744</c:v>
                </c:pt>
                <c:pt idx="36">
                  <c:v>72.17875173179873</c:v>
                </c:pt>
                <c:pt idx="37">
                  <c:v>72.18549115069102</c:v>
                </c:pt>
                <c:pt idx="38">
                  <c:v>72.19844808655859</c:v>
                </c:pt>
                <c:pt idx="39">
                  <c:v>72.21114436566264</c:v>
                </c:pt>
                <c:pt idx="40">
                  <c:v>72.22740628807797</c:v>
                </c:pt>
                <c:pt idx="41">
                  <c:v>72.24471142593733</c:v>
                </c:pt>
                <c:pt idx="42">
                  <c:v>72.26332102439424</c:v>
                </c:pt>
                <c:pt idx="43">
                  <c:v>72.28958322300071</c:v>
                </c:pt>
                <c:pt idx="44">
                  <c:v>72.32184523428789</c:v>
                </c:pt>
                <c:pt idx="45">
                  <c:v>72.35758580716849</c:v>
                </c:pt>
                <c:pt idx="46">
                  <c:v>72.39380474110718</c:v>
                </c:pt>
                <c:pt idx="47">
                  <c:v>72.42676281774703</c:v>
                </c:pt>
                <c:pt idx="48">
                  <c:v>72.45952152041655</c:v>
                </c:pt>
                <c:pt idx="49">
                  <c:v>72.49304846054825</c:v>
                </c:pt>
                <c:pt idx="50">
                  <c:v>72.52495932829872</c:v>
                </c:pt>
                <c:pt idx="51">
                  <c:v>72.55848689336173</c:v>
                </c:pt>
                <c:pt idx="52">
                  <c:v>72.59529347303585</c:v>
                </c:pt>
                <c:pt idx="53">
                  <c:v>72.63390110476051</c:v>
                </c:pt>
                <c:pt idx="54">
                  <c:v>72.66946032152939</c:v>
                </c:pt>
                <c:pt idx="55">
                  <c:v>72.69943140247733</c:v>
                </c:pt>
                <c:pt idx="56">
                  <c:v>72.72584662424151</c:v>
                </c:pt>
                <c:pt idx="57">
                  <c:v>72.74792107308998</c:v>
                </c:pt>
                <c:pt idx="58">
                  <c:v>72.76491608020813</c:v>
                </c:pt>
                <c:pt idx="59">
                  <c:v>72.77997130052375</c:v>
                </c:pt>
                <c:pt idx="60">
                  <c:v>72.79479529625273</c:v>
                </c:pt>
                <c:pt idx="61">
                  <c:v>72.80523837747377</c:v>
                </c:pt>
                <c:pt idx="62">
                  <c:v>72.81409815935092</c:v>
                </c:pt>
                <c:pt idx="63">
                  <c:v>72.82425258889536</c:v>
                </c:pt>
                <c:pt idx="64">
                  <c:v>72.83341212010235</c:v>
                </c:pt>
                <c:pt idx="65">
                  <c:v>72.84381577942666</c:v>
                </c:pt>
                <c:pt idx="66">
                  <c:v>72.85307432895159</c:v>
                </c:pt>
                <c:pt idx="67">
                  <c:v>72.86278081848627</c:v>
                </c:pt>
                <c:pt idx="68">
                  <c:v>72.87378128209424</c:v>
                </c:pt>
                <c:pt idx="69">
                  <c:v>72.88338807971698</c:v>
                </c:pt>
                <c:pt idx="70">
                  <c:v>72.89309456925165</c:v>
                </c:pt>
                <c:pt idx="71">
                  <c:v>72.9021537349527</c:v>
                </c:pt>
                <c:pt idx="72">
                  <c:v>72.9098192346685</c:v>
                </c:pt>
                <c:pt idx="73">
                  <c:v>72.91917747610537</c:v>
                </c:pt>
                <c:pt idx="74">
                  <c:v>72.92823731540041</c:v>
                </c:pt>
                <c:pt idx="75">
                  <c:v>72.93824288067093</c:v>
                </c:pt>
                <c:pt idx="76">
                  <c:v>72.95078654813205</c:v>
                </c:pt>
                <c:pt idx="77">
                  <c:v>72.95964633000921</c:v>
                </c:pt>
                <c:pt idx="78">
                  <c:v>72.96805817187661</c:v>
                </c:pt>
                <c:pt idx="79">
                  <c:v>72.97771481545531</c:v>
                </c:pt>
                <c:pt idx="80">
                  <c:v>72.98682382711233</c:v>
                </c:pt>
                <c:pt idx="81">
                  <c:v>72.99409123277435</c:v>
                </c:pt>
                <c:pt idx="82">
                  <c:v>73.00140848439234</c:v>
                </c:pt>
                <c:pt idx="83">
                  <c:v>73.01071687987324</c:v>
                </c:pt>
                <c:pt idx="84">
                  <c:v>73.01778557530536</c:v>
                </c:pt>
                <c:pt idx="85">
                  <c:v>73.02336091284032</c:v>
                </c:pt>
                <c:pt idx="86">
                  <c:v>73.02948388229696</c:v>
                </c:pt>
                <c:pt idx="87">
                  <c:v>73.03550715984166</c:v>
                </c:pt>
                <c:pt idx="88">
                  <c:v>73.04287425741562</c:v>
                </c:pt>
                <c:pt idx="89">
                  <c:v>73.05098769714118</c:v>
                </c:pt>
                <c:pt idx="90">
                  <c:v>73.05701030109188</c:v>
                </c:pt>
                <c:pt idx="91">
                  <c:v>73.06397863101805</c:v>
                </c:pt>
                <c:pt idx="92">
                  <c:v>73.07333619886094</c:v>
                </c:pt>
                <c:pt idx="93">
                  <c:v>73.08184773264028</c:v>
                </c:pt>
                <c:pt idx="94">
                  <c:v>73.09006086427778</c:v>
                </c:pt>
                <c:pt idx="95">
                  <c:v>73.09817430400335</c:v>
                </c:pt>
                <c:pt idx="96">
                  <c:v>73.10849559421989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637272"/>
        <c:axId val="-2076380584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12078.0</c:v>
                </c:pt>
                <c:pt idx="1">
                  <c:v>28353.0</c:v>
                </c:pt>
                <c:pt idx="2">
                  <c:v>5184.0</c:v>
                </c:pt>
                <c:pt idx="3">
                  <c:v>11699.0</c:v>
                </c:pt>
                <c:pt idx="4">
                  <c:v>17510.0</c:v>
                </c:pt>
                <c:pt idx="5">
                  <c:v>19421.0</c:v>
                </c:pt>
                <c:pt idx="6">
                  <c:v>23607.0</c:v>
                </c:pt>
                <c:pt idx="7">
                  <c:v>32164.0</c:v>
                </c:pt>
                <c:pt idx="8">
                  <c:v>41564.0</c:v>
                </c:pt>
                <c:pt idx="9">
                  <c:v>35837.0</c:v>
                </c:pt>
              </c:numCache>
            </c:numRef>
          </c:yVal>
          <c:smooth val="0"/>
        </c:ser>
        <c:ser>
          <c:idx val="5"/>
          <c:order val="8"/>
          <c:tx>
            <c:v>OD600nm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0.0146706578298316</c:v>
                  </c:pt>
                  <c:pt idx="2">
                    <c:v>0.0369665830356734</c:v>
                  </c:pt>
                  <c:pt idx="3">
                    <c:v>0.0489021927661055</c:v>
                  </c:pt>
                  <c:pt idx="4">
                    <c:v>0.0978043855322107</c:v>
                  </c:pt>
                  <c:pt idx="5">
                    <c:v>0.0489021927661055</c:v>
                  </c:pt>
                  <c:pt idx="6">
                    <c:v>0.176319363500817</c:v>
                  </c:pt>
                  <c:pt idx="7">
                    <c:v>0.213159716384999</c:v>
                  </c:pt>
                  <c:pt idx="8">
                    <c:v>0.199927365920726</c:v>
                  </c:pt>
                  <c:pt idx="9">
                    <c:v>0.112429473081276</c:v>
                  </c:pt>
                  <c:pt idx="10">
                    <c:v>0.490068711436807</c:v>
                  </c:pt>
                  <c:pt idx="11">
                    <c:v>0.794781535266977</c:v>
                  </c:pt>
                  <c:pt idx="12">
                    <c:v>0.10291061182081</c:v>
                  </c:pt>
                  <c:pt idx="13">
                    <c:v>0.230856237065408</c:v>
                  </c:pt>
                  <c:pt idx="14">
                    <c:v>0.0805667998702526</c:v>
                  </c:pt>
                  <c:pt idx="15">
                    <c:v>0.102910611820809</c:v>
                  </c:pt>
                  <c:pt idx="16">
                    <c:v>0.056214736540638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0.0146706578298316</c:v>
                  </c:pt>
                  <c:pt idx="2">
                    <c:v>0.0369665830356734</c:v>
                  </c:pt>
                  <c:pt idx="3">
                    <c:v>0.0489021927661055</c:v>
                  </c:pt>
                  <c:pt idx="4">
                    <c:v>0.0978043855322107</c:v>
                  </c:pt>
                  <c:pt idx="5">
                    <c:v>0.0489021927661055</c:v>
                  </c:pt>
                  <c:pt idx="6">
                    <c:v>0.176319363500817</c:v>
                  </c:pt>
                  <c:pt idx="7">
                    <c:v>0.213159716384999</c:v>
                  </c:pt>
                  <c:pt idx="8">
                    <c:v>0.199927365920726</c:v>
                  </c:pt>
                  <c:pt idx="9">
                    <c:v>0.112429473081276</c:v>
                  </c:pt>
                  <c:pt idx="10">
                    <c:v>0.490068711436807</c:v>
                  </c:pt>
                  <c:pt idx="11">
                    <c:v>0.794781535266977</c:v>
                  </c:pt>
                  <c:pt idx="12">
                    <c:v>0.10291061182081</c:v>
                  </c:pt>
                  <c:pt idx="13">
                    <c:v>0.230856237065408</c:v>
                  </c:pt>
                  <c:pt idx="14">
                    <c:v>0.0805667998702526</c:v>
                  </c:pt>
                  <c:pt idx="15">
                    <c:v>0.102910611820809</c:v>
                  </c:pt>
                  <c:pt idx="16">
                    <c:v>0.056214736540638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0.3547603</c:v>
                </c:pt>
                <c:pt idx="1">
                  <c:v>0.7351318</c:v>
                </c:pt>
                <c:pt idx="2">
                  <c:v>1.189238333333333</c:v>
                </c:pt>
                <c:pt idx="3">
                  <c:v>2.288385666666666</c:v>
                </c:pt>
                <c:pt idx="4">
                  <c:v>2.976071333333334</c:v>
                </c:pt>
                <c:pt idx="5">
                  <c:v>3.616351333333333</c:v>
                </c:pt>
                <c:pt idx="6">
                  <c:v>4.768855333333334</c:v>
                </c:pt>
                <c:pt idx="7">
                  <c:v>5.441149333333333</c:v>
                </c:pt>
                <c:pt idx="8">
                  <c:v>6.550968</c:v>
                </c:pt>
                <c:pt idx="9">
                  <c:v>7.500716666666667</c:v>
                </c:pt>
                <c:pt idx="10">
                  <c:v>8.653220666666667</c:v>
                </c:pt>
                <c:pt idx="11">
                  <c:v>9.090745333333336</c:v>
                </c:pt>
                <c:pt idx="12">
                  <c:v>7.628772666666668</c:v>
                </c:pt>
                <c:pt idx="13">
                  <c:v>7.031178000000001</c:v>
                </c:pt>
                <c:pt idx="14">
                  <c:v>2.730630666666667</c:v>
                </c:pt>
                <c:pt idx="15">
                  <c:v>2.912043333333334</c:v>
                </c:pt>
                <c:pt idx="16">
                  <c:v>2.405770333333333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584888"/>
        <c:axId val="-2092829816"/>
      </c:scatterChart>
      <c:valAx>
        <c:axId val="-2091637272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76380584"/>
        <c:crosses val="autoZero"/>
        <c:crossBetween val="midCat"/>
        <c:majorUnit val="6.0"/>
      </c:valAx>
      <c:valAx>
        <c:axId val="-207638058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91637272"/>
        <c:crosses val="autoZero"/>
        <c:crossBetween val="midCat"/>
      </c:valAx>
      <c:valAx>
        <c:axId val="-2092829816"/>
        <c:scaling>
          <c:orientation val="minMax"/>
          <c:max val="9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07584888"/>
        <c:crosses val="max"/>
        <c:crossBetween val="midCat"/>
        <c:majorUnit val="1.0"/>
        <c:minorUnit val="0.2"/>
      </c:valAx>
      <c:valAx>
        <c:axId val="-21075848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-209282981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22</xdr:col>
      <xdr:colOff>152400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7" sqref="C7"/>
    </sheetView>
  </sheetViews>
  <sheetFormatPr baseColWidth="10" defaultColWidth="8.83203125" defaultRowHeight="14" x14ac:dyDescent="0"/>
  <cols>
    <col min="1" max="1" width="22.5" style="2" bestFit="1" customWidth="1"/>
    <col min="2" max="2" width="13.6640625" style="2" bestFit="1" customWidth="1"/>
    <col min="3" max="3" width="26.5" style="2" bestFit="1" customWidth="1"/>
    <col min="4" max="16384" width="8.83203125" style="2"/>
  </cols>
  <sheetData>
    <row r="1" spans="1:3">
      <c r="A1" s="121" t="s">
        <v>0</v>
      </c>
      <c r="B1" s="122"/>
      <c r="C1" s="34">
        <v>42326</v>
      </c>
    </row>
    <row r="2" spans="1:3" ht="16">
      <c r="A2" s="121" t="s">
        <v>1</v>
      </c>
      <c r="B2" s="123"/>
      <c r="C2" s="32" t="s">
        <v>117</v>
      </c>
    </row>
    <row r="3" spans="1:3">
      <c r="A3" s="11"/>
      <c r="B3" s="11"/>
      <c r="C3" s="10"/>
    </row>
    <row r="4" spans="1:3">
      <c r="A4" s="124" t="s">
        <v>48</v>
      </c>
      <c r="B4" s="124"/>
      <c r="C4" s="7" t="s">
        <v>95</v>
      </c>
    </row>
    <row r="6" spans="1:3">
      <c r="A6" s="41" t="s">
        <v>82</v>
      </c>
      <c r="B6" s="41" t="s">
        <v>83</v>
      </c>
      <c r="C6" s="41" t="s">
        <v>68</v>
      </c>
    </row>
    <row r="7" spans="1:3">
      <c r="A7" s="37" t="s">
        <v>84</v>
      </c>
      <c r="B7" s="75">
        <v>6.5</v>
      </c>
      <c r="C7" s="37" t="s">
        <v>91</v>
      </c>
    </row>
    <row r="8" spans="1:3">
      <c r="A8" s="37" t="s">
        <v>85</v>
      </c>
      <c r="B8" s="75">
        <v>5</v>
      </c>
      <c r="C8" s="37" t="s">
        <v>91</v>
      </c>
    </row>
    <row r="9" spans="1:3">
      <c r="A9" s="37" t="s">
        <v>86</v>
      </c>
      <c r="B9" s="75">
        <v>2.5</v>
      </c>
      <c r="C9" s="37" t="s">
        <v>91</v>
      </c>
    </row>
    <row r="10" spans="1:3">
      <c r="A10" s="37" t="s">
        <v>87</v>
      </c>
      <c r="B10" s="75">
        <v>3</v>
      </c>
      <c r="C10" s="37" t="s">
        <v>91</v>
      </c>
    </row>
    <row r="11" spans="1:3">
      <c r="A11" s="29" t="s">
        <v>88</v>
      </c>
      <c r="B11" s="76">
        <v>6.8</v>
      </c>
      <c r="C11" s="29" t="s">
        <v>91</v>
      </c>
    </row>
    <row r="12" spans="1:3">
      <c r="A12" s="37" t="s">
        <v>72</v>
      </c>
      <c r="B12" s="75">
        <v>1.5</v>
      </c>
      <c r="C12" s="37" t="s">
        <v>91</v>
      </c>
    </row>
    <row r="13" spans="1:3" ht="16">
      <c r="A13" s="40" t="s">
        <v>76</v>
      </c>
      <c r="B13" s="75">
        <v>1</v>
      </c>
      <c r="C13" s="37" t="s">
        <v>91</v>
      </c>
    </row>
    <row r="14" spans="1:3" ht="16">
      <c r="A14" s="10" t="s">
        <v>75</v>
      </c>
      <c r="B14" s="75">
        <v>1</v>
      </c>
      <c r="C14" s="37" t="s">
        <v>91</v>
      </c>
    </row>
    <row r="15" spans="1:3" ht="16">
      <c r="A15" s="68" t="s">
        <v>141</v>
      </c>
      <c r="B15" s="68">
        <v>2</v>
      </c>
      <c r="C15" s="68" t="s">
        <v>91</v>
      </c>
    </row>
    <row r="16" spans="1:3" ht="16">
      <c r="A16" s="37" t="s">
        <v>96</v>
      </c>
      <c r="B16" s="75">
        <v>1</v>
      </c>
      <c r="C16" s="37" t="s">
        <v>91</v>
      </c>
    </row>
    <row r="17" spans="1:3" ht="16">
      <c r="A17" s="37" t="s">
        <v>97</v>
      </c>
      <c r="B17" s="75">
        <v>1</v>
      </c>
      <c r="C17" s="37" t="s">
        <v>91</v>
      </c>
    </row>
    <row r="18" spans="1:3" ht="16">
      <c r="A18" s="37" t="s">
        <v>98</v>
      </c>
      <c r="B18" s="75">
        <v>0.4</v>
      </c>
      <c r="C18" s="37" t="s">
        <v>91</v>
      </c>
    </row>
    <row r="19" spans="1:3" ht="16">
      <c r="A19" s="37" t="s">
        <v>74</v>
      </c>
      <c r="B19" s="75">
        <v>0.2</v>
      </c>
      <c r="C19" s="37" t="s">
        <v>91</v>
      </c>
    </row>
    <row r="20" spans="1:3" ht="16">
      <c r="A20" s="37" t="s">
        <v>99</v>
      </c>
      <c r="B20" s="75">
        <v>0.1</v>
      </c>
      <c r="C20" s="37" t="s">
        <v>91</v>
      </c>
    </row>
    <row r="21" spans="1:3" ht="16">
      <c r="A21" s="37" t="s">
        <v>100</v>
      </c>
      <c r="B21" s="37">
        <v>0.05</v>
      </c>
      <c r="C21" s="37" t="s">
        <v>91</v>
      </c>
    </row>
    <row r="22" spans="1:3" ht="16">
      <c r="A22" s="37" t="s">
        <v>101</v>
      </c>
      <c r="B22" s="37">
        <v>5.0000000000000001E-3</v>
      </c>
      <c r="C22" s="37" t="s">
        <v>91</v>
      </c>
    </row>
    <row r="23" spans="1:3" ht="16">
      <c r="A23" s="37" t="s">
        <v>102</v>
      </c>
      <c r="B23" s="37">
        <v>5.0000000000000001E-3</v>
      </c>
      <c r="C23" s="37" t="s">
        <v>91</v>
      </c>
    </row>
    <row r="24" spans="1:3">
      <c r="A24" s="37" t="s">
        <v>89</v>
      </c>
      <c r="B24" s="37">
        <v>5.0000000000000001E-3</v>
      </c>
      <c r="C24" s="37" t="s">
        <v>91</v>
      </c>
    </row>
    <row r="25" spans="1:3">
      <c r="A25" s="37" t="s">
        <v>90</v>
      </c>
      <c r="B25" s="37">
        <v>5.0000000000000001E-3</v>
      </c>
      <c r="C25" s="37" t="s">
        <v>91</v>
      </c>
    </row>
    <row r="26" spans="1:3">
      <c r="A26" s="37" t="s">
        <v>73</v>
      </c>
      <c r="B26" s="37">
        <v>1E-3</v>
      </c>
      <c r="C26" s="37" t="s">
        <v>136</v>
      </c>
    </row>
    <row r="27" spans="1:3">
      <c r="A27" s="37" t="s">
        <v>92</v>
      </c>
      <c r="B27" s="37" t="s">
        <v>91</v>
      </c>
      <c r="C27" s="37" t="s">
        <v>93</v>
      </c>
    </row>
    <row r="28" spans="1:3">
      <c r="A28" s="37" t="s">
        <v>94</v>
      </c>
      <c r="B28" s="37" t="s">
        <v>91</v>
      </c>
      <c r="C28" s="37" t="s">
        <v>93</v>
      </c>
    </row>
    <row r="29" spans="1:3">
      <c r="A29" s="29" t="s">
        <v>132</v>
      </c>
      <c r="B29" s="76">
        <v>9</v>
      </c>
      <c r="C29" s="29" t="s">
        <v>142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G152"/>
  <sheetViews>
    <sheetView zoomScale="98" zoomScaleNormal="98" zoomScalePageLayoutView="98" workbookViewId="0">
      <selection activeCell="B5" sqref="B5:B101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7">
      <c r="A1" s="8" t="s">
        <v>49</v>
      </c>
      <c r="B1" s="12">
        <v>70.099999999999994</v>
      </c>
      <c r="C1" s="9" t="s">
        <v>50</v>
      </c>
    </row>
    <row r="3" spans="1:7">
      <c r="A3" s="124" t="s">
        <v>5</v>
      </c>
      <c r="B3" s="124" t="s">
        <v>36</v>
      </c>
      <c r="C3" s="124"/>
      <c r="D3" s="124" t="s">
        <v>51</v>
      </c>
      <c r="E3" s="124"/>
      <c r="F3" s="124"/>
      <c r="G3" s="8" t="s">
        <v>52</v>
      </c>
    </row>
    <row r="4" spans="1:7">
      <c r="A4" s="124"/>
      <c r="B4" s="8" t="s">
        <v>53</v>
      </c>
      <c r="C4" s="8" t="s">
        <v>54</v>
      </c>
      <c r="D4" s="8" t="s">
        <v>55</v>
      </c>
      <c r="E4" s="8" t="s">
        <v>56</v>
      </c>
      <c r="F4" s="8" t="s">
        <v>57</v>
      </c>
      <c r="G4" s="8" t="s">
        <v>58</v>
      </c>
    </row>
    <row r="5" spans="1:7">
      <c r="A5" s="35">
        <v>0</v>
      </c>
      <c r="B5" s="40">
        <v>0</v>
      </c>
      <c r="C5" s="36">
        <f t="shared" ref="C5:C36" si="0"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</row>
    <row r="6" spans="1:7">
      <c r="A6" s="35">
        <v>0.5</v>
      </c>
      <c r="B6" s="40">
        <v>2449.69</v>
      </c>
      <c r="C6" s="36">
        <f t="shared" si="0"/>
        <v>2.4496899999999999</v>
      </c>
      <c r="D6" s="12">
        <f t="shared" ref="D6:D69" si="1">C6/1000*$B$1</f>
        <v>0.17172326899999998</v>
      </c>
      <c r="E6" s="12">
        <f t="shared" ref="E6:E69" si="2">D6/22.4</f>
        <v>7.6662173660714287E-3</v>
      </c>
      <c r="F6" s="12">
        <f>E6/Calculation!K$4*1000</f>
        <v>5.2327882504365529E-3</v>
      </c>
      <c r="G6" s="12">
        <f>G5+(F6+F5)/2*30</f>
        <v>7.8491823756548298E-2</v>
      </c>
    </row>
    <row r="7" spans="1:7">
      <c r="A7" s="35">
        <v>1</v>
      </c>
      <c r="B7" s="40">
        <v>3269.18</v>
      </c>
      <c r="C7" s="36">
        <f t="shared" si="0"/>
        <v>3.26918</v>
      </c>
      <c r="D7" s="12">
        <f t="shared" si="1"/>
        <v>0.22916951799999999</v>
      </c>
      <c r="E7" s="12">
        <f t="shared" si="2"/>
        <v>1.0230782053571429E-2</v>
      </c>
      <c r="F7" s="12">
        <f>E7/Calculation!K$4*1000</f>
        <v>6.983302659749671E-3</v>
      </c>
      <c r="G7" s="12">
        <f>G6+(F7+F6)/2*30</f>
        <v>0.26173318740934165</v>
      </c>
    </row>
    <row r="8" spans="1:7">
      <c r="A8" s="35">
        <v>1.5</v>
      </c>
      <c r="B8" s="40">
        <v>4030.99</v>
      </c>
      <c r="C8" s="36">
        <f t="shared" si="0"/>
        <v>4.0309900000000001</v>
      </c>
      <c r="D8" s="12">
        <f t="shared" si="1"/>
        <v>0.28257239899999997</v>
      </c>
      <c r="E8" s="12">
        <f t="shared" si="2"/>
        <v>1.2614839241071428E-2</v>
      </c>
      <c r="F8" s="12">
        <f>E8/Calculation!K$4*1000</f>
        <v>8.6106066929396118E-3</v>
      </c>
      <c r="G8" s="12">
        <f t="shared" ref="G8:G70" si="3">G7+(F8+F7)/2*30</f>
        <v>0.4956418276996809</v>
      </c>
    </row>
    <row r="9" spans="1:7">
      <c r="A9" s="35">
        <v>2</v>
      </c>
      <c r="B9" s="40">
        <v>5301.68</v>
      </c>
      <c r="C9" s="36">
        <f t="shared" si="0"/>
        <v>5.3016800000000002</v>
      </c>
      <c r="D9" s="12">
        <f t="shared" si="1"/>
        <v>0.37164776799999999</v>
      </c>
      <c r="E9" s="12">
        <f t="shared" si="2"/>
        <v>1.6591418214285714E-2</v>
      </c>
      <c r="F9" s="12">
        <f>E9/Calculation!K$5*1000</f>
        <v>1.1715720277168409E-2</v>
      </c>
      <c r="G9" s="12">
        <f t="shared" si="3"/>
        <v>0.80053673225130129</v>
      </c>
    </row>
    <row r="10" spans="1:7">
      <c r="A10" s="35">
        <v>2.5</v>
      </c>
      <c r="B10" s="40">
        <v>7308.29</v>
      </c>
      <c r="C10" s="36">
        <f t="shared" si="0"/>
        <v>7.3082900000000004</v>
      </c>
      <c r="D10" s="12">
        <f t="shared" si="1"/>
        <v>0.51231112899999998</v>
      </c>
      <c r="E10" s="12">
        <f t="shared" si="2"/>
        <v>2.2871032544642858E-2</v>
      </c>
      <c r="F10" s="12">
        <f>E10/Calculation!K$5*1000</f>
        <v>1.6149952721482081E-2</v>
      </c>
      <c r="G10" s="12">
        <f t="shared" si="3"/>
        <v>1.2185218272310587</v>
      </c>
    </row>
    <row r="11" spans="1:7">
      <c r="A11" s="35">
        <v>3</v>
      </c>
      <c r="B11" s="40">
        <v>9657.82</v>
      </c>
      <c r="C11" s="36">
        <f t="shared" si="0"/>
        <v>9.6578199999999992</v>
      </c>
      <c r="D11" s="12">
        <f t="shared" si="1"/>
        <v>0.67701318199999994</v>
      </c>
      <c r="E11" s="12">
        <f t="shared" si="2"/>
        <v>3.0223802767857143E-2</v>
      </c>
      <c r="F11" s="12">
        <f>E11/Calculation!K$5*1000</f>
        <v>2.1341974168045334E-2</v>
      </c>
      <c r="G11" s="12">
        <f t="shared" si="3"/>
        <v>1.7809007305739701</v>
      </c>
    </row>
    <row r="12" spans="1:7">
      <c r="A12" s="35">
        <v>3.5</v>
      </c>
      <c r="B12" s="40">
        <v>11595.75</v>
      </c>
      <c r="C12" s="36">
        <f t="shared" si="0"/>
        <v>11.595750000000001</v>
      </c>
      <c r="D12" s="12">
        <f t="shared" si="1"/>
        <v>0.81286207499999996</v>
      </c>
      <c r="E12" s="12">
        <f t="shared" si="2"/>
        <v>3.6288485491071429E-2</v>
      </c>
      <c r="F12" s="12">
        <f>E12/Calculation!K$6*1000</f>
        <v>2.66351887372103E-2</v>
      </c>
      <c r="G12" s="12">
        <f t="shared" si="3"/>
        <v>2.5005581741528049</v>
      </c>
    </row>
    <row r="13" spans="1:7">
      <c r="A13" s="35">
        <v>4</v>
      </c>
      <c r="B13" s="40">
        <v>14276.53</v>
      </c>
      <c r="C13" s="36">
        <f t="shared" si="0"/>
        <v>14.276530000000001</v>
      </c>
      <c r="D13" s="12">
        <f t="shared" si="1"/>
        <v>1.000784753</v>
      </c>
      <c r="E13" s="12">
        <f t="shared" si="2"/>
        <v>4.4677890758928578E-2</v>
      </c>
      <c r="F13" s="12">
        <f>E13/Calculation!K$6*1000</f>
        <v>3.2792882828833407E-2</v>
      </c>
      <c r="G13" s="12">
        <f t="shared" si="3"/>
        <v>3.3919792476434605</v>
      </c>
    </row>
    <row r="14" spans="1:7">
      <c r="A14" s="35">
        <v>4.5</v>
      </c>
      <c r="B14" s="40">
        <v>17703.72</v>
      </c>
      <c r="C14" s="36">
        <f t="shared" si="0"/>
        <v>17.703720000000001</v>
      </c>
      <c r="D14" s="12">
        <f t="shared" si="1"/>
        <v>1.2410307719999998</v>
      </c>
      <c r="E14" s="12">
        <f t="shared" si="2"/>
        <v>5.5403159464285708E-2</v>
      </c>
      <c r="F14" s="12">
        <f>E14/Calculation!K$6*1000</f>
        <v>4.0665064661684208E-2</v>
      </c>
      <c r="G14" s="12">
        <f t="shared" si="3"/>
        <v>4.4938484600012245</v>
      </c>
    </row>
    <row r="15" spans="1:7">
      <c r="A15" s="35">
        <v>5</v>
      </c>
      <c r="B15" s="40">
        <v>21296.71</v>
      </c>
      <c r="C15" s="36">
        <f t="shared" si="0"/>
        <v>21.296709999999997</v>
      </c>
      <c r="D15" s="12">
        <f t="shared" si="1"/>
        <v>1.4928993709999996</v>
      </c>
      <c r="E15" s="12">
        <f t="shared" si="2"/>
        <v>6.6647293348214273E-2</v>
      </c>
      <c r="F15" s="12">
        <f>E15/Calculation!K$7*1000</f>
        <v>5.1150089436759943E-2</v>
      </c>
      <c r="G15" s="12">
        <f t="shared" si="3"/>
        <v>5.8710757714778872</v>
      </c>
    </row>
    <row r="16" spans="1:7">
      <c r="A16" s="35">
        <v>5.5</v>
      </c>
      <c r="B16" s="40">
        <v>24192.86</v>
      </c>
      <c r="C16" s="36">
        <f t="shared" si="0"/>
        <v>24.19286</v>
      </c>
      <c r="D16" s="12">
        <f t="shared" si="1"/>
        <v>1.695919486</v>
      </c>
      <c r="E16" s="12">
        <f t="shared" si="2"/>
        <v>7.5710691339285721E-2</v>
      </c>
      <c r="F16" s="12">
        <f>E16/Calculation!K$7*1000</f>
        <v>5.8106015094867354E-2</v>
      </c>
      <c r="G16" s="12">
        <f t="shared" si="3"/>
        <v>7.5099173394522962</v>
      </c>
    </row>
    <row r="17" spans="1:7">
      <c r="A17" s="35">
        <v>6</v>
      </c>
      <c r="B17" s="40">
        <v>26090.01</v>
      </c>
      <c r="C17" s="36">
        <f t="shared" si="0"/>
        <v>26.090009999999999</v>
      </c>
      <c r="D17" s="12">
        <f t="shared" si="1"/>
        <v>1.8289097009999999</v>
      </c>
      <c r="E17" s="12">
        <f t="shared" si="2"/>
        <v>8.1647754508928569E-2</v>
      </c>
      <c r="F17" s="12">
        <f>E17/Calculation!K$8*1000</f>
        <v>6.5178929383069628E-2</v>
      </c>
      <c r="G17" s="12">
        <f t="shared" si="3"/>
        <v>9.3591915066213502</v>
      </c>
    </row>
    <row r="18" spans="1:7">
      <c r="A18" s="35">
        <v>6.5</v>
      </c>
      <c r="B18" s="40">
        <v>28542.91</v>
      </c>
      <c r="C18" s="36">
        <f t="shared" si="0"/>
        <v>28.542909999999999</v>
      </c>
      <c r="D18" s="12">
        <f t="shared" si="1"/>
        <v>2.0008579909999997</v>
      </c>
      <c r="E18" s="12">
        <f t="shared" si="2"/>
        <v>8.9324017455357133E-2</v>
      </c>
      <c r="F18" s="12">
        <f>E18/Calculation!K$8*1000</f>
        <v>7.1306845619350537E-2</v>
      </c>
      <c r="G18" s="12">
        <f t="shared" si="3"/>
        <v>11.406478131657654</v>
      </c>
    </row>
    <row r="19" spans="1:7">
      <c r="A19" s="35">
        <v>7</v>
      </c>
      <c r="B19" s="40">
        <v>30581.16</v>
      </c>
      <c r="C19" s="36">
        <f t="shared" si="0"/>
        <v>30.581160000000001</v>
      </c>
      <c r="D19" s="12">
        <f t="shared" si="1"/>
        <v>2.143739316</v>
      </c>
      <c r="E19" s="12">
        <f t="shared" si="2"/>
        <v>9.5702648035714294E-2</v>
      </c>
      <c r="F19" s="12">
        <f>E19/Calculation!K$8*1000</f>
        <v>7.6398869455870419E-2</v>
      </c>
      <c r="G19" s="12">
        <f t="shared" si="3"/>
        <v>13.622063857785967</v>
      </c>
    </row>
    <row r="20" spans="1:7">
      <c r="A20" s="35">
        <v>7.5</v>
      </c>
      <c r="B20" s="40">
        <v>31973.49</v>
      </c>
      <c r="C20" s="36">
        <f t="shared" si="0"/>
        <v>31.973490000000002</v>
      </c>
      <c r="D20" s="12">
        <f t="shared" si="1"/>
        <v>2.2413416489999998</v>
      </c>
      <c r="E20" s="12">
        <f t="shared" si="2"/>
        <v>0.10005989504464285</v>
      </c>
      <c r="F20" s="12">
        <f>E20/Calculation!K$9*1000</f>
        <v>8.3481211444782794E-2</v>
      </c>
      <c r="G20" s="12">
        <f t="shared" si="3"/>
        <v>16.020265071295764</v>
      </c>
    </row>
    <row r="21" spans="1:7">
      <c r="A21" s="35">
        <v>8</v>
      </c>
      <c r="B21" s="40">
        <v>32821.910000000003</v>
      </c>
      <c r="C21" s="36">
        <f t="shared" si="0"/>
        <v>32.821910000000003</v>
      </c>
      <c r="D21" s="12">
        <f t="shared" si="1"/>
        <v>2.3008158910000001</v>
      </c>
      <c r="E21" s="12">
        <f t="shared" si="2"/>
        <v>0.10271499513392858</v>
      </c>
      <c r="F21" s="12">
        <f>E21/Calculation!K$9*1000</f>
        <v>8.5696394379582305E-2</v>
      </c>
      <c r="G21" s="12">
        <f t="shared" si="3"/>
        <v>18.557929158661238</v>
      </c>
    </row>
    <row r="22" spans="1:7">
      <c r="A22" s="35">
        <v>8.5</v>
      </c>
      <c r="B22" s="40">
        <v>26418.720000000001</v>
      </c>
      <c r="C22" s="36">
        <f t="shared" si="0"/>
        <v>26.41872</v>
      </c>
      <c r="D22" s="12">
        <f t="shared" si="1"/>
        <v>1.8519522719999999</v>
      </c>
      <c r="E22" s="12">
        <f t="shared" si="2"/>
        <v>8.2676440714285718E-2</v>
      </c>
      <c r="F22" s="12">
        <f>E22/Calculation!K$9*1000</f>
        <v>6.8977979895860991E-2</v>
      </c>
      <c r="G22" s="12">
        <f t="shared" si="3"/>
        <v>20.878044772792887</v>
      </c>
    </row>
    <row r="23" spans="1:7">
      <c r="A23" s="35">
        <v>9</v>
      </c>
      <c r="B23" s="40">
        <v>34365.82</v>
      </c>
      <c r="C23" s="36">
        <f t="shared" si="0"/>
        <v>34.365819999999999</v>
      </c>
      <c r="D23" s="12">
        <f t="shared" si="1"/>
        <v>2.4090439819999996</v>
      </c>
      <c r="E23" s="12">
        <f t="shared" si="2"/>
        <v>0.1075466063392857</v>
      </c>
      <c r="F23" s="12">
        <f>E23/Calculation!K$10*1000</f>
        <v>9.4514991618291702E-2</v>
      </c>
      <c r="G23" s="12">
        <f t="shared" si="3"/>
        <v>23.330439345505177</v>
      </c>
    </row>
    <row r="24" spans="1:7">
      <c r="A24" s="35">
        <v>9.5</v>
      </c>
      <c r="B24" s="40">
        <v>34486.449999999997</v>
      </c>
      <c r="C24" s="36">
        <f t="shared" si="0"/>
        <v>34.486449999999998</v>
      </c>
      <c r="D24" s="12">
        <f t="shared" si="1"/>
        <v>2.4175001449999995</v>
      </c>
      <c r="E24" s="12">
        <f t="shared" si="2"/>
        <v>0.10792411361607142</v>
      </c>
      <c r="F24" s="12">
        <f>E24/Calculation!K$10*1000</f>
        <v>9.4846755662883531E-2</v>
      </c>
      <c r="G24" s="12">
        <f t="shared" si="3"/>
        <v>26.170865554722806</v>
      </c>
    </row>
    <row r="25" spans="1:7">
      <c r="A25" s="35">
        <v>10</v>
      </c>
      <c r="B25" s="40">
        <v>35576.959999999999</v>
      </c>
      <c r="C25" s="36">
        <f t="shared" si="0"/>
        <v>35.57696</v>
      </c>
      <c r="D25" s="12">
        <f t="shared" si="1"/>
        <v>2.4939448959999995</v>
      </c>
      <c r="E25" s="12">
        <f t="shared" si="2"/>
        <v>0.1113368257142857</v>
      </c>
      <c r="F25" s="12">
        <f>E25/Calculation!K$11*1000</f>
        <v>0.10185745259294197</v>
      </c>
      <c r="G25" s="12">
        <f t="shared" si="3"/>
        <v>29.121428678560189</v>
      </c>
    </row>
    <row r="26" spans="1:7">
      <c r="A26" s="35">
        <v>10.5</v>
      </c>
      <c r="B26" s="40">
        <v>37314.92</v>
      </c>
      <c r="C26" s="36">
        <f t="shared" si="0"/>
        <v>37.314920000000001</v>
      </c>
      <c r="D26" s="12">
        <f t="shared" si="1"/>
        <v>2.6157758919999998</v>
      </c>
      <c r="E26" s="12">
        <f t="shared" si="2"/>
        <v>0.11677570946428571</v>
      </c>
      <c r="F26" s="12">
        <f>E26/Calculation!K$11*1000</f>
        <v>0.10683326217050089</v>
      </c>
      <c r="G26" s="12">
        <f t="shared" si="3"/>
        <v>32.25178940001183</v>
      </c>
    </row>
    <row r="27" spans="1:7">
      <c r="A27" s="35">
        <v>11</v>
      </c>
      <c r="B27" s="40">
        <v>39750.74</v>
      </c>
      <c r="C27" s="36">
        <f t="shared" si="0"/>
        <v>39.75074</v>
      </c>
      <c r="D27" s="12">
        <f t="shared" si="1"/>
        <v>2.7865268739999998</v>
      </c>
      <c r="E27" s="12">
        <f t="shared" si="2"/>
        <v>0.12439852116071429</v>
      </c>
      <c r="F27" s="12">
        <f>E27/Calculation!K$11*1000</f>
        <v>0.11380705701342562</v>
      </c>
      <c r="G27" s="12">
        <f t="shared" si="3"/>
        <v>35.56139418777073</v>
      </c>
    </row>
    <row r="28" spans="1:7">
      <c r="A28" s="35">
        <v>11.5</v>
      </c>
      <c r="B28" s="40">
        <v>41241.019999999997</v>
      </c>
      <c r="C28" s="36">
        <f t="shared" si="0"/>
        <v>41.241019999999999</v>
      </c>
      <c r="D28" s="12">
        <f t="shared" si="1"/>
        <v>2.8909955019999996</v>
      </c>
      <c r="E28" s="12">
        <f t="shared" si="2"/>
        <v>0.12906229919642856</v>
      </c>
      <c r="F28" s="12">
        <f>E28/Calculation!K$12*1000</f>
        <v>0.12435779181402853</v>
      </c>
      <c r="G28" s="12">
        <f t="shared" si="3"/>
        <v>39.133866920182541</v>
      </c>
    </row>
    <row r="29" spans="1:7">
      <c r="A29" s="35">
        <v>12</v>
      </c>
      <c r="B29" s="40">
        <v>43204.83</v>
      </c>
      <c r="C29" s="36">
        <f t="shared" si="0"/>
        <v>43.204830000000001</v>
      </c>
      <c r="D29" s="12">
        <f t="shared" si="1"/>
        <v>3.0286585829999999</v>
      </c>
      <c r="E29" s="12">
        <f t="shared" si="2"/>
        <v>0.13520797245535715</v>
      </c>
      <c r="F29" s="12">
        <f>E29/Calculation!K$12*1000</f>
        <v>0.13027944639828246</v>
      </c>
      <c r="G29" s="12">
        <f t="shared" si="3"/>
        <v>42.953425493367206</v>
      </c>
    </row>
    <row r="30" spans="1:7">
      <c r="A30" s="35">
        <v>12.5</v>
      </c>
      <c r="B30" s="40">
        <v>44490.74</v>
      </c>
      <c r="C30" s="36">
        <f t="shared" si="0"/>
        <v>44.490739999999995</v>
      </c>
      <c r="D30" s="12">
        <f t="shared" si="1"/>
        <v>3.1188008739999993</v>
      </c>
      <c r="E30" s="12">
        <f t="shared" si="2"/>
        <v>0.13923218187499997</v>
      </c>
      <c r="F30" s="12">
        <f>E30/Calculation!K$12*1000</f>
        <v>0.13415696756705023</v>
      </c>
      <c r="G30" s="12">
        <f t="shared" si="3"/>
        <v>46.919971702847199</v>
      </c>
    </row>
    <row r="31" spans="1:7">
      <c r="A31" s="35">
        <v>13</v>
      </c>
      <c r="B31" s="40">
        <v>45909.13</v>
      </c>
      <c r="C31" s="36">
        <f t="shared" si="0"/>
        <v>45.909129999999998</v>
      </c>
      <c r="D31" s="12">
        <f t="shared" si="1"/>
        <v>3.2182300129999999</v>
      </c>
      <c r="E31" s="12">
        <f t="shared" si="2"/>
        <v>0.1436709827232143</v>
      </c>
      <c r="F31" s="12">
        <f>E31/Calculation!K$13*1000</f>
        <v>0.14476930994919573</v>
      </c>
      <c r="G31" s="12">
        <f t="shared" si="3"/>
        <v>51.10386586559089</v>
      </c>
    </row>
    <row r="32" spans="1:7">
      <c r="A32" s="35">
        <v>13.5</v>
      </c>
      <c r="B32" s="40">
        <v>45506.65</v>
      </c>
      <c r="C32" s="36">
        <f t="shared" si="0"/>
        <v>45.50665</v>
      </c>
      <c r="D32" s="12">
        <f t="shared" si="1"/>
        <v>3.1900161649999998</v>
      </c>
      <c r="E32" s="12">
        <f t="shared" si="2"/>
        <v>0.1424114359375</v>
      </c>
      <c r="F32" s="12">
        <f>E32/Calculation!K$13*1000</f>
        <v>0.14350013425650993</v>
      </c>
      <c r="G32" s="12">
        <f t="shared" si="3"/>
        <v>55.427907528676478</v>
      </c>
    </row>
    <row r="33" spans="1:7">
      <c r="A33" s="35">
        <v>14</v>
      </c>
      <c r="B33" s="40">
        <v>45464.87</v>
      </c>
      <c r="C33" s="36">
        <f t="shared" si="0"/>
        <v>45.464870000000005</v>
      </c>
      <c r="D33" s="12">
        <f t="shared" si="1"/>
        <v>3.187087387</v>
      </c>
      <c r="E33" s="12">
        <f t="shared" si="2"/>
        <v>0.14228068691964288</v>
      </c>
      <c r="F33" s="12">
        <f>E33/Calculation!K$14*1000</f>
        <v>0.15084465120826079</v>
      </c>
      <c r="G33" s="12">
        <f t="shared" si="3"/>
        <v>59.843079310648037</v>
      </c>
    </row>
    <row r="34" spans="1:7">
      <c r="A34" s="35">
        <v>14.5</v>
      </c>
      <c r="B34" s="40">
        <v>45766</v>
      </c>
      <c r="C34" s="36">
        <f t="shared" si="0"/>
        <v>45.765999999999998</v>
      </c>
      <c r="D34" s="12">
        <f t="shared" si="1"/>
        <v>3.2081966</v>
      </c>
      <c r="E34" s="12">
        <f t="shared" si="2"/>
        <v>0.1432230625</v>
      </c>
      <c r="F34" s="12">
        <f>E34/Calculation!K$14*1000</f>
        <v>0.15184374896919892</v>
      </c>
      <c r="G34" s="12">
        <f t="shared" si="3"/>
        <v>64.383405313309936</v>
      </c>
    </row>
    <row r="35" spans="1:7">
      <c r="A35" s="35">
        <v>15</v>
      </c>
      <c r="B35" s="40">
        <v>44560.95</v>
      </c>
      <c r="C35" s="36">
        <f t="shared" si="0"/>
        <v>44.560949999999998</v>
      </c>
      <c r="D35" s="12">
        <f t="shared" si="1"/>
        <v>3.1237225949999994</v>
      </c>
      <c r="E35" s="12">
        <f t="shared" si="2"/>
        <v>0.13945190156249998</v>
      </c>
      <c r="F35" s="12">
        <f>E35/Calculation!K$14*1000</f>
        <v>0.14784559947622741</v>
      </c>
      <c r="G35" s="12">
        <f t="shared" si="3"/>
        <v>68.878745539991328</v>
      </c>
    </row>
    <row r="36" spans="1:7">
      <c r="A36" s="35">
        <v>15.5</v>
      </c>
      <c r="B36" s="40">
        <v>40390.9</v>
      </c>
      <c r="C36" s="36">
        <f t="shared" si="0"/>
        <v>40.390900000000002</v>
      </c>
      <c r="D36" s="12">
        <f t="shared" si="1"/>
        <v>2.8314020899999996</v>
      </c>
      <c r="E36" s="12">
        <f t="shared" si="2"/>
        <v>0.12640187901785713</v>
      </c>
      <c r="F36" s="12">
        <f>E36/Calculation!K$15*1000</f>
        <v>0.1415192738001185</v>
      </c>
      <c r="G36" s="12">
        <f t="shared" si="3"/>
        <v>73.219218639136514</v>
      </c>
    </row>
    <row r="37" spans="1:7">
      <c r="A37" s="35">
        <v>16</v>
      </c>
      <c r="B37" s="40">
        <v>33420.46</v>
      </c>
      <c r="C37" s="36">
        <f t="shared" ref="C37:C68" si="4">B37/1000</f>
        <v>33.420459999999999</v>
      </c>
      <c r="D37" s="12">
        <f t="shared" si="1"/>
        <v>2.3427742459999998</v>
      </c>
      <c r="E37" s="12">
        <f t="shared" si="2"/>
        <v>0.10458813598214285</v>
      </c>
      <c r="F37" s="12">
        <f>E37/Calculation!K$15*1000</f>
        <v>0.11709665368352545</v>
      </c>
      <c r="G37" s="12">
        <f t="shared" si="3"/>
        <v>77.098457551391178</v>
      </c>
    </row>
    <row r="38" spans="1:7">
      <c r="A38" s="35">
        <v>16.5</v>
      </c>
      <c r="B38" s="40">
        <v>27412.639999999999</v>
      </c>
      <c r="C38" s="36">
        <f t="shared" si="4"/>
        <v>27.41264</v>
      </c>
      <c r="D38" s="12">
        <f t="shared" si="1"/>
        <v>1.9216260639999998</v>
      </c>
      <c r="E38" s="12">
        <f t="shared" si="2"/>
        <v>8.5786877857142854E-2</v>
      </c>
      <c r="F38" s="12">
        <f>E38/Calculation!K$15*1000</f>
        <v>9.6046805239399985E-2</v>
      </c>
      <c r="G38" s="12">
        <f t="shared" si="3"/>
        <v>80.295609435235065</v>
      </c>
    </row>
    <row r="39" spans="1:7">
      <c r="A39" s="35">
        <v>17</v>
      </c>
      <c r="B39" s="40">
        <v>22873.27</v>
      </c>
      <c r="C39" s="36">
        <f t="shared" si="4"/>
        <v>22.873270000000002</v>
      </c>
      <c r="D39" s="12">
        <f t="shared" si="1"/>
        <v>1.6034162269999999</v>
      </c>
      <c r="E39" s="12">
        <f t="shared" si="2"/>
        <v>7.1581081562499996E-2</v>
      </c>
      <c r="F39" s="12">
        <f>E39/Calculation!K$16*1000</f>
        <v>8.4952362830520128E-2</v>
      </c>
      <c r="G39" s="12">
        <f t="shared" si="3"/>
        <v>83.010596956283862</v>
      </c>
    </row>
    <row r="40" spans="1:7">
      <c r="A40" s="35">
        <v>17.5</v>
      </c>
      <c r="B40" s="40">
        <v>18577.02</v>
      </c>
      <c r="C40" s="36">
        <f t="shared" si="4"/>
        <v>18.577020000000001</v>
      </c>
      <c r="D40" s="12">
        <f t="shared" si="1"/>
        <v>1.3022491019999998</v>
      </c>
      <c r="E40" s="12">
        <f t="shared" si="2"/>
        <v>5.8136120624999996E-2</v>
      </c>
      <c r="F40" s="12">
        <f>E40/Calculation!K$16*1000</f>
        <v>6.8995895355138503E-2</v>
      </c>
      <c r="G40" s="12">
        <f t="shared" si="3"/>
        <v>85.319820829068746</v>
      </c>
    </row>
    <row r="41" spans="1:7">
      <c r="A41" s="35">
        <v>18</v>
      </c>
      <c r="B41" s="40">
        <v>14882.19</v>
      </c>
      <c r="C41" s="36">
        <f t="shared" si="4"/>
        <v>14.882190000000001</v>
      </c>
      <c r="D41" s="12">
        <f t="shared" si="1"/>
        <v>1.043241519</v>
      </c>
      <c r="E41" s="12">
        <f t="shared" si="2"/>
        <v>4.6573282098214284E-2</v>
      </c>
      <c r="F41" s="12">
        <f>E41/Calculation!K$17*1000</f>
        <v>5.8376877041304433E-2</v>
      </c>
      <c r="G41" s="12">
        <f t="shared" si="3"/>
        <v>87.230412415015394</v>
      </c>
    </row>
    <row r="42" spans="1:7">
      <c r="A42" s="35">
        <v>18.5</v>
      </c>
      <c r="B42" s="40">
        <v>12187.02</v>
      </c>
      <c r="C42" s="36">
        <f t="shared" si="4"/>
        <v>12.18702</v>
      </c>
      <c r="D42" s="12">
        <f t="shared" si="1"/>
        <v>0.8543101019999999</v>
      </c>
      <c r="E42" s="12">
        <f t="shared" si="2"/>
        <v>3.8138843839285709E-2</v>
      </c>
      <c r="F42" s="12">
        <f>E42/Calculation!K$17*1000</f>
        <v>4.7804803462388128E-2</v>
      </c>
      <c r="G42" s="12">
        <f t="shared" si="3"/>
        <v>88.823137622570783</v>
      </c>
    </row>
    <row r="43" spans="1:7">
      <c r="A43" s="35">
        <v>19</v>
      </c>
      <c r="B43" s="40">
        <v>9679.98</v>
      </c>
      <c r="C43" s="36">
        <f t="shared" si="4"/>
        <v>9.6799799999999987</v>
      </c>
      <c r="D43" s="12">
        <f t="shared" si="1"/>
        <v>0.67856659799999985</v>
      </c>
      <c r="E43" s="12">
        <f t="shared" si="2"/>
        <v>3.0293151696428568E-2</v>
      </c>
      <c r="F43" s="12">
        <f>E43/Calculation!K$17*1000</f>
        <v>3.7970688603107879E-2</v>
      </c>
      <c r="G43" s="12">
        <f t="shared" si="3"/>
        <v>90.109770003553223</v>
      </c>
    </row>
    <row r="44" spans="1:7">
      <c r="A44" s="35">
        <v>19.5</v>
      </c>
      <c r="B44" s="40">
        <v>7832.06</v>
      </c>
      <c r="C44" s="36">
        <f t="shared" si="4"/>
        <v>7.8320600000000002</v>
      </c>
      <c r="D44" s="12">
        <f t="shared" si="1"/>
        <v>0.549027406</v>
      </c>
      <c r="E44" s="12">
        <f t="shared" si="2"/>
        <v>2.4510152053571429E-2</v>
      </c>
      <c r="F44" s="12">
        <f>E44/Calculation!K$17*1000</f>
        <v>3.0722037791488941E-2</v>
      </c>
      <c r="G44" s="12">
        <f t="shared" si="3"/>
        <v>91.140160899472178</v>
      </c>
    </row>
    <row r="45" spans="1:7">
      <c r="A45" s="35">
        <v>20</v>
      </c>
      <c r="B45" s="40">
        <v>6312.68</v>
      </c>
      <c r="C45" s="36">
        <f t="shared" si="4"/>
        <v>6.3126800000000003</v>
      </c>
      <c r="D45" s="12">
        <f t="shared" si="1"/>
        <v>0.44251886799999995</v>
      </c>
      <c r="E45" s="12">
        <f t="shared" si="2"/>
        <v>1.9755306607142857E-2</v>
      </c>
      <c r="F45" s="12">
        <f>E45/Calculation!K$17*1000</f>
        <v>2.4762117951800219E-2</v>
      </c>
      <c r="G45" s="12">
        <f t="shared" si="3"/>
        <v>91.97242323562152</v>
      </c>
    </row>
    <row r="46" spans="1:7">
      <c r="A46" s="35">
        <v>20.5</v>
      </c>
      <c r="B46" s="40">
        <v>5313.35</v>
      </c>
      <c r="C46" s="36">
        <f t="shared" si="4"/>
        <v>5.3133500000000007</v>
      </c>
      <c r="D46" s="12">
        <f t="shared" si="1"/>
        <v>0.37246583500000002</v>
      </c>
      <c r="E46" s="12">
        <f t="shared" si="2"/>
        <v>1.6627939062500003E-2</v>
      </c>
      <c r="F46" s="12">
        <f>E46/Calculation!K$17*1000</f>
        <v>2.0842146191347843E-2</v>
      </c>
      <c r="G46" s="12">
        <f t="shared" si="3"/>
        <v>92.65648719776874</v>
      </c>
    </row>
    <row r="47" spans="1:7">
      <c r="A47" s="35">
        <v>21</v>
      </c>
      <c r="B47" s="40">
        <v>4446.66</v>
      </c>
      <c r="C47" s="36">
        <f t="shared" si="4"/>
        <v>4.4466599999999996</v>
      </c>
      <c r="D47" s="12">
        <f t="shared" si="1"/>
        <v>0.31171086599999998</v>
      </c>
      <c r="E47" s="12">
        <f t="shared" si="2"/>
        <v>1.3915663660714285E-2</v>
      </c>
      <c r="F47" s="12">
        <f>E47/Calculation!K$17*1000</f>
        <v>1.7442468081948072E-2</v>
      </c>
      <c r="G47" s="12">
        <f t="shared" si="3"/>
        <v>93.230756411868185</v>
      </c>
    </row>
    <row r="48" spans="1:7">
      <c r="A48" s="35">
        <v>21.5</v>
      </c>
      <c r="B48" s="40">
        <v>3952.15</v>
      </c>
      <c r="C48" s="36">
        <f t="shared" si="4"/>
        <v>3.9521500000000001</v>
      </c>
      <c r="D48" s="12">
        <f t="shared" si="1"/>
        <v>0.27704571499999997</v>
      </c>
      <c r="E48" s="12">
        <f t="shared" si="2"/>
        <v>1.2368112276785713E-2</v>
      </c>
      <c r="F48" s="12">
        <f>E48/Calculation!K$17*1000</f>
        <v>1.5502703204218687E-2</v>
      </c>
      <c r="G48" s="12">
        <f t="shared" si="3"/>
        <v>93.724933981160689</v>
      </c>
    </row>
    <row r="49" spans="1:7">
      <c r="A49" s="35">
        <v>22</v>
      </c>
      <c r="B49" s="40">
        <v>3565.58</v>
      </c>
      <c r="C49" s="36">
        <f t="shared" si="4"/>
        <v>3.5655799999999997</v>
      </c>
      <c r="D49" s="12">
        <f t="shared" si="1"/>
        <v>0.24994715799999995</v>
      </c>
      <c r="E49" s="12">
        <f t="shared" si="2"/>
        <v>1.1158355267857141E-2</v>
      </c>
      <c r="F49" s="12">
        <f>E49/Calculation!K$17*1000</f>
        <v>1.3986343759952951E-2</v>
      </c>
      <c r="G49" s="12">
        <f t="shared" si="3"/>
        <v>94.167269685623268</v>
      </c>
    </row>
    <row r="50" spans="1:7">
      <c r="A50" s="35">
        <v>22.5</v>
      </c>
      <c r="B50" s="40">
        <v>3264.61</v>
      </c>
      <c r="C50" s="36">
        <f t="shared" si="4"/>
        <v>3.2646100000000002</v>
      </c>
      <c r="D50" s="12">
        <f t="shared" si="1"/>
        <v>0.228849161</v>
      </c>
      <c r="E50" s="12">
        <f t="shared" si="2"/>
        <v>1.0216480401785714E-2</v>
      </c>
      <c r="F50" s="12">
        <f>E50/Calculation!K$17*1000</f>
        <v>1.2805758867331547E-2</v>
      </c>
      <c r="G50" s="12">
        <f t="shared" si="3"/>
        <v>94.569151225032542</v>
      </c>
    </row>
    <row r="51" spans="1:7">
      <c r="A51" s="35">
        <v>23</v>
      </c>
      <c r="B51" s="40">
        <v>3092.56</v>
      </c>
      <c r="C51" s="36">
        <f t="shared" si="4"/>
        <v>3.0925599999999998</v>
      </c>
      <c r="D51" s="12">
        <f t="shared" si="1"/>
        <v>0.21678845599999996</v>
      </c>
      <c r="E51" s="12">
        <f t="shared" si="2"/>
        <v>9.6780560714285705E-3</v>
      </c>
      <c r="F51" s="12">
        <f>E51/Calculation!K$17*1000</f>
        <v>1.2130875554125866E-2</v>
      </c>
      <c r="G51" s="12">
        <f t="shared" si="3"/>
        <v>94.943200741354403</v>
      </c>
    </row>
    <row r="52" spans="1:7">
      <c r="A52" s="35">
        <v>23.5</v>
      </c>
      <c r="B52" s="40">
        <v>2918.14</v>
      </c>
      <c r="C52" s="36">
        <f t="shared" si="4"/>
        <v>2.9181399999999997</v>
      </c>
      <c r="D52" s="12">
        <f t="shared" si="1"/>
        <v>0.20456161399999995</v>
      </c>
      <c r="E52" s="12">
        <f t="shared" si="2"/>
        <v>9.1322149107142831E-3</v>
      </c>
      <c r="F52" s="12">
        <f>E52/Calculation!K$17*1000</f>
        <v>1.1446695679151528E-2</v>
      </c>
      <c r="G52" s="12">
        <f t="shared" si="3"/>
        <v>95.296864309853561</v>
      </c>
    </row>
    <row r="53" spans="1:7">
      <c r="A53" s="35">
        <v>24</v>
      </c>
      <c r="B53" s="40">
        <v>2745.92</v>
      </c>
      <c r="C53" s="36">
        <f t="shared" si="4"/>
        <v>2.7459199999999999</v>
      </c>
      <c r="D53" s="12">
        <f t="shared" si="1"/>
        <v>0.19248899199999997</v>
      </c>
      <c r="E53" s="12">
        <f t="shared" si="2"/>
        <v>8.5932585714285706E-3</v>
      </c>
      <c r="F53" s="12">
        <f>E53/Calculation!K$18*1000</f>
        <v>1.1440075981090659E-2</v>
      </c>
      <c r="G53" s="12">
        <f t="shared" si="3"/>
        <v>95.640165884757195</v>
      </c>
    </row>
    <row r="54" spans="1:7">
      <c r="A54" s="35">
        <v>24.5</v>
      </c>
      <c r="B54" s="40">
        <v>2646.95</v>
      </c>
      <c r="C54" s="36">
        <f t="shared" si="4"/>
        <v>2.6469499999999999</v>
      </c>
      <c r="D54" s="12">
        <f t="shared" si="1"/>
        <v>0.18555119499999997</v>
      </c>
      <c r="E54" s="12">
        <f t="shared" si="2"/>
        <v>8.2835354910714282E-3</v>
      </c>
      <c r="F54" s="12">
        <f>E54/Calculation!K$18*1000</f>
        <v>1.1027746299290554E-2</v>
      </c>
      <c r="G54" s="12">
        <f t="shared" si="3"/>
        <v>95.977183218962907</v>
      </c>
    </row>
    <row r="55" spans="1:7">
      <c r="A55" s="35">
        <v>25</v>
      </c>
      <c r="B55" s="40">
        <v>2505.1799999999998</v>
      </c>
      <c r="C55" s="36">
        <f t="shared" si="4"/>
        <v>2.5051799999999997</v>
      </c>
      <c r="D55" s="12">
        <f t="shared" si="1"/>
        <v>0.17561311799999996</v>
      </c>
      <c r="E55" s="12">
        <f t="shared" si="2"/>
        <v>7.8398713392857124E-3</v>
      </c>
      <c r="F55" s="12">
        <f>E55/Calculation!K$18*1000</f>
        <v>1.0437102882206579E-2</v>
      </c>
      <c r="G55" s="12">
        <f t="shared" si="3"/>
        <v>96.299155956685368</v>
      </c>
    </row>
    <row r="56" spans="1:7">
      <c r="A56" s="35">
        <v>25.5</v>
      </c>
      <c r="B56" s="40">
        <v>2327.71</v>
      </c>
      <c r="C56" s="36">
        <f t="shared" si="4"/>
        <v>2.3277100000000002</v>
      </c>
      <c r="D56" s="12">
        <f t="shared" si="1"/>
        <v>0.16317247100000001</v>
      </c>
      <c r="E56" s="12">
        <f t="shared" si="2"/>
        <v>7.284485312500001E-3</v>
      </c>
      <c r="F56" s="12">
        <f>E56/Calculation!K$18*1000</f>
        <v>9.6977258120937767E-3</v>
      </c>
      <c r="G56" s="12">
        <f t="shared" si="3"/>
        <v>96.601178387099878</v>
      </c>
    </row>
    <row r="57" spans="1:7">
      <c r="A57" s="35">
        <v>26</v>
      </c>
      <c r="B57" s="40">
        <v>2140.94</v>
      </c>
      <c r="C57" s="36">
        <f t="shared" si="4"/>
        <v>2.1409400000000001</v>
      </c>
      <c r="D57" s="12">
        <f t="shared" si="1"/>
        <v>0.15007989399999999</v>
      </c>
      <c r="E57" s="12">
        <f t="shared" si="2"/>
        <v>6.699995267857143E-3</v>
      </c>
      <c r="F57" s="12">
        <f>E57/Calculation!K$18*1000</f>
        <v>8.919603000435641E-3</v>
      </c>
      <c r="G57" s="12">
        <f t="shared" si="3"/>
        <v>96.880438319287819</v>
      </c>
    </row>
    <row r="58" spans="1:7">
      <c r="A58" s="35">
        <v>26.5</v>
      </c>
      <c r="B58" s="40">
        <v>2039.94</v>
      </c>
      <c r="C58" s="36">
        <f t="shared" si="4"/>
        <v>2.0399400000000001</v>
      </c>
      <c r="D58" s="12">
        <f t="shared" si="1"/>
        <v>0.14299979399999999</v>
      </c>
      <c r="E58" s="12">
        <f t="shared" si="2"/>
        <v>6.3839193749999999E-3</v>
      </c>
      <c r="F58" s="12">
        <f>E58/Calculation!K$18*1000</f>
        <v>8.498815914835858E-3</v>
      </c>
      <c r="G58" s="12">
        <f t="shared" si="3"/>
        <v>97.141714603016894</v>
      </c>
    </row>
    <row r="59" spans="1:7">
      <c r="A59" s="35">
        <v>27</v>
      </c>
      <c r="B59" s="40">
        <v>1948.92</v>
      </c>
      <c r="C59" s="36">
        <f t="shared" si="4"/>
        <v>1.94892</v>
      </c>
      <c r="D59" s="12">
        <f t="shared" si="1"/>
        <v>0.136619292</v>
      </c>
      <c r="E59" s="12">
        <f t="shared" si="2"/>
        <v>6.0990755357142861E-3</v>
      </c>
      <c r="F59" s="12">
        <f>E59/Calculation!K$18*1000</f>
        <v>8.1196075927438566E-3</v>
      </c>
      <c r="G59" s="12">
        <f t="shared" si="3"/>
        <v>97.390990955630585</v>
      </c>
    </row>
    <row r="60" spans="1:7">
      <c r="A60" s="35">
        <v>27.5</v>
      </c>
      <c r="B60" s="40">
        <v>1868.39</v>
      </c>
      <c r="C60" s="36">
        <f t="shared" si="4"/>
        <v>1.86839</v>
      </c>
      <c r="D60" s="12">
        <f t="shared" si="1"/>
        <v>0.13097413899999999</v>
      </c>
      <c r="E60" s="12">
        <f t="shared" si="2"/>
        <v>5.8470597767857138E-3</v>
      </c>
      <c r="F60" s="12">
        <f>E60/Calculation!K$18*1000</f>
        <v>7.7841028006314737E-3</v>
      </c>
      <c r="G60" s="12">
        <f t="shared" si="3"/>
        <v>97.629546611531211</v>
      </c>
    </row>
    <row r="61" spans="1:7">
      <c r="A61" s="35">
        <v>28</v>
      </c>
      <c r="B61" s="40">
        <v>1762.15</v>
      </c>
      <c r="C61" s="36">
        <f t="shared" si="4"/>
        <v>1.7621500000000001</v>
      </c>
      <c r="D61" s="12">
        <f t="shared" si="1"/>
        <v>0.123526715</v>
      </c>
      <c r="E61" s="12">
        <f t="shared" si="2"/>
        <v>5.514585491071429E-3</v>
      </c>
      <c r="F61" s="12">
        <f>E61/Calculation!K$18*1000</f>
        <v>7.3414847810857227E-3</v>
      </c>
      <c r="G61" s="12">
        <f t="shared" si="3"/>
        <v>97.856430425256974</v>
      </c>
    </row>
    <row r="62" spans="1:7">
      <c r="A62" s="35">
        <v>28.5</v>
      </c>
      <c r="B62" s="40">
        <v>1742.53</v>
      </c>
      <c r="C62" s="36">
        <f t="shared" si="4"/>
        <v>1.7425299999999999</v>
      </c>
      <c r="D62" s="12">
        <f t="shared" si="1"/>
        <v>0.12215135299999999</v>
      </c>
      <c r="E62" s="12">
        <f t="shared" si="2"/>
        <v>5.4531854017857142E-3</v>
      </c>
      <c r="F62" s="12">
        <f>E62/Calculation!K$18*1000</f>
        <v>7.2597437650513876E-3</v>
      </c>
      <c r="G62" s="12">
        <f t="shared" si="3"/>
        <v>98.075448853449032</v>
      </c>
    </row>
    <row r="63" spans="1:7">
      <c r="A63" s="35">
        <v>29</v>
      </c>
      <c r="B63" s="40">
        <v>1650.83</v>
      </c>
      <c r="C63" s="36">
        <f t="shared" si="4"/>
        <v>1.65083</v>
      </c>
      <c r="D63" s="12">
        <f t="shared" si="1"/>
        <v>0.11572318299999999</v>
      </c>
      <c r="E63" s="12">
        <f t="shared" si="2"/>
        <v>5.1662135267857142E-3</v>
      </c>
      <c r="F63" s="12">
        <f>E63/Calculation!K$18*1000</f>
        <v>6.8777024209969312E-3</v>
      </c>
      <c r="G63" s="12">
        <f t="shared" si="3"/>
        <v>98.287510546239758</v>
      </c>
    </row>
    <row r="64" spans="1:7">
      <c r="A64" s="35">
        <v>29.5</v>
      </c>
      <c r="B64" s="40">
        <v>1566.75</v>
      </c>
      <c r="C64" s="36">
        <f t="shared" si="4"/>
        <v>1.5667500000000001</v>
      </c>
      <c r="D64" s="12">
        <f t="shared" si="1"/>
        <v>0.10982917499999999</v>
      </c>
      <c r="E64" s="12">
        <f t="shared" si="2"/>
        <v>4.9030881696428569E-3</v>
      </c>
      <c r="F64" s="12">
        <f>E64/Calculation!K$18*1000</f>
        <v>6.5274075877570321E-3</v>
      </c>
      <c r="G64" s="12">
        <f t="shared" si="3"/>
        <v>98.488587196371071</v>
      </c>
    </row>
    <row r="65" spans="1:7">
      <c r="A65" s="35">
        <v>30</v>
      </c>
      <c r="B65" s="40">
        <v>1433.27</v>
      </c>
      <c r="C65" s="36">
        <f t="shared" si="4"/>
        <v>1.43327</v>
      </c>
      <c r="D65" s="12">
        <f t="shared" si="1"/>
        <v>0.10047222699999998</v>
      </c>
      <c r="E65" s="12">
        <f t="shared" si="2"/>
        <v>4.4853672767857138E-3</v>
      </c>
      <c r="F65" s="12">
        <f>E65/Calculation!K$18*1000</f>
        <v>5.9713020413623879E-3</v>
      </c>
      <c r="G65" s="12">
        <f t="shared" si="3"/>
        <v>98.67606784080786</v>
      </c>
    </row>
    <row r="66" spans="1:7">
      <c r="A66" s="35">
        <v>30.5</v>
      </c>
      <c r="B66" s="40">
        <v>1318.4</v>
      </c>
      <c r="C66" s="36">
        <f t="shared" si="4"/>
        <v>1.3184</v>
      </c>
      <c r="D66" s="12">
        <f t="shared" si="1"/>
        <v>9.2419839999999989E-2</v>
      </c>
      <c r="E66" s="12">
        <f t="shared" si="2"/>
        <v>4.1258857142857141E-3</v>
      </c>
      <c r="F66" s="12">
        <f>E66/Calculation!K$19*1000</f>
        <v>5.9204421940918812E-3</v>
      </c>
      <c r="G66" s="12">
        <f t="shared" si="3"/>
        <v>98.854444004339669</v>
      </c>
    </row>
    <row r="67" spans="1:7">
      <c r="A67" s="35">
        <v>31</v>
      </c>
      <c r="B67" s="40">
        <v>1148.21</v>
      </c>
      <c r="C67" s="36">
        <f t="shared" si="4"/>
        <v>1.14821</v>
      </c>
      <c r="D67" s="12">
        <f t="shared" si="1"/>
        <v>8.0489520999999994E-2</v>
      </c>
      <c r="E67" s="12">
        <f t="shared" si="2"/>
        <v>3.5932821875000001E-3</v>
      </c>
      <c r="F67" s="12">
        <f>E67/Calculation!K$19*1000</f>
        <v>5.156182442110315E-3</v>
      </c>
      <c r="G67" s="12">
        <f t="shared" si="3"/>
        <v>99.020593373882704</v>
      </c>
    </row>
    <row r="68" spans="1:7">
      <c r="A68" s="35">
        <v>31.5</v>
      </c>
      <c r="B68" s="40">
        <v>998.99</v>
      </c>
      <c r="C68" s="36">
        <f t="shared" si="4"/>
        <v>0.99899000000000004</v>
      </c>
      <c r="D68" s="12">
        <f t="shared" si="1"/>
        <v>7.0029198999999986E-2</v>
      </c>
      <c r="E68" s="12">
        <f t="shared" si="2"/>
        <v>3.126303526785714E-3</v>
      </c>
      <c r="F68" s="12">
        <f>E68/Calculation!K$19*1000</f>
        <v>4.4860911312771907E-3</v>
      </c>
      <c r="G68" s="12">
        <f t="shared" si="3"/>
        <v>99.165227477483512</v>
      </c>
    </row>
    <row r="69" spans="1:7">
      <c r="A69" s="35">
        <v>32</v>
      </c>
      <c r="B69" s="40">
        <v>905.78</v>
      </c>
      <c r="C69" s="36">
        <f t="shared" ref="C69:C100" si="5">B69/1000</f>
        <v>0.90577999999999992</v>
      </c>
      <c r="D69" s="12">
        <f t="shared" si="1"/>
        <v>6.3495177999999985E-2</v>
      </c>
      <c r="E69" s="12">
        <f t="shared" si="2"/>
        <v>2.8346061607142851E-3</v>
      </c>
      <c r="F69" s="12">
        <f>E69/Calculation!K$19*1000</f>
        <v>4.0675198199063584E-3</v>
      </c>
      <c r="G69" s="12">
        <f t="shared" si="3"/>
        <v>99.293531641751272</v>
      </c>
    </row>
    <row r="70" spans="1:7">
      <c r="A70" s="35">
        <v>32.5</v>
      </c>
      <c r="B70" s="40">
        <v>839.29</v>
      </c>
      <c r="C70" s="36">
        <f t="shared" si="5"/>
        <v>0.83928999999999998</v>
      </c>
      <c r="D70" s="12">
        <f t="shared" ref="D70:D101" si="6">C70/1000*$B$1</f>
        <v>5.8834228999999995E-2</v>
      </c>
      <c r="E70" s="12">
        <f t="shared" ref="E70:E101" si="7">D70/22.4</f>
        <v>2.6265280803571428E-3</v>
      </c>
      <c r="F70" s="12">
        <f>E70/Calculation!K$19*1000</f>
        <v>3.7689380530031664E-3</v>
      </c>
      <c r="G70" s="12">
        <f t="shared" si="3"/>
        <v>99.411078509844913</v>
      </c>
    </row>
    <row r="71" spans="1:7">
      <c r="A71" s="35">
        <v>33</v>
      </c>
      <c r="B71" s="40">
        <v>806.3</v>
      </c>
      <c r="C71" s="36">
        <f t="shared" si="5"/>
        <v>0.80629999999999991</v>
      </c>
      <c r="D71" s="12">
        <f t="shared" si="6"/>
        <v>5.6521629999999989E-2</v>
      </c>
      <c r="E71" s="12">
        <f t="shared" si="7"/>
        <v>2.5232870535714285E-3</v>
      </c>
      <c r="F71" s="12">
        <f>E71/Calculation!K$19*1000</f>
        <v>3.6207922793509433E-3</v>
      </c>
      <c r="G71" s="12">
        <f t="shared" ref="G71:G101" si="8">G70+(F71+F70)/2*30</f>
        <v>99.521924464830221</v>
      </c>
    </row>
    <row r="72" spans="1:7">
      <c r="A72" s="35">
        <v>33.5</v>
      </c>
      <c r="B72" s="40">
        <v>762.65</v>
      </c>
      <c r="C72" s="36">
        <f t="shared" si="5"/>
        <v>0.76264999999999994</v>
      </c>
      <c r="D72" s="12">
        <f t="shared" si="6"/>
        <v>5.3461764999999987E-2</v>
      </c>
      <c r="E72" s="12">
        <f t="shared" si="7"/>
        <v>2.3866859374999994E-3</v>
      </c>
      <c r="F72" s="12">
        <f>E72/Calculation!K$19*1000</f>
        <v>3.424776425458262E-3</v>
      </c>
      <c r="G72" s="12">
        <f t="shared" si="8"/>
        <v>99.627607995402357</v>
      </c>
    </row>
    <row r="73" spans="1:7">
      <c r="A73" s="35">
        <v>34</v>
      </c>
      <c r="B73" s="40">
        <v>745.4</v>
      </c>
      <c r="C73" s="36">
        <f t="shared" si="5"/>
        <v>0.74539999999999995</v>
      </c>
      <c r="D73" s="12">
        <f t="shared" si="6"/>
        <v>5.2252539999999986E-2</v>
      </c>
      <c r="E73" s="12">
        <f t="shared" si="7"/>
        <v>2.3327026785714281E-3</v>
      </c>
      <c r="F73" s="12">
        <f>E73/Calculation!K$19*1000</f>
        <v>3.347313115500673E-3</v>
      </c>
      <c r="G73" s="12">
        <f t="shared" si="8"/>
        <v>99.729189338516747</v>
      </c>
    </row>
    <row r="74" spans="1:7">
      <c r="A74" s="35">
        <v>34.5</v>
      </c>
      <c r="B74" s="40">
        <v>747.59</v>
      </c>
      <c r="C74" s="36">
        <f t="shared" si="5"/>
        <v>0.74758999999999998</v>
      </c>
      <c r="D74" s="12">
        <f t="shared" si="6"/>
        <v>5.2406058999999998E-2</v>
      </c>
      <c r="E74" s="12">
        <f t="shared" si="7"/>
        <v>2.3395562053571428E-3</v>
      </c>
      <c r="F74" s="12">
        <f>E74/Calculation!K$19*1000</f>
        <v>3.3571475878952893E-3</v>
      </c>
      <c r="G74" s="12">
        <f t="shared" si="8"/>
        <v>99.829756249067685</v>
      </c>
    </row>
    <row r="75" spans="1:7">
      <c r="A75" s="35">
        <v>35</v>
      </c>
      <c r="B75" s="40">
        <v>759.27</v>
      </c>
      <c r="C75" s="36">
        <f t="shared" si="5"/>
        <v>0.75927</v>
      </c>
      <c r="D75" s="12">
        <f t="shared" si="6"/>
        <v>5.3224826999999995E-2</v>
      </c>
      <c r="E75" s="12">
        <f t="shared" si="7"/>
        <v>2.3761083482142856E-3</v>
      </c>
      <c r="F75" s="12">
        <f>E75/Calculation!K$19*1000</f>
        <v>3.4095981073332393E-3</v>
      </c>
      <c r="G75" s="12">
        <f t="shared" si="8"/>
        <v>99.931257434496118</v>
      </c>
    </row>
    <row r="76" spans="1:7">
      <c r="A76" s="35">
        <v>35.5</v>
      </c>
      <c r="B76" s="40">
        <v>763.33</v>
      </c>
      <c r="C76" s="36">
        <f t="shared" si="5"/>
        <v>0.76333000000000006</v>
      </c>
      <c r="D76" s="12">
        <f t="shared" si="6"/>
        <v>5.3509433000000002E-2</v>
      </c>
      <c r="E76" s="12">
        <f t="shared" si="7"/>
        <v>2.3888139732142861E-3</v>
      </c>
      <c r="F76" s="12">
        <f>E76/Calculation!K$19*1000</f>
        <v>3.4278300515899244E-3</v>
      </c>
      <c r="G76" s="12">
        <f t="shared" si="8"/>
        <v>100.03381885687996</v>
      </c>
    </row>
    <row r="77" spans="1:7">
      <c r="A77" s="35">
        <v>36</v>
      </c>
      <c r="B77" s="40">
        <v>775.17</v>
      </c>
      <c r="C77" s="36">
        <f t="shared" si="5"/>
        <v>0.77516999999999991</v>
      </c>
      <c r="D77" s="12">
        <f t="shared" si="6"/>
        <v>5.4339416999999994E-2</v>
      </c>
      <c r="E77" s="12">
        <f t="shared" si="7"/>
        <v>2.4258668303571429E-3</v>
      </c>
      <c r="F77" s="12">
        <f>E77/Calculation!K$19*1000</f>
        <v>3.4809990712941475E-3</v>
      </c>
      <c r="G77" s="12">
        <f t="shared" si="8"/>
        <v>100.13745129372322</v>
      </c>
    </row>
    <row r="78" spans="1:7">
      <c r="A78" s="35">
        <v>36.5</v>
      </c>
      <c r="B78" s="40">
        <v>802.58</v>
      </c>
      <c r="C78" s="36">
        <f t="shared" si="5"/>
        <v>0.80258000000000007</v>
      </c>
      <c r="D78" s="12">
        <f t="shared" si="6"/>
        <v>5.6260858000000004E-2</v>
      </c>
      <c r="E78" s="12">
        <f t="shared" si="7"/>
        <v>2.5116454464285719E-3</v>
      </c>
      <c r="F78" s="12">
        <f>E78/Calculation!K$19*1000</f>
        <v>3.6040871481600903E-3</v>
      </c>
      <c r="G78" s="12">
        <f t="shared" si="8"/>
        <v>100.24372758701503</v>
      </c>
    </row>
    <row r="79" spans="1:7">
      <c r="A79" s="35">
        <v>37</v>
      </c>
      <c r="B79" s="40">
        <v>867.54</v>
      </c>
      <c r="C79" s="36">
        <f t="shared" si="5"/>
        <v>0.86753999999999998</v>
      </c>
      <c r="D79" s="12">
        <f t="shared" si="6"/>
        <v>6.0814553999999993E-2</v>
      </c>
      <c r="E79" s="12">
        <f t="shared" si="7"/>
        <v>2.7149354464285711E-3</v>
      </c>
      <c r="F79" s="12">
        <f>E79/Calculation!K$19*1000</f>
        <v>3.8957982562670438E-3</v>
      </c>
      <c r="G79" s="12">
        <f t="shared" si="8"/>
        <v>100.35622586808144</v>
      </c>
    </row>
    <row r="80" spans="1:7">
      <c r="A80" s="35">
        <v>37.5</v>
      </c>
      <c r="B80" s="40">
        <v>931.32</v>
      </c>
      <c r="C80" s="36">
        <f t="shared" si="5"/>
        <v>0.93132000000000004</v>
      </c>
      <c r="D80" s="12">
        <f t="shared" si="6"/>
        <v>6.5285531999999993E-2</v>
      </c>
      <c r="E80" s="12">
        <f t="shared" si="7"/>
        <v>2.9145326785714283E-3</v>
      </c>
      <c r="F80" s="12">
        <f>E80/Calculation!K$19*1000</f>
        <v>4.1822104249102324E-3</v>
      </c>
      <c r="G80" s="12">
        <f t="shared" si="8"/>
        <v>100.4773959982991</v>
      </c>
    </row>
    <row r="81" spans="1:7">
      <c r="A81" s="35">
        <v>38</v>
      </c>
      <c r="B81" s="40">
        <v>1055.67</v>
      </c>
      <c r="C81" s="36">
        <f t="shared" si="5"/>
        <v>1.0556700000000001</v>
      </c>
      <c r="D81" s="12">
        <f t="shared" si="6"/>
        <v>7.4002467000000002E-2</v>
      </c>
      <c r="E81" s="12">
        <f t="shared" si="7"/>
        <v>3.3036815625000003E-3</v>
      </c>
      <c r="F81" s="12">
        <f>E81/Calculation!K$19*1000</f>
        <v>4.7406198506045032E-3</v>
      </c>
      <c r="G81" s="12">
        <f t="shared" si="8"/>
        <v>100.61123845243182</v>
      </c>
    </row>
    <row r="82" spans="1:7">
      <c r="A82" s="35">
        <v>38.5</v>
      </c>
      <c r="B82" s="40">
        <v>1209.45</v>
      </c>
      <c r="C82" s="36">
        <f t="shared" si="5"/>
        <v>1.2094500000000001</v>
      </c>
      <c r="D82" s="12">
        <f t="shared" si="6"/>
        <v>8.4782444999999998E-2</v>
      </c>
      <c r="E82" s="12">
        <f t="shared" si="7"/>
        <v>3.7849305803571431E-3</v>
      </c>
      <c r="F82" s="12">
        <f>E82/Calculation!K$19*1000</f>
        <v>5.431188419026416E-3</v>
      </c>
      <c r="G82" s="12">
        <f t="shared" si="8"/>
        <v>100.76381557647629</v>
      </c>
    </row>
    <row r="83" spans="1:7">
      <c r="A83" s="35">
        <v>39</v>
      </c>
      <c r="B83" s="40">
        <v>1465.24</v>
      </c>
      <c r="C83" s="36">
        <f t="shared" si="5"/>
        <v>1.4652400000000001</v>
      </c>
      <c r="D83" s="12">
        <f t="shared" si="6"/>
        <v>0.10271332399999999</v>
      </c>
      <c r="E83" s="12">
        <f t="shared" si="7"/>
        <v>4.58541625E-3</v>
      </c>
      <c r="F83" s="12">
        <f>E83/Calculation!K$19*1000</f>
        <v>6.5798458134641901E-3</v>
      </c>
      <c r="G83" s="12">
        <f t="shared" si="8"/>
        <v>100.94398108996364</v>
      </c>
    </row>
    <row r="84" spans="1:7">
      <c r="A84" s="35">
        <v>39.5</v>
      </c>
      <c r="B84" s="40">
        <v>1669.44</v>
      </c>
      <c r="C84" s="36">
        <f t="shared" si="5"/>
        <v>1.66944</v>
      </c>
      <c r="D84" s="12">
        <f t="shared" si="6"/>
        <v>0.117027744</v>
      </c>
      <c r="E84" s="12">
        <f t="shared" si="7"/>
        <v>5.2244528571428576E-3</v>
      </c>
      <c r="F84" s="12">
        <f>E84/Calculation!K$19*1000</f>
        <v>7.496831778295473E-3</v>
      </c>
      <c r="G84" s="12">
        <f t="shared" si="8"/>
        <v>101.15513125384004</v>
      </c>
    </row>
    <row r="85" spans="1:7">
      <c r="A85" s="35">
        <v>40</v>
      </c>
      <c r="B85" s="40">
        <v>2021.16</v>
      </c>
      <c r="C85" s="36">
        <f t="shared" si="5"/>
        <v>2.0211600000000001</v>
      </c>
      <c r="D85" s="12">
        <f t="shared" si="6"/>
        <v>0.141683316</v>
      </c>
      <c r="E85" s="12">
        <f t="shared" si="7"/>
        <v>6.3251480357142866E-3</v>
      </c>
      <c r="F85" s="12">
        <f>E85/Calculation!K$19*1000</f>
        <v>9.0762749886307247E-3</v>
      </c>
      <c r="G85" s="12">
        <f t="shared" si="8"/>
        <v>101.40372785534393</v>
      </c>
    </row>
    <row r="86" spans="1:7">
      <c r="A86" s="35">
        <v>40.5</v>
      </c>
      <c r="B86" s="40">
        <v>2366.79</v>
      </c>
      <c r="C86" s="36">
        <f t="shared" si="5"/>
        <v>2.3667899999999999</v>
      </c>
      <c r="D86" s="12">
        <f t="shared" si="6"/>
        <v>0.16591197899999999</v>
      </c>
      <c r="E86" s="12">
        <f t="shared" si="7"/>
        <v>7.4067847767857143E-3</v>
      </c>
      <c r="F86" s="12">
        <f>E86/Calculation!K$19*1000</f>
        <v>1.062837028258095E-2</v>
      </c>
      <c r="G86" s="12">
        <f t="shared" si="8"/>
        <v>101.69929753441211</v>
      </c>
    </row>
    <row r="87" spans="1:7">
      <c r="A87" s="35">
        <v>41</v>
      </c>
      <c r="B87" s="40">
        <v>2572</v>
      </c>
      <c r="C87" s="36">
        <f t="shared" si="5"/>
        <v>2.5720000000000001</v>
      </c>
      <c r="D87" s="12">
        <f t="shared" si="6"/>
        <v>0.18029719999999999</v>
      </c>
      <c r="E87" s="12">
        <f t="shared" si="7"/>
        <v>8.0489821428571424E-3</v>
      </c>
      <c r="F87" s="12">
        <f>E87/Calculation!K$19*1000</f>
        <v>1.1549891780343081E-2</v>
      </c>
      <c r="G87" s="12">
        <f t="shared" si="8"/>
        <v>102.03197146535597</v>
      </c>
    </row>
    <row r="88" spans="1:7">
      <c r="A88" s="35">
        <v>41.5</v>
      </c>
      <c r="B88" s="40">
        <v>2632.74</v>
      </c>
      <c r="C88" s="36">
        <f t="shared" si="5"/>
        <v>2.6327399999999996</v>
      </c>
      <c r="D88" s="12">
        <f t="shared" si="6"/>
        <v>0.18455507399999996</v>
      </c>
      <c r="E88" s="12">
        <f t="shared" si="7"/>
        <v>8.2390658035714267E-3</v>
      </c>
      <c r="F88" s="12">
        <f>E88/Calculation!K$19*1000</f>
        <v>1.1822652443927075E-2</v>
      </c>
      <c r="G88" s="12">
        <f t="shared" si="8"/>
        <v>102.38255962872002</v>
      </c>
    </row>
    <row r="89" spans="1:7">
      <c r="A89" s="35">
        <v>42</v>
      </c>
      <c r="B89" s="40">
        <v>2242.2800000000002</v>
      </c>
      <c r="C89" s="36">
        <f t="shared" si="5"/>
        <v>2.2422800000000001</v>
      </c>
      <c r="D89" s="12">
        <f t="shared" si="6"/>
        <v>0.157183828</v>
      </c>
      <c r="E89" s="12">
        <f t="shared" si="7"/>
        <v>7.0171351785714292E-3</v>
      </c>
      <c r="F89" s="12">
        <f>E89/Calculation!K$19*1000</f>
        <v>1.0069242356620406E-2</v>
      </c>
      <c r="G89" s="12">
        <f t="shared" si="8"/>
        <v>102.71093805072823</v>
      </c>
    </row>
    <row r="90" spans="1:7">
      <c r="A90" s="35">
        <v>42.5</v>
      </c>
      <c r="B90" s="40">
        <v>1722.06</v>
      </c>
      <c r="C90" s="36">
        <f t="shared" si="5"/>
        <v>1.7220599999999999</v>
      </c>
      <c r="D90" s="12">
        <f t="shared" si="6"/>
        <v>0.12071640599999998</v>
      </c>
      <c r="E90" s="12">
        <f t="shared" si="7"/>
        <v>5.3891252678571425E-3</v>
      </c>
      <c r="F90" s="12">
        <f>E90/Calculation!K$19*1000</f>
        <v>7.7331285533660983E-3</v>
      </c>
      <c r="G90" s="12">
        <f t="shared" si="8"/>
        <v>102.97797361437803</v>
      </c>
    </row>
    <row r="91" spans="1:7">
      <c r="A91" s="35">
        <v>43</v>
      </c>
      <c r="B91" s="40">
        <v>1323.64</v>
      </c>
      <c r="C91" s="36">
        <f t="shared" si="5"/>
        <v>1.3236400000000001</v>
      </c>
      <c r="D91" s="12">
        <f t="shared" si="6"/>
        <v>9.2787163999999991E-2</v>
      </c>
      <c r="E91" s="12">
        <f t="shared" si="7"/>
        <v>4.1422841071428566E-3</v>
      </c>
      <c r="F91" s="12">
        <f>E91/Calculation!K$19*1000</f>
        <v>5.9439730778123303E-3</v>
      </c>
      <c r="G91" s="12">
        <f t="shared" si="8"/>
        <v>103.18313013884571</v>
      </c>
    </row>
    <row r="92" spans="1:7">
      <c r="A92" s="35">
        <v>43.5</v>
      </c>
      <c r="B92" s="40">
        <v>989.35</v>
      </c>
      <c r="C92" s="36">
        <f t="shared" si="5"/>
        <v>0.98935000000000006</v>
      </c>
      <c r="D92" s="12">
        <f t="shared" si="6"/>
        <v>6.9353435000000005E-2</v>
      </c>
      <c r="E92" s="12">
        <f t="shared" si="7"/>
        <v>3.096135491071429E-3</v>
      </c>
      <c r="F92" s="12">
        <f>E92/Calculation!K$19*1000</f>
        <v>4.4428014902342262E-3</v>
      </c>
      <c r="G92" s="12">
        <f t="shared" si="8"/>
        <v>103.33893175736641</v>
      </c>
    </row>
    <row r="93" spans="1:7">
      <c r="A93" s="35">
        <v>44</v>
      </c>
      <c r="B93" s="40">
        <v>771.28</v>
      </c>
      <c r="C93" s="36">
        <f t="shared" si="5"/>
        <v>0.77127999999999997</v>
      </c>
      <c r="D93" s="12">
        <f t="shared" si="6"/>
        <v>5.4066727999999994E-2</v>
      </c>
      <c r="E93" s="12">
        <f t="shared" si="7"/>
        <v>2.4136932142857143E-3</v>
      </c>
      <c r="F93" s="12">
        <f>E93/Calculation!K$19*1000</f>
        <v>3.4635305335703782E-3</v>
      </c>
      <c r="G93" s="12">
        <f t="shared" si="8"/>
        <v>103.45752673772348</v>
      </c>
    </row>
    <row r="94" spans="1:7">
      <c r="A94" s="35">
        <v>44.5</v>
      </c>
      <c r="B94" s="40">
        <v>605.32000000000005</v>
      </c>
      <c r="C94" s="36">
        <f t="shared" si="5"/>
        <v>0.60532000000000008</v>
      </c>
      <c r="D94" s="12">
        <f t="shared" si="6"/>
        <v>4.2432932000000007E-2</v>
      </c>
      <c r="E94" s="12">
        <f t="shared" si="7"/>
        <v>1.8943273214285718E-3</v>
      </c>
      <c r="F94" s="12">
        <f>E94/Calculation!K$19*1000</f>
        <v>2.718266132378412E-3</v>
      </c>
      <c r="G94" s="12">
        <f t="shared" si="8"/>
        <v>103.55025368771271</v>
      </c>
    </row>
    <row r="95" spans="1:7">
      <c r="A95" s="35">
        <v>45</v>
      </c>
      <c r="B95" s="40">
        <v>511.42</v>
      </c>
      <c r="C95" s="36">
        <f t="shared" si="5"/>
        <v>0.51141999999999999</v>
      </c>
      <c r="D95" s="12">
        <f t="shared" si="6"/>
        <v>3.5850541999999992E-2</v>
      </c>
      <c r="E95" s="12">
        <f t="shared" si="7"/>
        <v>1.6004706249999998E-3</v>
      </c>
      <c r="F95" s="12">
        <f>E95/Calculation!K$19*1000</f>
        <v>2.2965962886092759E-3</v>
      </c>
      <c r="G95" s="12">
        <f t="shared" si="8"/>
        <v>103.62547662402753</v>
      </c>
    </row>
    <row r="96" spans="1:7">
      <c r="A96" s="35">
        <v>45.5</v>
      </c>
      <c r="B96" s="40">
        <v>461.52</v>
      </c>
      <c r="C96" s="36">
        <f t="shared" si="5"/>
        <v>0.46151999999999999</v>
      </c>
      <c r="D96" s="12">
        <f t="shared" si="6"/>
        <v>3.2352552E-2</v>
      </c>
      <c r="E96" s="12">
        <f t="shared" si="7"/>
        <v>1.4443103571428573E-3</v>
      </c>
      <c r="F96" s="12">
        <f>E96/Calculation!K$19*1000</f>
        <v>2.072514018065295E-3</v>
      </c>
      <c r="G96" s="12">
        <f t="shared" si="8"/>
        <v>103.69101327862765</v>
      </c>
    </row>
    <row r="97" spans="1:7">
      <c r="A97" s="35">
        <v>46</v>
      </c>
      <c r="B97" s="40">
        <v>396.55</v>
      </c>
      <c r="C97" s="36">
        <f t="shared" si="5"/>
        <v>0.39655000000000001</v>
      </c>
      <c r="D97" s="12">
        <f t="shared" si="6"/>
        <v>2.7798154999999998E-2</v>
      </c>
      <c r="E97" s="12">
        <f t="shared" si="7"/>
        <v>1.2409890625E-3</v>
      </c>
      <c r="F97" s="12">
        <f>E97/Calculation!K$19*1000</f>
        <v>1.7807580036916988E-3</v>
      </c>
      <c r="G97" s="12">
        <f t="shared" si="8"/>
        <v>103.74881235895401</v>
      </c>
    </row>
    <row r="98" spans="1:7">
      <c r="A98" s="35">
        <v>46.5</v>
      </c>
      <c r="B98" s="40">
        <v>339.54</v>
      </c>
      <c r="C98" s="36">
        <f t="shared" si="5"/>
        <v>0.33954000000000001</v>
      </c>
      <c r="D98" s="12">
        <f t="shared" si="6"/>
        <v>2.3801753999999998E-2</v>
      </c>
      <c r="E98" s="12">
        <f t="shared" si="7"/>
        <v>1.0625783035714286E-3</v>
      </c>
      <c r="F98" s="12">
        <f>E98/Calculation!K$19*1000</f>
        <v>1.5247473775651984E-3</v>
      </c>
      <c r="G98" s="12">
        <f t="shared" si="8"/>
        <v>103.79839493967286</v>
      </c>
    </row>
    <row r="99" spans="1:7">
      <c r="A99" s="35">
        <v>47</v>
      </c>
      <c r="B99" s="40">
        <v>332.77</v>
      </c>
      <c r="C99" s="36">
        <f t="shared" si="5"/>
        <v>0.33276999999999995</v>
      </c>
      <c r="D99" s="12">
        <f t="shared" si="6"/>
        <v>2.3327176999999998E-2</v>
      </c>
      <c r="E99" s="12">
        <f t="shared" si="7"/>
        <v>1.0413918303571429E-3</v>
      </c>
      <c r="F99" s="12">
        <f>E99/Calculation!K$19*1000</f>
        <v>1.4943458350485099E-3</v>
      </c>
      <c r="G99" s="12">
        <f t="shared" si="8"/>
        <v>103.84368133786207</v>
      </c>
    </row>
    <row r="100" spans="1:7">
      <c r="A100" s="35">
        <v>47.5</v>
      </c>
      <c r="B100" s="40">
        <v>320.58999999999997</v>
      </c>
      <c r="C100" s="36">
        <f t="shared" si="5"/>
        <v>0.32058999999999999</v>
      </c>
      <c r="D100" s="12">
        <f t="shared" si="6"/>
        <v>2.2473358999999998E-2</v>
      </c>
      <c r="E100" s="12">
        <f t="shared" si="7"/>
        <v>1.0032749553571428E-3</v>
      </c>
      <c r="F100" s="12">
        <f>E100/Calculation!K$19*1000</f>
        <v>1.4396500022784559E-3</v>
      </c>
      <c r="G100" s="12">
        <f t="shared" si="8"/>
        <v>103.88769127542197</v>
      </c>
    </row>
    <row r="101" spans="1:7">
      <c r="A101" s="35">
        <v>48</v>
      </c>
      <c r="B101" s="40">
        <v>312.47000000000003</v>
      </c>
      <c r="C101" s="36">
        <f t="shared" ref="C101" si="9">B101/1000</f>
        <v>0.31247000000000003</v>
      </c>
      <c r="D101" s="12">
        <f t="shared" si="6"/>
        <v>2.1904146999999999E-2</v>
      </c>
      <c r="E101" s="12">
        <f t="shared" si="7"/>
        <v>9.7786370535714296E-4</v>
      </c>
      <c r="F101" s="12">
        <f>E101/Calculation!K$20*1000</f>
        <v>1.6149877913145339E-3</v>
      </c>
      <c r="G101" s="12">
        <f t="shared" si="8"/>
        <v>103.93351084232587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9" workbookViewId="0">
      <selection activeCell="P19" sqref="P19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24" t="s">
        <v>40</v>
      </c>
      <c r="B1" s="124"/>
      <c r="D1" s="152" t="s">
        <v>4</v>
      </c>
      <c r="E1" s="152" t="s">
        <v>5</v>
      </c>
      <c r="F1" s="124" t="s">
        <v>133</v>
      </c>
      <c r="G1" s="124"/>
      <c r="H1" s="124"/>
      <c r="I1" s="124"/>
      <c r="J1" s="124" t="s">
        <v>41</v>
      </c>
      <c r="K1" s="124"/>
      <c r="L1" s="124"/>
      <c r="M1" s="124"/>
      <c r="N1" s="150" t="s">
        <v>42</v>
      </c>
      <c r="O1" s="122"/>
      <c r="P1" s="122"/>
      <c r="Q1" s="151"/>
      <c r="R1" s="124" t="s">
        <v>64</v>
      </c>
      <c r="S1" s="124"/>
      <c r="T1" s="124"/>
      <c r="U1" s="124"/>
    </row>
    <row r="2" spans="1:21">
      <c r="A2" s="124" t="s">
        <v>34</v>
      </c>
      <c r="B2" s="124"/>
      <c r="D2" s="152"/>
      <c r="E2" s="152"/>
      <c r="F2" s="14" t="s">
        <v>47</v>
      </c>
      <c r="G2" s="14" t="s">
        <v>23</v>
      </c>
      <c r="H2" s="14" t="s">
        <v>47</v>
      </c>
      <c r="I2" s="14" t="s">
        <v>23</v>
      </c>
      <c r="J2" s="14" t="s">
        <v>47</v>
      </c>
      <c r="K2" s="14" t="s">
        <v>23</v>
      </c>
      <c r="L2" s="14" t="s">
        <v>47</v>
      </c>
      <c r="M2" s="14" t="s">
        <v>23</v>
      </c>
      <c r="N2" s="14" t="s">
        <v>47</v>
      </c>
      <c r="O2" s="14" t="s">
        <v>23</v>
      </c>
      <c r="P2" s="14" t="s">
        <v>47</v>
      </c>
      <c r="Q2" s="14" t="s">
        <v>23</v>
      </c>
      <c r="R2" s="14" t="s">
        <v>47</v>
      </c>
      <c r="S2" s="14" t="s">
        <v>23</v>
      </c>
      <c r="T2" s="14" t="s">
        <v>47</v>
      </c>
      <c r="U2" s="14" t="s">
        <v>23</v>
      </c>
    </row>
    <row r="3" spans="1:21">
      <c r="A3" s="124" t="s">
        <v>35</v>
      </c>
      <c r="B3" s="14" t="s">
        <v>37</v>
      </c>
      <c r="D3" s="16">
        <v>0</v>
      </c>
      <c r="E3" s="65">
        <v>-0.16666666666666666</v>
      </c>
      <c r="F3" s="70">
        <v>48.6845026642984</v>
      </c>
      <c r="G3" s="67">
        <v>0.10037267606585744</v>
      </c>
      <c r="H3" s="13">
        <f>F3*Calculation!I3/Calculation!F22</f>
        <v>48.6845026642984</v>
      </c>
      <c r="I3" s="13">
        <f>G3*Calculation!I3/Calculation!F22</f>
        <v>0.10037267606585744</v>
      </c>
      <c r="J3" s="13">
        <v>1.0324156305506218</v>
      </c>
      <c r="K3" s="13">
        <v>1.1101243339254007E-2</v>
      </c>
      <c r="L3" s="13">
        <f>J3*Calculation!I3/Calculation!F22</f>
        <v>1.0324156305506218</v>
      </c>
      <c r="M3" s="13">
        <f>K3*Calculation!I3/Calculation!F22</f>
        <v>1.1101243339254007E-2</v>
      </c>
      <c r="N3" s="13">
        <v>47.599222869830697</v>
      </c>
      <c r="O3" s="13">
        <v>0.10706245640847109</v>
      </c>
      <c r="P3" s="13">
        <f>N3*Calculation!I3/Calculation!F22</f>
        <v>47.599222869830697</v>
      </c>
      <c r="Q3" s="13">
        <f>O3*Calculation!I3/Calculation!F22</f>
        <v>0.10706245640847108</v>
      </c>
      <c r="R3" s="13">
        <v>1.1876312549786372</v>
      </c>
      <c r="S3" s="13">
        <v>6.6370855166280593E-2</v>
      </c>
      <c r="T3" s="13">
        <f>R3*Calculation!I3/Calculation!F22</f>
        <v>1.1876312549786372</v>
      </c>
      <c r="U3" s="13">
        <f>S3*Calculation!I3/Calculation!F22</f>
        <v>6.6370855166280593E-2</v>
      </c>
    </row>
    <row r="4" spans="1:21">
      <c r="A4" s="124"/>
      <c r="B4" s="14" t="s">
        <v>38</v>
      </c>
      <c r="D4" s="16">
        <v>0</v>
      </c>
      <c r="E4" s="65">
        <v>0.16666666666666666</v>
      </c>
      <c r="F4" s="71">
        <v>46.395796329188869</v>
      </c>
      <c r="G4" s="72">
        <v>1.340924202501204</v>
      </c>
      <c r="H4" s="13">
        <f>F4*Calculation!I4/Calculation!K3</f>
        <v>46.426360094886626</v>
      </c>
      <c r="I4" s="13">
        <f>G4*Calculation!I4/Calculation!K3</f>
        <v>1.341807551778214</v>
      </c>
      <c r="J4" s="13">
        <v>1.2581409117821196</v>
      </c>
      <c r="K4" s="13">
        <v>3.3914858606837212E-2</v>
      </c>
      <c r="L4" s="13">
        <f>J4*Calculation!I4/Calculation!K3</f>
        <v>1.2589697266120157</v>
      </c>
      <c r="M4" s="13">
        <f>K4*Calculation!I4/Calculation!K3</f>
        <v>3.3937200410926037E-2</v>
      </c>
      <c r="N4" s="13">
        <v>44.918123785734117</v>
      </c>
      <c r="O4" s="13">
        <v>1.4191394651446818</v>
      </c>
      <c r="P4" s="13">
        <f>N4*Calculation!I4/Calculation!K3</f>
        <v>44.947714117608776</v>
      </c>
      <c r="Q4" s="13">
        <f>O4*Calculation!I4/Calculation!K3</f>
        <v>1.4200743396276492</v>
      </c>
      <c r="R4" s="13">
        <v>1.1079730610471432</v>
      </c>
      <c r="S4" s="13">
        <v>2.1724961981316477E-2</v>
      </c>
      <c r="T4" s="13">
        <f>R4*Calculation!I4/Calculation!K3</f>
        <v>1.1087029510741835</v>
      </c>
      <c r="U4" s="13">
        <f>S4*Calculation!I4/Calculation!K3</f>
        <v>2.1739273550474131E-2</v>
      </c>
    </row>
    <row r="5" spans="1:21">
      <c r="A5" s="15" t="s">
        <v>39</v>
      </c>
      <c r="B5" s="15">
        <v>180.16</v>
      </c>
      <c r="D5" s="16">
        <v>1</v>
      </c>
      <c r="E5" s="65">
        <v>2</v>
      </c>
      <c r="F5" s="71">
        <v>48.06283303730018</v>
      </c>
      <c r="G5" s="72">
        <v>1.0734965449346967</v>
      </c>
      <c r="H5" s="13">
        <f>F5*Calculation!I5/Calculation!K4</f>
        <v>48.192914822311899</v>
      </c>
      <c r="I5" s="13">
        <f>G5*Calculation!I5/Calculation!K4</f>
        <v>1.0764019572448833</v>
      </c>
      <c r="J5" s="13">
        <v>1.2951450562462996</v>
      </c>
      <c r="K5" s="13">
        <v>2.5637223321031275E-2</v>
      </c>
      <c r="L5" s="13">
        <f>J5*Calculation!I5/Calculation!K4</f>
        <v>1.2986503589952005</v>
      </c>
      <c r="M5" s="13">
        <f>K5*Calculation!I5/Calculation!K4</f>
        <v>2.5706610320539933E-2</v>
      </c>
      <c r="N5" s="13">
        <v>46.522342492367478</v>
      </c>
      <c r="O5" s="13">
        <v>0.9552277639531489</v>
      </c>
      <c r="P5" s="13">
        <f>N5*Calculation!I5/Calculation!K4</f>
        <v>46.648254948456717</v>
      </c>
      <c r="Q5" s="13">
        <f>O5*Calculation!I5/Calculation!K4</f>
        <v>0.95781308247840813</v>
      </c>
      <c r="R5" s="13">
        <v>1.2238395249474983</v>
      </c>
      <c r="S5" s="13">
        <v>4.5224114696201058E-2</v>
      </c>
      <c r="T5" s="13">
        <f>R5*Calculation!I5/Calculation!K4</f>
        <v>1.2271518396803711</v>
      </c>
      <c r="U5" s="13">
        <f>S5*Calculation!I5/Calculation!K4</f>
        <v>4.5346513506123287E-2</v>
      </c>
    </row>
    <row r="6" spans="1:21">
      <c r="A6" s="15" t="s">
        <v>39</v>
      </c>
      <c r="B6" s="15">
        <v>180.16</v>
      </c>
      <c r="D6" s="16">
        <v>2</v>
      </c>
      <c r="E6" s="65">
        <v>3.3333333333333335</v>
      </c>
      <c r="F6" s="71">
        <v>46.255180580224987</v>
      </c>
      <c r="G6" s="72">
        <v>1.2471041769668745</v>
      </c>
      <c r="H6" s="13">
        <f>F6*Calculation!I6/Calculation!K5</f>
        <v>46.478356661221589</v>
      </c>
      <c r="I6" s="13">
        <f>G6*Calculation!I6/Calculation!K5</f>
        <v>1.2531213153569676</v>
      </c>
      <c r="J6" s="13">
        <v>1.2988454706927177</v>
      </c>
      <c r="K6" s="13">
        <v>2.2202486678507938E-2</v>
      </c>
      <c r="L6" s="13">
        <f>J6*Calculation!I6/Calculation!K5</f>
        <v>1.3051122550471024</v>
      </c>
      <c r="M6" s="13">
        <f>K6*Calculation!I6/Calculation!K5</f>
        <v>2.2309611197386305E-2</v>
      </c>
      <c r="N6" s="13">
        <v>45.029142381348862</v>
      </c>
      <c r="O6" s="13">
        <v>1.2779320594804111</v>
      </c>
      <c r="P6" s="13">
        <f>N6*Calculation!I6/Calculation!K5</f>
        <v>45.246402964947229</v>
      </c>
      <c r="Q6" s="13">
        <f>O6*Calculation!I6/Calculation!K5</f>
        <v>1.2840979389610911</v>
      </c>
      <c r="R6" s="13">
        <v>1.303497718878992</v>
      </c>
      <c r="S6" s="13">
        <v>0.11495769328979323</v>
      </c>
      <c r="T6" s="13">
        <f>R6*Calculation!I6/Calculation!K5</f>
        <v>1.3097869498113601</v>
      </c>
      <c r="U6" s="13">
        <f>S6*Calculation!I6/Calculation!K5</f>
        <v>0.11551235132262326</v>
      </c>
    </row>
    <row r="7" spans="1:21">
      <c r="A7" s="32" t="s">
        <v>103</v>
      </c>
      <c r="B7" s="32">
        <v>46.03</v>
      </c>
      <c r="D7" s="16">
        <v>3</v>
      </c>
      <c r="E7" s="65">
        <v>4.666666666666667</v>
      </c>
      <c r="F7" s="71">
        <v>41.561204854943753</v>
      </c>
      <c r="G7" s="72">
        <v>0.3093610658369178</v>
      </c>
      <c r="H7" s="13">
        <f>F7*Calculation!I7/Calculation!K6</f>
        <v>41.944764727871537</v>
      </c>
      <c r="I7" s="13">
        <f>G7*Calculation!I7/Calculation!K6</f>
        <v>0.31221609594288685</v>
      </c>
      <c r="J7" s="13">
        <v>1.2470396684428657</v>
      </c>
      <c r="K7" s="13">
        <v>1.2818611660515681E-2</v>
      </c>
      <c r="L7" s="13">
        <f>J7*Calculation!I7/Calculation!K6</f>
        <v>1.2585483429010114</v>
      </c>
      <c r="M7" s="13">
        <f>K7*Calculation!I7/Calculation!K6</f>
        <v>1.2936912010006948E-2</v>
      </c>
      <c r="N7" s="13">
        <v>42.409103524840411</v>
      </c>
      <c r="O7" s="13">
        <v>0.49967618719812706</v>
      </c>
      <c r="P7" s="13">
        <f>N7*Calculation!I7/Calculation!K6</f>
        <v>42.800488481454195</v>
      </c>
      <c r="Q7" s="13">
        <f>O7*Calculation!I7/Calculation!K6</f>
        <v>0.50428759669733836</v>
      </c>
      <c r="R7" s="13">
        <v>1.7162719965240061</v>
      </c>
      <c r="S7" s="13">
        <v>0.1149576932897933</v>
      </c>
      <c r="T7" s="13">
        <f>R7*Calculation!I7/Calculation!K6</f>
        <v>1.7321111203221207</v>
      </c>
      <c r="U7" s="13">
        <f>S7*Calculation!I7/Calculation!K6</f>
        <v>0.11601861436713445</v>
      </c>
    </row>
    <row r="8" spans="1:21">
      <c r="A8" s="15" t="s">
        <v>42</v>
      </c>
      <c r="B8" s="15">
        <v>60.05</v>
      </c>
      <c r="D8" s="16">
        <v>4</v>
      </c>
      <c r="E8" s="65">
        <v>6</v>
      </c>
      <c r="F8" s="71">
        <v>36.238158673771458</v>
      </c>
      <c r="G8" s="72">
        <v>0.31717970269537815</v>
      </c>
      <c r="H8" s="13">
        <f>F8*Calculation!I8/Calculation!K7</f>
        <v>36.739464388309059</v>
      </c>
      <c r="I8" s="13">
        <f>G8*Calculation!I8/Calculation!K7</f>
        <v>0.32156745315830704</v>
      </c>
      <c r="J8" s="13">
        <v>1.2544404973357017</v>
      </c>
      <c r="K8" s="13">
        <v>1.1101243339254007E-2</v>
      </c>
      <c r="L8" s="13">
        <f>J8*Calculation!I8/Calculation!K7</f>
        <v>1.271793978110566</v>
      </c>
      <c r="M8" s="13">
        <f>K8*Calculation!I8/Calculation!K7</f>
        <v>1.1254813965580241E-2</v>
      </c>
      <c r="N8" s="13">
        <v>39.639189564252007</v>
      </c>
      <c r="O8" s="13">
        <v>0.33068822666903247</v>
      </c>
      <c r="P8" s="13">
        <f>N8*Calculation!I8/Calculation!K7</f>
        <v>40.187543922625672</v>
      </c>
      <c r="Q8" s="13">
        <f>O8*Calculation!I8/Calculation!K7</f>
        <v>0.33526284921682425</v>
      </c>
      <c r="R8" s="13">
        <v>2.4259540879136794</v>
      </c>
      <c r="S8" s="13">
        <v>9.7963279444338441E-2</v>
      </c>
      <c r="T8" s="13">
        <f>R8*Calculation!I8/Calculation!K7</f>
        <v>2.4595138683215403</v>
      </c>
      <c r="U8" s="13">
        <f>S8*Calculation!I8/Calculation!K7</f>
        <v>9.9318468383224445E-2</v>
      </c>
    </row>
    <row r="9" spans="1:21">
      <c r="A9" s="32" t="s">
        <v>66</v>
      </c>
      <c r="B9" s="32">
        <v>74.08</v>
      </c>
      <c r="D9" s="16">
        <v>5</v>
      </c>
      <c r="E9" s="65">
        <v>7.333333333333333</v>
      </c>
      <c r="F9" s="71">
        <v>31.729203670811135</v>
      </c>
      <c r="G9" s="72">
        <v>0.30605693685175339</v>
      </c>
      <c r="H9" s="13">
        <f>F9*Calculation!I9/Calculation!K8</f>
        <v>32.269451073801427</v>
      </c>
      <c r="I9" s="13">
        <f>G9*Calculation!I9/Calculation!K8</f>
        <v>0.31126811287169975</v>
      </c>
      <c r="J9" s="13">
        <v>1.2692421551213737</v>
      </c>
      <c r="K9" s="13">
        <v>6.4093058302578405E-3</v>
      </c>
      <c r="L9" s="13">
        <f>J9*Calculation!I9/Calculation!K8</f>
        <v>1.2908533113667142</v>
      </c>
      <c r="M9" s="13">
        <f>K9*Calculation!I9/Calculation!K8</f>
        <v>6.5184359195500832E-3</v>
      </c>
      <c r="N9" s="13">
        <v>37.724118789897311</v>
      </c>
      <c r="O9" s="13">
        <v>0.34303668177586316</v>
      </c>
      <c r="P9" s="13">
        <f>N9*Calculation!I9/Calculation!K8</f>
        <v>38.366440526609793</v>
      </c>
      <c r="Q9" s="13">
        <f>O9*Calculation!I9/Calculation!K8</f>
        <v>0.34887750521355648</v>
      </c>
      <c r="R9" s="13">
        <v>3.1935694112535304</v>
      </c>
      <c r="S9" s="13">
        <v>8.6899847925266199E-2</v>
      </c>
      <c r="T9" s="13">
        <f>R9*Calculation!I9/Calculation!K8</f>
        <v>3.2479457390870006</v>
      </c>
      <c r="U9" s="13">
        <f>S9*Calculation!I9/Calculation!K8</f>
        <v>8.8379475893523893E-2</v>
      </c>
    </row>
    <row r="10" spans="1:21">
      <c r="A10" s="32" t="s">
        <v>65</v>
      </c>
      <c r="B10" s="32">
        <v>88.11</v>
      </c>
      <c r="D10" s="16">
        <v>6</v>
      </c>
      <c r="E10" s="65">
        <v>8.6666666666666661</v>
      </c>
      <c r="F10" s="71">
        <v>27.124037892243933</v>
      </c>
      <c r="G10" s="72">
        <v>0.80377397175934628</v>
      </c>
      <c r="H10" s="13">
        <f>F10*Calculation!I10/Calculation!K9</f>
        <v>27.699023577891477</v>
      </c>
      <c r="I10" s="13">
        <f>G10*Calculation!I10/Calculation!K9</f>
        <v>0.82081267853647577</v>
      </c>
      <c r="J10" s="13">
        <v>1.3099467140319716</v>
      </c>
      <c r="K10" s="13">
        <v>3.8455834981546956E-2</v>
      </c>
      <c r="L10" s="13">
        <f>J10*Calculation!I10/Calculation!K9</f>
        <v>1.3377154633797519</v>
      </c>
      <c r="M10" s="13">
        <f>K10*Calculation!I10/Calculation!K9</f>
        <v>3.9271036417699509E-2</v>
      </c>
      <c r="N10" s="13">
        <v>36.053288925895096</v>
      </c>
      <c r="O10" s="13">
        <v>0.95937989814048796</v>
      </c>
      <c r="P10" s="13">
        <f>N10*Calculation!I10/Calculation!K9</f>
        <v>36.817560275730976</v>
      </c>
      <c r="Q10" s="13">
        <f>O10*Calculation!I10/Calculation!K9</f>
        <v>0.97971719860881223</v>
      </c>
      <c r="R10" s="13">
        <v>4.3160257802882178</v>
      </c>
      <c r="S10" s="13">
        <v>0.28270289370617901</v>
      </c>
      <c r="T10" s="13">
        <f>R10*Calculation!I10/Calculation!K9</f>
        <v>4.4075185385718623</v>
      </c>
      <c r="U10" s="13">
        <f>S10*Calculation!I10/Calculation!K9</f>
        <v>0.28869573731663095</v>
      </c>
    </row>
    <row r="11" spans="1:21">
      <c r="A11" s="15" t="s">
        <v>41</v>
      </c>
      <c r="B11" s="15">
        <v>90.08</v>
      </c>
      <c r="D11" s="16">
        <v>7</v>
      </c>
      <c r="E11" s="65">
        <v>10</v>
      </c>
      <c r="F11" s="71">
        <v>20.898090586145649</v>
      </c>
      <c r="G11" s="72">
        <v>0.21930224539452017</v>
      </c>
      <c r="H11" s="13">
        <f>F11*Calculation!I11/Calculation!K10</f>
        <v>21.451291258940337</v>
      </c>
      <c r="I11" s="13">
        <f>G11*Calculation!I11/Calculation!K10</f>
        <v>0.22510747191497857</v>
      </c>
      <c r="J11" s="13">
        <v>1.3321492007104796</v>
      </c>
      <c r="K11" s="13">
        <v>1.1101243339254007E-2</v>
      </c>
      <c r="L11" s="13">
        <f>J11*Calculation!I11/Calculation!K10</f>
        <v>1.3674129886177107</v>
      </c>
      <c r="M11" s="13">
        <f>K11*Calculation!I11/Calculation!K10</f>
        <v>1.1395108238480934E-2</v>
      </c>
      <c r="N11" s="13">
        <v>34.104912572855952</v>
      </c>
      <c r="O11" s="13">
        <v>0.56398648532476836</v>
      </c>
      <c r="P11" s="13">
        <f>N11*Calculation!I11/Calculation!K10</f>
        <v>35.007715654464548</v>
      </c>
      <c r="Q11" s="13">
        <f>O11*Calculation!I11/Calculation!K10</f>
        <v>0.57891596904208042</v>
      </c>
      <c r="R11" s="13">
        <v>5.8512564269679199</v>
      </c>
      <c r="S11" s="13">
        <v>0.14787875919083318</v>
      </c>
      <c r="T11" s="13">
        <f>R11*Calculation!I11/Calculation!K10</f>
        <v>6.0061470845019054</v>
      </c>
      <c r="U11" s="13">
        <f>S11*Calculation!I11/Calculation!K10</f>
        <v>0.15179330960103413</v>
      </c>
    </row>
    <row r="12" spans="1:21">
      <c r="A12" s="15" t="s">
        <v>43</v>
      </c>
      <c r="B12" s="15">
        <v>46.07</v>
      </c>
      <c r="D12" s="16">
        <v>8</v>
      </c>
      <c r="E12" s="65">
        <v>11.333333333333334</v>
      </c>
      <c r="F12" s="71">
        <v>14.960775606867971</v>
      </c>
      <c r="G12" s="72">
        <v>6.5753980328289025E-2</v>
      </c>
      <c r="H12" s="13">
        <f>F12*Calculation!I12/Calculation!K11</f>
        <v>15.438929501492931</v>
      </c>
      <c r="I12" s="13">
        <f>G12*Calculation!I12/Calculation!K11</f>
        <v>6.7855510530147753E-2</v>
      </c>
      <c r="J12" s="13">
        <v>1.3321492007104796</v>
      </c>
      <c r="K12" s="13">
        <v>0</v>
      </c>
      <c r="L12" s="13">
        <f>J12*Calculation!I12/Calculation!K11</f>
        <v>1.3747253575408003</v>
      </c>
      <c r="M12" s="13">
        <f>K12*Calculation!I12/Calculation!K11</f>
        <v>0</v>
      </c>
      <c r="N12" s="13">
        <v>33.494310296974746</v>
      </c>
      <c r="O12" s="13">
        <v>0.25492006668232081</v>
      </c>
      <c r="P12" s="13">
        <f>N12*Calculation!I12/Calculation!K11</f>
        <v>34.564805259075726</v>
      </c>
      <c r="Q12" s="13">
        <f>O12*Calculation!I12/Calculation!K11</f>
        <v>0.26306743991384302</v>
      </c>
      <c r="R12" s="13">
        <v>7.6544282714171912</v>
      </c>
      <c r="S12" s="13">
        <v>7.6295559076346942E-2</v>
      </c>
      <c r="T12" s="13">
        <f>R12*Calculation!I12/Calculation!K11</f>
        <v>7.8990676394072681</v>
      </c>
      <c r="U12" s="13">
        <f>S12*Calculation!I12/Calculation!K11</f>
        <v>7.8734003423991381E-2</v>
      </c>
    </row>
    <row r="13" spans="1:21">
      <c r="D13" s="16">
        <v>9</v>
      </c>
      <c r="E13" s="65">
        <v>12.666666666666666</v>
      </c>
      <c r="F13" s="71">
        <v>9.7339402013025467</v>
      </c>
      <c r="G13" s="72">
        <v>0.2956628827033474</v>
      </c>
      <c r="H13" s="13">
        <f>F13*Calculation!I13/Calculation!K12</f>
        <v>10.073179185947438</v>
      </c>
      <c r="I13" s="13">
        <f>G13*Calculation!I13/Calculation!K12</f>
        <v>0.30596707340631102</v>
      </c>
      <c r="J13" s="13">
        <v>1.3580521018354055</v>
      </c>
      <c r="K13" s="13">
        <v>2.5637223321031362E-2</v>
      </c>
      <c r="L13" s="13">
        <f>J13*Calculation!I13/Calculation!K12</f>
        <v>1.4053817758003078</v>
      </c>
      <c r="M13" s="13">
        <f>K13*Calculation!I13/Calculation!K12</f>
        <v>2.6530709969673112E-2</v>
      </c>
      <c r="N13" s="13">
        <v>34.338051623646962</v>
      </c>
      <c r="O13" s="13">
        <v>0.89430285309559299</v>
      </c>
      <c r="P13" s="13">
        <f>N13*Calculation!I13/Calculation!K12</f>
        <v>35.534772121881694</v>
      </c>
      <c r="Q13" s="13">
        <f>O13*Calculation!I13/Calculation!K12</f>
        <v>0.92547033364047893</v>
      </c>
      <c r="R13" s="13">
        <v>8.3423854008255489</v>
      </c>
      <c r="S13" s="13">
        <v>0.26429556942421134</v>
      </c>
      <c r="T13" s="13">
        <f>R13*Calculation!I13/Calculation!K12</f>
        <v>8.6331271040172055</v>
      </c>
      <c r="U13" s="13">
        <f>S13*Calculation!I13/Calculation!K12</f>
        <v>0.27350657326884309</v>
      </c>
    </row>
    <row r="14" spans="1:21">
      <c r="D14" s="16">
        <v>10</v>
      </c>
      <c r="E14" s="65">
        <v>14</v>
      </c>
      <c r="F14" s="71">
        <v>4.3313351095322687</v>
      </c>
      <c r="G14" s="72">
        <v>2.738056650930424E-2</v>
      </c>
      <c r="H14" s="13">
        <f>F14*Calculation!I14/Calculation!K13</f>
        <v>4.4910160019073952</v>
      </c>
      <c r="I14" s="13">
        <f>G14*Calculation!I14/Calculation!K13</f>
        <v>2.8389990435963734E-2</v>
      </c>
      <c r="J14" s="13">
        <v>1.3876554174067497</v>
      </c>
      <c r="K14" s="13">
        <v>1.1101243339254007E-2</v>
      </c>
      <c r="L14" s="13">
        <f>J14*Calculation!I14/Calculation!K13</f>
        <v>1.4388133282488449</v>
      </c>
      <c r="M14" s="13">
        <f>K14*Calculation!I14/Calculation!K13</f>
        <v>1.1510506625990768E-2</v>
      </c>
      <c r="N14" s="13">
        <v>34.482375797946155</v>
      </c>
      <c r="O14" s="13">
        <v>0.35181686100451659</v>
      </c>
      <c r="P14" s="13">
        <f>N14*Calculation!I14/Calculation!K13</f>
        <v>35.753618128402806</v>
      </c>
      <c r="Q14" s="13">
        <f>O14*Calculation!I14/Calculation!K13</f>
        <v>0.3647870951002764</v>
      </c>
      <c r="R14" s="13">
        <v>8.458251864725904</v>
      </c>
      <c r="S14" s="13">
        <v>0.11965176074920934</v>
      </c>
      <c r="T14" s="13">
        <f>R14*Calculation!I14/Calculation!K13</f>
        <v>8.7700774731210149</v>
      </c>
      <c r="U14" s="13">
        <f>S14*Calculation!I14/Calculation!K13</f>
        <v>0.12406289483316436</v>
      </c>
    </row>
    <row r="15" spans="1:21">
      <c r="D15" s="16">
        <v>11</v>
      </c>
      <c r="E15" s="65">
        <v>15.333333333333334</v>
      </c>
      <c r="F15" s="71">
        <v>0</v>
      </c>
      <c r="G15" s="72">
        <v>0</v>
      </c>
      <c r="H15" s="13">
        <f>F15*Calculation!I15/Calculation!K14</f>
        <v>0</v>
      </c>
      <c r="I15" s="13">
        <f>G15*Calculation!I15/Calculation!K14</f>
        <v>0</v>
      </c>
      <c r="J15" s="13">
        <v>1.4320603907637657</v>
      </c>
      <c r="K15" s="13">
        <v>2.937112911927834E-2</v>
      </c>
      <c r="L15" s="13">
        <f>J15*Calculation!I15/Calculation!K14</f>
        <v>1.4878918687707072</v>
      </c>
      <c r="M15" s="13">
        <f>K15*Calculation!I15/Calculation!K14</f>
        <v>3.0516215988546092E-2</v>
      </c>
      <c r="N15" s="13">
        <v>35.420482930890927</v>
      </c>
      <c r="O15" s="13">
        <v>0.70886916415629542</v>
      </c>
      <c r="P15" s="13">
        <f>N15*Calculation!I15/Calculation!K14</f>
        <v>36.801414857020511</v>
      </c>
      <c r="Q15" s="13">
        <f>O15*Calculation!I15/Calculation!K14</f>
        <v>0.73650571733774572</v>
      </c>
      <c r="R15" s="13">
        <v>8.4727351727134455</v>
      </c>
      <c r="S15" s="13">
        <v>0.21396606130341325</v>
      </c>
      <c r="T15" s="13">
        <f>R15*Calculation!I15/Calculation!K14</f>
        <v>8.8030601579619372</v>
      </c>
      <c r="U15" s="13">
        <f>S15*Calculation!I15/Calculation!K14</f>
        <v>0.22230791722159993</v>
      </c>
    </row>
    <row r="16" spans="1:21">
      <c r="D16" s="16">
        <v>12</v>
      </c>
      <c r="E16" s="65">
        <v>16.666666666666668</v>
      </c>
      <c r="F16" s="71">
        <v>0</v>
      </c>
      <c r="G16" s="72">
        <v>0</v>
      </c>
      <c r="H16" s="13">
        <f>F16*Calculation!I16/Calculation!K15</f>
        <v>0</v>
      </c>
      <c r="I16" s="13">
        <f>G16*Calculation!I16/Calculation!K15</f>
        <v>0</v>
      </c>
      <c r="J16" s="13">
        <v>1.4061574896388396</v>
      </c>
      <c r="K16" s="13">
        <v>1.6957429303418606E-2</v>
      </c>
      <c r="L16" s="13">
        <f>J16*Calculation!I16/Calculation!K15</f>
        <v>1.4735737433294496</v>
      </c>
      <c r="M16" s="13">
        <f>K16*Calculation!I16/Calculation!K15</f>
        <v>1.7770429528701673E-2</v>
      </c>
      <c r="N16" s="13">
        <v>34.932001110185958</v>
      </c>
      <c r="O16" s="13">
        <v>0.15018317245038987</v>
      </c>
      <c r="P16" s="13">
        <f>N16*Calculation!I16/Calculation!K15</f>
        <v>36.606767035139228</v>
      </c>
      <c r="Q16" s="13">
        <f>O16*Calculation!I16/Calculation!K15</f>
        <v>0.15738349455412276</v>
      </c>
      <c r="R16" s="13">
        <v>8.0092693171120271</v>
      </c>
      <c r="S16" s="13">
        <v>4.5224114696201058E-2</v>
      </c>
      <c r="T16" s="13">
        <f>R16*Calculation!I16/Calculation!K15</f>
        <v>8.3932625299188839</v>
      </c>
      <c r="U16" s="13">
        <f>S16*Calculation!I16/Calculation!K15</f>
        <v>4.7392321608838842E-2</v>
      </c>
    </row>
    <row r="17" spans="4:21">
      <c r="D17" s="16">
        <v>13</v>
      </c>
      <c r="E17" s="65">
        <v>18</v>
      </c>
      <c r="F17" s="71">
        <v>0</v>
      </c>
      <c r="G17" s="72">
        <v>0</v>
      </c>
      <c r="H17" s="13">
        <f>F17*Calculation!I17/Calculation!K16</f>
        <v>0</v>
      </c>
      <c r="I17" s="13">
        <f>G17*Calculation!I17/Calculation!K16</f>
        <v>0</v>
      </c>
      <c r="J17" s="13">
        <v>1.4468620485494377</v>
      </c>
      <c r="K17" s="13">
        <v>6.4093058302578405E-3</v>
      </c>
      <c r="L17" s="13">
        <f>J17*Calculation!I17/Calculation!K16</f>
        <v>1.5179469599432682</v>
      </c>
      <c r="M17" s="13">
        <f>K17*Calculation!I17/Calculation!K16</f>
        <v>6.724197590323432E-3</v>
      </c>
      <c r="N17" s="13">
        <v>35.159589231196222</v>
      </c>
      <c r="O17" s="13">
        <v>0.13866218147984244</v>
      </c>
      <c r="P17" s="13">
        <f>N17*Calculation!I17/Calculation!K16</f>
        <v>36.886993918912495</v>
      </c>
      <c r="Q17" s="13">
        <f>O17*Calculation!I17/Calculation!K16</f>
        <v>0.145474709940349</v>
      </c>
      <c r="R17" s="13">
        <v>7.9947860091244847</v>
      </c>
      <c r="S17" s="13">
        <v>8.6899847925266199E-2</v>
      </c>
      <c r="T17" s="13">
        <f>R17*Calculation!I17/Calculation!K16</f>
        <v>8.387573044793168</v>
      </c>
      <c r="U17" s="13">
        <f>S17*Calculation!I17/Calculation!K16</f>
        <v>9.1169272226012746E-2</v>
      </c>
    </row>
    <row r="18" spans="4:21">
      <c r="D18" s="16">
        <v>14</v>
      </c>
      <c r="E18" s="65">
        <v>24.333333333333332</v>
      </c>
      <c r="F18" s="71">
        <v>0</v>
      </c>
      <c r="G18" s="72">
        <v>0</v>
      </c>
      <c r="H18" s="13">
        <f>F18*Calculation!I18/Calculation!K17</f>
        <v>0</v>
      </c>
      <c r="I18" s="13">
        <f>G18*Calculation!I18/Calculation!K17</f>
        <v>0</v>
      </c>
      <c r="J18" s="13">
        <v>1.4579632918886916</v>
      </c>
      <c r="K18" s="13">
        <v>2.7937516412339981E-2</v>
      </c>
      <c r="L18" s="13">
        <f>J18*Calculation!I18/Calculation!K17</f>
        <v>1.5314210832695894</v>
      </c>
      <c r="M18" s="13">
        <f>K18*Calculation!I18/Calculation!K17</f>
        <v>2.9345115810579671E-2</v>
      </c>
      <c r="N18" s="13">
        <v>35.903413821815157</v>
      </c>
      <c r="O18" s="13">
        <v>0.56028655591209708</v>
      </c>
      <c r="P18" s="13">
        <f>N18*Calculation!I18/Calculation!K17</f>
        <v>37.712365732372788</v>
      </c>
      <c r="Q18" s="13">
        <f>O18*Calculation!I18/Calculation!K17</f>
        <v>0.58851594492805503</v>
      </c>
      <c r="R18" s="13">
        <v>8.0309942790933437</v>
      </c>
      <c r="S18" s="13">
        <v>2.5085825296094995E-2</v>
      </c>
      <c r="T18" s="13">
        <f>R18*Calculation!I18/Calculation!K17</f>
        <v>8.435626621770913</v>
      </c>
      <c r="U18" s="13">
        <f>S18*Calculation!I18/Calculation!K17</f>
        <v>2.6349745541186378E-2</v>
      </c>
    </row>
    <row r="19" spans="4:21">
      <c r="D19" s="16">
        <v>15</v>
      </c>
      <c r="E19" s="65">
        <v>30.166666666666668</v>
      </c>
      <c r="F19" s="71">
        <v>0</v>
      </c>
      <c r="G19" s="72">
        <v>0</v>
      </c>
      <c r="H19" s="13">
        <f>F19*Calculation!I19/Calculation!K18</f>
        <v>0</v>
      </c>
      <c r="I19" s="13">
        <f>G19*Calculation!I19/Calculation!K18</f>
        <v>0</v>
      </c>
      <c r="J19" s="13">
        <v>1.6096802841918296</v>
      </c>
      <c r="K19" s="13">
        <v>2.2202486678508014E-2</v>
      </c>
      <c r="L19" s="13">
        <f>J19*Calculation!I19/Calculation!K18</f>
        <v>1.6907821604626181</v>
      </c>
      <c r="M19" s="13">
        <f>K19*Calculation!I19/Calculation!K18</f>
        <v>2.3321133247760268E-2</v>
      </c>
      <c r="N19" s="13">
        <v>37.391063003053013</v>
      </c>
      <c r="O19" s="13">
        <v>0.14357498924648854</v>
      </c>
      <c r="P19" s="13">
        <f>N19*Calculation!I19/Calculation!K18</f>
        <v>39.274968394134682</v>
      </c>
      <c r="Q19" s="13">
        <f>O19*Calculation!I19/Calculation!K18</f>
        <v>0.15080884874505018</v>
      </c>
      <c r="R19" s="13">
        <v>9.2403504960532974</v>
      </c>
      <c r="S19" s="13">
        <v>6.6370855166280593E-2</v>
      </c>
      <c r="T19" s="13">
        <f>R19*Calculation!I19/Calculation!K18</f>
        <v>9.7059148506579671</v>
      </c>
      <c r="U19" s="13">
        <f>S19*Calculation!I19/Calculation!K18</f>
        <v>6.9714873811812211E-2</v>
      </c>
    </row>
    <row r="20" spans="4:21">
      <c r="D20" s="16">
        <v>16</v>
      </c>
      <c r="E20" s="65">
        <v>48</v>
      </c>
      <c r="F20" s="71">
        <v>0</v>
      </c>
      <c r="G20" s="72">
        <v>0</v>
      </c>
      <c r="H20" s="13">
        <f>F20*Calculation!I20/Calculation!K19</f>
        <v>0</v>
      </c>
      <c r="I20" s="13">
        <f>G20*Calculation!I20/Calculation!K19</f>
        <v>0</v>
      </c>
      <c r="J20" s="13">
        <v>2.0500296033155716</v>
      </c>
      <c r="K20" s="13">
        <v>1.6957429303418606E-2</v>
      </c>
      <c r="L20" s="13">
        <f>J20*Calculation!I20/Calculation!K19</f>
        <v>2.1533179698765297</v>
      </c>
      <c r="M20" s="13">
        <f>K20*Calculation!I20/Calculation!K19</f>
        <v>1.7811809733335456E-2</v>
      </c>
      <c r="N20" s="13">
        <v>39.872328615043024</v>
      </c>
      <c r="O20" s="13">
        <v>0.25600560771801711</v>
      </c>
      <c r="P20" s="13">
        <f>N20*Calculation!I20/Calculation!K19</f>
        <v>41.881249699386792</v>
      </c>
      <c r="Q20" s="13">
        <f>O20*Calculation!I20/Calculation!K19</f>
        <v>0.26890415367504783</v>
      </c>
      <c r="R20" s="13">
        <v>9.6893330436671725</v>
      </c>
      <c r="S20" s="13">
        <v>0.18814368972071241</v>
      </c>
      <c r="T20" s="13">
        <f>R20*Calculation!I20/Calculation!K19</f>
        <v>10.177518863777712</v>
      </c>
      <c r="U20" s="13">
        <f>S20*Calculation!I20/Calculation!K19</f>
        <v>0.19762309155889779</v>
      </c>
    </row>
    <row r="22" spans="4:21">
      <c r="D22" s="152" t="s">
        <v>4</v>
      </c>
      <c r="E22" s="152" t="s">
        <v>59</v>
      </c>
      <c r="F22" s="124" t="s">
        <v>43</v>
      </c>
      <c r="G22" s="124"/>
      <c r="H22" s="124"/>
      <c r="I22" s="124"/>
      <c r="J22" s="124" t="s">
        <v>65</v>
      </c>
      <c r="K22" s="124"/>
      <c r="L22" s="124"/>
      <c r="M22" s="124"/>
      <c r="N22" s="150" t="s">
        <v>66</v>
      </c>
      <c r="O22" s="122"/>
      <c r="P22" s="122"/>
      <c r="Q22" s="151"/>
    </row>
    <row r="23" spans="4:21">
      <c r="D23" s="152"/>
      <c r="E23" s="152"/>
      <c r="F23" s="20" t="s">
        <v>47</v>
      </c>
      <c r="G23" s="20" t="s">
        <v>23</v>
      </c>
      <c r="H23" s="20" t="s">
        <v>47</v>
      </c>
      <c r="I23" s="20" t="s">
        <v>23</v>
      </c>
      <c r="J23" s="20" t="s">
        <v>47</v>
      </c>
      <c r="K23" s="20" t="s">
        <v>23</v>
      </c>
      <c r="L23" s="20" t="s">
        <v>47</v>
      </c>
      <c r="M23" s="20" t="s">
        <v>23</v>
      </c>
      <c r="N23" s="20" t="s">
        <v>47</v>
      </c>
      <c r="O23" s="20" t="s">
        <v>23</v>
      </c>
      <c r="P23" s="20" t="s">
        <v>47</v>
      </c>
      <c r="Q23" s="20" t="s">
        <v>23</v>
      </c>
    </row>
    <row r="24" spans="4:21">
      <c r="D24" s="16">
        <v>0</v>
      </c>
      <c r="E24" s="65">
        <v>-0.16666666666666666</v>
      </c>
      <c r="F24" s="13">
        <v>0</v>
      </c>
      <c r="G24" s="13">
        <v>0</v>
      </c>
      <c r="H24" s="13">
        <f>F24*Calculation!I3/Calculation!F22</f>
        <v>0</v>
      </c>
      <c r="I24" s="13">
        <f>G24*Calculation!I3/Calculation!F22</f>
        <v>0</v>
      </c>
      <c r="J24" s="13">
        <v>0</v>
      </c>
      <c r="K24" s="13">
        <v>0</v>
      </c>
      <c r="L24" s="13">
        <f>J24*Calculation!I3/Calculation!F22</f>
        <v>0</v>
      </c>
      <c r="M24" s="13">
        <f>K24*Calculation!I3/Calculation!F22</f>
        <v>0</v>
      </c>
      <c r="N24" s="16">
        <v>0</v>
      </c>
      <c r="O24" s="69">
        <v>0</v>
      </c>
      <c r="P24" s="13">
        <f>N24*Calculation!I3/Calculation!F22</f>
        <v>0</v>
      </c>
      <c r="Q24" s="13">
        <f>O24*Calculation!I3/Calculation!F22</f>
        <v>0</v>
      </c>
    </row>
    <row r="25" spans="4:21">
      <c r="D25" s="16">
        <v>0</v>
      </c>
      <c r="E25" s="65">
        <v>0.16666666666666666</v>
      </c>
      <c r="F25" s="13">
        <v>0</v>
      </c>
      <c r="G25" s="13">
        <v>0</v>
      </c>
      <c r="H25" s="13">
        <f>F25*Calculation!I4/Calculation!K3</f>
        <v>0</v>
      </c>
      <c r="I25" s="13">
        <f>G25*Calculation!I4/Calculation!K3</f>
        <v>0</v>
      </c>
      <c r="J25" s="13">
        <v>1.5775734876858472</v>
      </c>
      <c r="K25" s="13">
        <v>4.5397798206786855E-2</v>
      </c>
      <c r="L25" s="13">
        <f>J25*Calculation!I4/Calculation!K3</f>
        <v>1.5786127324076429</v>
      </c>
      <c r="M25" s="13">
        <f>K25*Calculation!I4/Calculation!K3</f>
        <v>4.5427704529716229E-2</v>
      </c>
      <c r="N25" s="16">
        <v>0</v>
      </c>
      <c r="O25" s="69">
        <v>0</v>
      </c>
      <c r="P25" s="13">
        <f>N25*Calculation!I4/Calculation!K3</f>
        <v>0</v>
      </c>
      <c r="Q25" s="13">
        <f>O25*Calculation!I4/Calculation!K3</f>
        <v>0</v>
      </c>
    </row>
    <row r="26" spans="4:21">
      <c r="D26" s="16">
        <v>1</v>
      </c>
      <c r="E26" s="65">
        <v>2</v>
      </c>
      <c r="F26" s="13">
        <v>0</v>
      </c>
      <c r="G26" s="13">
        <v>0</v>
      </c>
      <c r="H26" s="13">
        <f>F26*Calculation!I5/Calculation!K4</f>
        <v>0</v>
      </c>
      <c r="I26" s="13">
        <f>G26*Calculation!I5/Calculation!K4</f>
        <v>0</v>
      </c>
      <c r="J26" s="13">
        <v>3.3178224189460144</v>
      </c>
      <c r="K26" s="13">
        <v>8.3658095515060718E-2</v>
      </c>
      <c r="L26" s="13">
        <f>J26*Calculation!I5/Calculation!K4</f>
        <v>3.3268020865048</v>
      </c>
      <c r="M26" s="13">
        <f>K26*Calculation!I5/Calculation!K4</f>
        <v>8.3884515676078575E-2</v>
      </c>
      <c r="N26" s="16">
        <v>0</v>
      </c>
      <c r="O26" s="69">
        <v>0</v>
      </c>
      <c r="P26" s="13">
        <f>N26*Calculation!I5/Calculation!K4</f>
        <v>0</v>
      </c>
      <c r="Q26" s="13">
        <f>O26*Calculation!I5/Calculation!K4</f>
        <v>0</v>
      </c>
    </row>
    <row r="27" spans="4:21">
      <c r="D27" s="16">
        <v>2</v>
      </c>
      <c r="E27" s="65">
        <v>3.3333333333333335</v>
      </c>
      <c r="F27" s="13">
        <v>0</v>
      </c>
      <c r="G27" s="13">
        <v>0</v>
      </c>
      <c r="H27" s="13">
        <f>F27*Calculation!I6/Calculation!K5</f>
        <v>0</v>
      </c>
      <c r="I27" s="13">
        <f>G27*Calculation!I6/Calculation!K5</f>
        <v>0</v>
      </c>
      <c r="J27" s="13">
        <v>5.3834222373548215</v>
      </c>
      <c r="K27" s="13">
        <v>0.16223494603254682</v>
      </c>
      <c r="L27" s="13">
        <f>J27*Calculation!I6/Calculation!K5</f>
        <v>5.4093966484848144</v>
      </c>
      <c r="M27" s="13">
        <f>K27*Calculation!I6/Calculation!K5</f>
        <v>0.16301771153042316</v>
      </c>
      <c r="N27" s="16">
        <v>0</v>
      </c>
      <c r="O27" s="69">
        <v>0</v>
      </c>
      <c r="P27" s="13">
        <f>N27*Calculation!I6/Calculation!K5</f>
        <v>0</v>
      </c>
      <c r="Q27" s="13">
        <f>O27*Calculation!I6/Calculation!K5</f>
        <v>0</v>
      </c>
    </row>
    <row r="28" spans="4:21">
      <c r="D28" s="16">
        <v>3</v>
      </c>
      <c r="E28" s="65">
        <v>4.666666666666667</v>
      </c>
      <c r="F28" s="13">
        <v>0</v>
      </c>
      <c r="G28" s="13">
        <v>0</v>
      </c>
      <c r="H28" s="13">
        <f>F28*Calculation!I7/Calculation!K6</f>
        <v>0</v>
      </c>
      <c r="I28" s="13">
        <f>G28*Calculation!I7/Calculation!K6</f>
        <v>0</v>
      </c>
      <c r="J28" s="13">
        <v>9.908069458631255</v>
      </c>
      <c r="K28" s="13">
        <v>4.0921022306934431E-2</v>
      </c>
      <c r="L28" s="13">
        <f>J28*Calculation!I7/Calculation!K6</f>
        <v>9.9995090084656759</v>
      </c>
      <c r="M28" s="13">
        <f>K28*Calculation!I7/Calculation!K6</f>
        <v>4.1298674065850069E-2</v>
      </c>
      <c r="N28" s="16">
        <v>0</v>
      </c>
      <c r="O28" s="69">
        <v>0</v>
      </c>
      <c r="P28" s="13">
        <f>N28*Calculation!I7/Calculation!K6</f>
        <v>0</v>
      </c>
      <c r="Q28" s="13">
        <f>O28*Calculation!I7/Calculation!K6</f>
        <v>0</v>
      </c>
    </row>
    <row r="29" spans="4:21">
      <c r="D29" s="16">
        <v>4</v>
      </c>
      <c r="E29" s="65">
        <v>6</v>
      </c>
      <c r="F29" s="13">
        <v>0</v>
      </c>
      <c r="G29" s="13">
        <v>0</v>
      </c>
      <c r="H29" s="13">
        <f>F29*Calculation!I8/Calculation!K7</f>
        <v>0</v>
      </c>
      <c r="I29" s="13">
        <f>G29*Calculation!I8/Calculation!K7</f>
        <v>0</v>
      </c>
      <c r="J29" s="13">
        <v>15.215828698974768</v>
      </c>
      <c r="K29" s="13">
        <v>0.15113671815865165</v>
      </c>
      <c r="L29" s="13">
        <f>J29*Calculation!I8/Calculation!K7</f>
        <v>15.426319026225919</v>
      </c>
      <c r="M29" s="13">
        <f>K29*Calculation!I8/Calculation!K7</f>
        <v>0.15322748941365555</v>
      </c>
      <c r="N29" s="16">
        <v>0</v>
      </c>
      <c r="O29" s="69">
        <v>0</v>
      </c>
      <c r="P29" s="13">
        <f>N29*Calculation!I8/Calculation!K7</f>
        <v>0</v>
      </c>
      <c r="Q29" s="13">
        <f>O29*Calculation!I8/Calculation!K7</f>
        <v>0</v>
      </c>
    </row>
    <row r="30" spans="4:21">
      <c r="D30" s="16">
        <v>5</v>
      </c>
      <c r="E30" s="65">
        <v>7.333333333333333</v>
      </c>
      <c r="F30" s="13">
        <v>0</v>
      </c>
      <c r="G30" s="13">
        <v>0</v>
      </c>
      <c r="H30" s="13">
        <f>F30*Calculation!I9/Calculation!K8</f>
        <v>0</v>
      </c>
      <c r="I30" s="13">
        <f>G30*Calculation!I9/Calculation!K8</f>
        <v>0</v>
      </c>
      <c r="J30" s="13">
        <v>20.39874399424961</v>
      </c>
      <c r="K30" s="13">
        <v>0.19734122280096783</v>
      </c>
      <c r="L30" s="13">
        <f>J30*Calculation!I9/Calculation!K8</f>
        <v>20.746069712899629</v>
      </c>
      <c r="M30" s="13">
        <f>K30*Calculation!I9/Calculation!K8</f>
        <v>0.20070131605219649</v>
      </c>
      <c r="N30" s="16">
        <v>0</v>
      </c>
      <c r="O30" s="69">
        <v>0</v>
      </c>
      <c r="P30" s="13">
        <f>N30*Calculation!I9/Calculation!K8</f>
        <v>0</v>
      </c>
      <c r="Q30" s="13">
        <f>O30*Calculation!I9/Calculation!K8</f>
        <v>0</v>
      </c>
    </row>
    <row r="31" spans="4:21">
      <c r="D31" s="16">
        <v>6</v>
      </c>
      <c r="E31" s="65">
        <v>8.6666666666666661</v>
      </c>
      <c r="F31" s="13">
        <v>0</v>
      </c>
      <c r="G31" s="13">
        <v>0</v>
      </c>
      <c r="H31" s="13">
        <f>F31*Calculation!I10/Calculation!K9</f>
        <v>0</v>
      </c>
      <c r="I31" s="13">
        <f>G31*Calculation!I10/Calculation!K9</f>
        <v>0</v>
      </c>
      <c r="J31" s="13">
        <v>26.674989596337909</v>
      </c>
      <c r="K31" s="13">
        <v>0.75337893470402684</v>
      </c>
      <c r="L31" s="13">
        <f>J31*Calculation!I10/Calculation!K9</f>
        <v>27.240456185185185</v>
      </c>
      <c r="M31" s="13">
        <f>K31*Calculation!I10/Calculation!K9</f>
        <v>0.76934934829230295</v>
      </c>
      <c r="N31" s="16">
        <v>0</v>
      </c>
      <c r="O31" s="69">
        <v>0</v>
      </c>
      <c r="P31" s="13">
        <f>N31*Calculation!I10/Calculation!K9</f>
        <v>0</v>
      </c>
      <c r="Q31" s="13">
        <f>O31*Calculation!I10/Calculation!K9</f>
        <v>0</v>
      </c>
    </row>
    <row r="32" spans="4:21">
      <c r="D32" s="16">
        <v>7</v>
      </c>
      <c r="E32" s="65">
        <v>10</v>
      </c>
      <c r="F32" s="13">
        <v>0</v>
      </c>
      <c r="G32" s="13">
        <v>0</v>
      </c>
      <c r="H32" s="13">
        <f>F32*Calculation!I11/Calculation!K10</f>
        <v>0</v>
      </c>
      <c r="I32" s="13">
        <f>G32*Calculation!I11/Calculation!K10</f>
        <v>0</v>
      </c>
      <c r="J32" s="13">
        <v>32.342148072485159</v>
      </c>
      <c r="K32" s="13">
        <v>0.3964733823634532</v>
      </c>
      <c r="L32" s="13">
        <f>J32*Calculation!I11/Calculation!K10</f>
        <v>33.198288397821173</v>
      </c>
      <c r="M32" s="13">
        <f>K32*Calculation!I11/Calculation!K10</f>
        <v>0.40696856808219306</v>
      </c>
      <c r="N32" s="16">
        <v>0</v>
      </c>
      <c r="O32" s="69">
        <v>0</v>
      </c>
      <c r="P32" s="13">
        <f>N32*Calculation!I11/Calculation!K10</f>
        <v>0</v>
      </c>
      <c r="Q32" s="13">
        <f>O32*Calculation!I11/Calculation!K10</f>
        <v>0</v>
      </c>
    </row>
    <row r="33" spans="4:17">
      <c r="D33" s="16">
        <v>8</v>
      </c>
      <c r="E33" s="65">
        <v>11.333333333333334</v>
      </c>
      <c r="F33" s="13">
        <v>0</v>
      </c>
      <c r="G33" s="13">
        <v>0</v>
      </c>
      <c r="H33" s="13">
        <f>F33*Calculation!I12/Calculation!K11</f>
        <v>0</v>
      </c>
      <c r="I33" s="13">
        <f>G33*Calculation!I12/Calculation!K11</f>
        <v>0</v>
      </c>
      <c r="J33" s="13">
        <v>38.947527711572654</v>
      </c>
      <c r="K33" s="13">
        <v>5.3635406040773013E-2</v>
      </c>
      <c r="L33" s="13">
        <f>J33*Calculation!I12/Calculation!K11</f>
        <v>40.192310238272206</v>
      </c>
      <c r="M33" s="13">
        <f>K33*Calculation!I12/Calculation!K11</f>
        <v>5.5349620528183249E-2</v>
      </c>
      <c r="N33" s="16">
        <v>0</v>
      </c>
      <c r="O33" s="69">
        <v>0</v>
      </c>
      <c r="P33" s="13">
        <f>N33*Calculation!I12/Calculation!K11</f>
        <v>0</v>
      </c>
      <c r="Q33" s="13">
        <f>O33*Calculation!I12/Calculation!K11</f>
        <v>0</v>
      </c>
    </row>
    <row r="34" spans="4:17">
      <c r="D34" s="16">
        <v>9</v>
      </c>
      <c r="E34" s="65">
        <v>12.666666666666666</v>
      </c>
      <c r="F34" s="13">
        <v>0</v>
      </c>
      <c r="G34" s="13">
        <v>0</v>
      </c>
      <c r="H34" s="13">
        <f>F34*Calculation!I13/Calculation!K12</f>
        <v>0</v>
      </c>
      <c r="I34" s="13">
        <f>G34*Calculation!I13/Calculation!K12</f>
        <v>0</v>
      </c>
      <c r="J34" s="13">
        <v>44.894639276661749</v>
      </c>
      <c r="K34" s="13">
        <v>1.2040227300022701</v>
      </c>
      <c r="L34" s="13">
        <f>J34*Calculation!I13/Calculation!K12</f>
        <v>46.459268967131337</v>
      </c>
      <c r="M34" s="13">
        <f>K34*Calculation!I13/Calculation!K12</f>
        <v>1.2459843036269658</v>
      </c>
      <c r="N34" s="16">
        <v>0</v>
      </c>
      <c r="O34" s="69">
        <v>0</v>
      </c>
      <c r="P34" s="13">
        <f>N34*Calculation!I13/Calculation!K12</f>
        <v>0</v>
      </c>
      <c r="Q34" s="13">
        <f>O34*Calculation!I13/Calculation!K12</f>
        <v>0</v>
      </c>
    </row>
    <row r="35" spans="4:17">
      <c r="D35" s="16">
        <v>10</v>
      </c>
      <c r="E35" s="65">
        <v>14</v>
      </c>
      <c r="F35" s="13">
        <v>0</v>
      </c>
      <c r="G35" s="13">
        <v>0</v>
      </c>
      <c r="H35" s="13">
        <f>F35*Calculation!I14/Calculation!K13</f>
        <v>0</v>
      </c>
      <c r="I35" s="13">
        <f>G35*Calculation!I14/Calculation!K13</f>
        <v>0</v>
      </c>
      <c r="J35" s="13">
        <v>50.285627813717703</v>
      </c>
      <c r="K35" s="13">
        <v>0.52800358688378124</v>
      </c>
      <c r="L35" s="13">
        <f>J35*Calculation!I14/Calculation!K13</f>
        <v>52.139479736942597</v>
      </c>
      <c r="M35" s="13">
        <f>K35*Calculation!I14/Calculation!K13</f>
        <v>0.54746919778636838</v>
      </c>
      <c r="N35" s="16">
        <v>0</v>
      </c>
      <c r="O35" s="69">
        <v>0</v>
      </c>
      <c r="P35" s="13">
        <f>N35*Calculation!I14/Calculation!K13</f>
        <v>0</v>
      </c>
      <c r="Q35" s="13">
        <f>O35*Calculation!I14/Calculation!K13</f>
        <v>0</v>
      </c>
    </row>
    <row r="36" spans="4:17">
      <c r="D36" s="16">
        <v>11</v>
      </c>
      <c r="E36" s="65">
        <v>15.333333333333334</v>
      </c>
      <c r="F36" s="13">
        <v>0</v>
      </c>
      <c r="G36" s="13">
        <v>0</v>
      </c>
      <c r="H36" s="13">
        <f>F36*Calculation!I15/Calculation!K14</f>
        <v>0</v>
      </c>
      <c r="I36" s="13">
        <f>G36*Calculation!I15/Calculation!K14</f>
        <v>0</v>
      </c>
      <c r="J36" s="13">
        <v>54.43196004993758</v>
      </c>
      <c r="K36" s="13">
        <v>1.1422418929134079</v>
      </c>
      <c r="L36" s="13">
        <f>J36*Calculation!I15/Calculation!K14</f>
        <v>56.554088976904133</v>
      </c>
      <c r="M36" s="13">
        <f>K36*Calculation!I15/Calculation!K14</f>
        <v>1.1867742698537338</v>
      </c>
      <c r="N36" s="16">
        <v>0</v>
      </c>
      <c r="O36" s="69">
        <v>0</v>
      </c>
      <c r="P36" s="13">
        <f>N36*Calculation!I15/Calculation!K14</f>
        <v>0</v>
      </c>
      <c r="Q36" s="13">
        <f>O36*Calculation!I15/Calculation!K14</f>
        <v>0</v>
      </c>
    </row>
    <row r="37" spans="4:17">
      <c r="D37" s="16">
        <v>12</v>
      </c>
      <c r="E37" s="65">
        <v>16.666666666666668</v>
      </c>
      <c r="F37" s="13">
        <v>0</v>
      </c>
      <c r="G37" s="13">
        <v>0</v>
      </c>
      <c r="H37" s="13">
        <f>F37*Calculation!I16/Calculation!K15</f>
        <v>0</v>
      </c>
      <c r="I37" s="13">
        <f>G37*Calculation!I16/Calculation!K15</f>
        <v>0</v>
      </c>
      <c r="J37" s="13">
        <v>53.679113229675032</v>
      </c>
      <c r="K37" s="13">
        <v>0.38610375885213183</v>
      </c>
      <c r="L37" s="13">
        <f>J37*Calculation!I16/Calculation!K15</f>
        <v>56.25268321884333</v>
      </c>
      <c r="M37" s="13">
        <f>K37*Calculation!I16/Calculation!K15</f>
        <v>0.40461496342876774</v>
      </c>
      <c r="N37" s="16">
        <v>0</v>
      </c>
      <c r="O37" s="69">
        <v>0</v>
      </c>
      <c r="P37" s="13">
        <f>N37*Calculation!I16/Calculation!K15</f>
        <v>0</v>
      </c>
      <c r="Q37" s="13">
        <f>O37*Calculation!I16/Calculation!K15</f>
        <v>0</v>
      </c>
    </row>
    <row r="38" spans="4:17">
      <c r="D38" s="16">
        <v>13</v>
      </c>
      <c r="E38" s="65">
        <v>18</v>
      </c>
      <c r="F38" s="13">
        <v>0</v>
      </c>
      <c r="G38" s="13">
        <v>0</v>
      </c>
      <c r="H38" s="13">
        <f>F38*Calculation!I17/Calculation!K16</f>
        <v>0</v>
      </c>
      <c r="I38" s="13">
        <f>G38*Calculation!I17/Calculation!K16</f>
        <v>0</v>
      </c>
      <c r="J38" s="13">
        <v>54.140657511444026</v>
      </c>
      <c r="K38" s="13">
        <v>0.31825712984599563</v>
      </c>
      <c r="L38" s="13">
        <f>J38*Calculation!I17/Calculation!K16</f>
        <v>56.800609678869492</v>
      </c>
      <c r="M38" s="13">
        <f>K38*Calculation!I17/Calculation!K16</f>
        <v>0.33389322998300497</v>
      </c>
      <c r="N38" s="16">
        <v>0</v>
      </c>
      <c r="O38" s="69">
        <v>0</v>
      </c>
      <c r="P38" s="13">
        <f>N38*Calculation!I17/Calculation!K16</f>
        <v>0</v>
      </c>
      <c r="Q38" s="13">
        <f>O38*Calculation!I17/Calculation!K16</f>
        <v>0</v>
      </c>
    </row>
    <row r="39" spans="4:17">
      <c r="D39" s="16">
        <v>14</v>
      </c>
      <c r="E39" s="65">
        <v>24.333333333333332</v>
      </c>
      <c r="F39" s="13">
        <v>0</v>
      </c>
      <c r="G39" s="13">
        <v>0</v>
      </c>
      <c r="H39" s="13">
        <f>F39*Calculation!I18/Calculation!K17</f>
        <v>0</v>
      </c>
      <c r="I39" s="13">
        <f>G39*Calculation!I18/Calculation!K17</f>
        <v>0</v>
      </c>
      <c r="J39" s="13">
        <v>55.188590020050697</v>
      </c>
      <c r="K39" s="13">
        <v>0.38191080433994351</v>
      </c>
      <c r="L39" s="13">
        <f>J39*Calculation!I18/Calculation!K17</f>
        <v>57.969203191077149</v>
      </c>
      <c r="M39" s="13">
        <f>K39*Calculation!I18/Calculation!K17</f>
        <v>0.40115293776497096</v>
      </c>
      <c r="N39" s="16">
        <v>0</v>
      </c>
      <c r="O39" s="69">
        <v>0</v>
      </c>
      <c r="P39" s="13">
        <f>N39*Calculation!I18/Calculation!K17</f>
        <v>0</v>
      </c>
      <c r="Q39" s="13">
        <f>O39*Calculation!I18/Calculation!K17</f>
        <v>0</v>
      </c>
    </row>
    <row r="40" spans="4:17">
      <c r="D40" s="16">
        <v>15</v>
      </c>
      <c r="E40" s="65">
        <v>30.166666666666668</v>
      </c>
      <c r="F40" s="13">
        <v>0</v>
      </c>
      <c r="G40" s="13">
        <v>0</v>
      </c>
      <c r="H40" s="13">
        <f>F40*Calculation!I19/Calculation!K18</f>
        <v>0</v>
      </c>
      <c r="I40" s="13">
        <f>G40*Calculation!I19/Calculation!K18</f>
        <v>0</v>
      </c>
      <c r="J40" s="13">
        <v>56.735898308932015</v>
      </c>
      <c r="K40" s="13">
        <v>0.59830009547598306</v>
      </c>
      <c r="L40" s="13">
        <f>J40*Calculation!I19/Calculation!K18</f>
        <v>59.594470815504799</v>
      </c>
      <c r="M40" s="13">
        <f>K40*Calculation!I19/Calculation!K18</f>
        <v>0.62844475264338828</v>
      </c>
      <c r="N40" s="16">
        <v>0</v>
      </c>
      <c r="O40" s="69">
        <v>0</v>
      </c>
      <c r="P40" s="13">
        <f>N40*Calculation!I19/Calculation!K18</f>
        <v>0</v>
      </c>
      <c r="Q40" s="13">
        <f>O40*Calculation!I19/Calculation!K18</f>
        <v>0</v>
      </c>
    </row>
    <row r="41" spans="4:17">
      <c r="D41" s="16">
        <v>16</v>
      </c>
      <c r="E41" s="65">
        <v>48</v>
      </c>
      <c r="F41" s="13">
        <v>0</v>
      </c>
      <c r="G41" s="13">
        <v>0</v>
      </c>
      <c r="H41" s="13">
        <f>F41*Calculation!I20/Calculation!K19</f>
        <v>0</v>
      </c>
      <c r="I41" s="13">
        <f>G41*Calculation!I20/Calculation!K19</f>
        <v>0</v>
      </c>
      <c r="J41" s="13">
        <v>58.839329625846467</v>
      </c>
      <c r="K41" s="13">
        <v>0.2466602097787326</v>
      </c>
      <c r="L41" s="13">
        <f>J41*Calculation!I20/Calculation!K19</f>
        <v>61.803881082452889</v>
      </c>
      <c r="M41" s="13">
        <f>K41*Calculation!I20/Calculation!K19</f>
        <v>0.2590878986874311</v>
      </c>
      <c r="N41" s="16">
        <v>0</v>
      </c>
      <c r="O41" s="69">
        <v>0</v>
      </c>
      <c r="P41" s="13">
        <f>N41*Calculation!I20/Calculation!K19</f>
        <v>0</v>
      </c>
      <c r="Q41" s="13">
        <f>O41*Calculation!I20/Calculation!K19</f>
        <v>0</v>
      </c>
    </row>
  </sheetData>
  <mergeCells count="14">
    <mergeCell ref="R1:U1"/>
    <mergeCell ref="D1:D2"/>
    <mergeCell ref="E1:E2"/>
    <mergeCell ref="F1:I1"/>
    <mergeCell ref="J1:M1"/>
    <mergeCell ref="F22:I22"/>
    <mergeCell ref="J22:M22"/>
    <mergeCell ref="N22:Q22"/>
    <mergeCell ref="N1:Q1"/>
    <mergeCell ref="A1:B1"/>
    <mergeCell ref="A2:B2"/>
    <mergeCell ref="A3:A4"/>
    <mergeCell ref="D22:D23"/>
    <mergeCell ref="E22:E2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133</v>
      </c>
      <c r="B2" s="17">
        <v>180.16</v>
      </c>
    </row>
    <row r="4" spans="1:8">
      <c r="A4" s="153" t="s">
        <v>134</v>
      </c>
      <c r="B4" s="154"/>
      <c r="C4" s="154"/>
      <c r="D4" s="154"/>
      <c r="E4" s="154"/>
      <c r="F4" s="154"/>
      <c r="G4" s="154"/>
      <c r="H4" s="155"/>
    </row>
    <row r="5" spans="1:8">
      <c r="A5" s="156" t="s">
        <v>61</v>
      </c>
      <c r="B5" s="154"/>
      <c r="C5" s="155"/>
      <c r="D5" s="157" t="s">
        <v>44</v>
      </c>
      <c r="E5" s="157" t="s">
        <v>45</v>
      </c>
      <c r="F5" s="157" t="s">
        <v>46</v>
      </c>
      <c r="G5" s="159" t="s">
        <v>62</v>
      </c>
      <c r="H5" s="159" t="s">
        <v>63</v>
      </c>
    </row>
    <row r="6" spans="1:8">
      <c r="A6" s="28" t="s">
        <v>4</v>
      </c>
      <c r="B6" s="28" t="s">
        <v>5</v>
      </c>
      <c r="C6" s="28" t="s">
        <v>19</v>
      </c>
      <c r="D6" s="158"/>
      <c r="E6" s="158"/>
      <c r="F6" s="158"/>
      <c r="G6" s="160"/>
      <c r="H6" s="160"/>
    </row>
    <row r="7" spans="1:8">
      <c r="A7" s="16">
        <v>0</v>
      </c>
      <c r="B7" s="65">
        <v>-0.16666666666666666</v>
      </c>
      <c r="C7" s="16">
        <v>1</v>
      </c>
      <c r="D7" s="19">
        <v>8.7880000000000003</v>
      </c>
      <c r="E7" s="19">
        <v>8.7729999999999997</v>
      </c>
      <c r="F7" s="19">
        <v>8.7520000000000007</v>
      </c>
      <c r="G7" s="19">
        <f>(C7*1000*AVERAGE(D7:F7)/$B$2)</f>
        <v>48.6845026642984</v>
      </c>
      <c r="H7" s="19">
        <f>(C7*1000*STDEV(D7:F7))/$B$2</f>
        <v>0.10037267606585744</v>
      </c>
    </row>
    <row r="8" spans="1:8">
      <c r="A8" s="16">
        <v>0</v>
      </c>
      <c r="B8" s="65">
        <v>0.16666666666666666</v>
      </c>
      <c r="C8" s="16">
        <v>1</v>
      </c>
      <c r="D8" s="19">
        <v>8.09</v>
      </c>
      <c r="E8" s="19">
        <v>8.5579999999999998</v>
      </c>
      <c r="F8" s="19">
        <v>8.4280000000000008</v>
      </c>
      <c r="G8" s="19">
        <f t="shared" ref="G8:G17" si="0">(C8*1000*AVERAGE(D8:F8))/$B$2</f>
        <v>46.395796329188869</v>
      </c>
      <c r="H8" s="19">
        <f t="shared" ref="H8:H17" si="1">(C8*1000*STDEV(D8:F8))/$B$2</f>
        <v>1.340924202501204</v>
      </c>
    </row>
    <row r="9" spans="1:8">
      <c r="A9" s="16">
        <v>1</v>
      </c>
      <c r="B9" s="65">
        <v>2</v>
      </c>
      <c r="C9" s="16">
        <v>1</v>
      </c>
      <c r="D9" s="19">
        <v>8.7490000000000006</v>
      </c>
      <c r="E9" s="19">
        <v>8.4369999999999994</v>
      </c>
      <c r="F9" s="19">
        <v>8.7910000000000004</v>
      </c>
      <c r="G9" s="19">
        <f t="shared" si="0"/>
        <v>48.06283303730018</v>
      </c>
      <c r="H9" s="19">
        <f t="shared" si="1"/>
        <v>1.0734965449346967</v>
      </c>
    </row>
    <row r="10" spans="1:8">
      <c r="A10" s="16">
        <v>2</v>
      </c>
      <c r="B10" s="65">
        <v>3.3333333333333335</v>
      </c>
      <c r="C10" s="16">
        <v>1</v>
      </c>
      <c r="D10" s="19">
        <v>8.5630000000000006</v>
      </c>
      <c r="E10" s="19">
        <v>8.1140000000000008</v>
      </c>
      <c r="F10" s="19">
        <v>8.3230000000000004</v>
      </c>
      <c r="G10" s="19">
        <f t="shared" si="0"/>
        <v>46.255180580224987</v>
      </c>
      <c r="H10" s="19">
        <f t="shared" si="1"/>
        <v>1.2471041769668745</v>
      </c>
    </row>
    <row r="11" spans="1:8">
      <c r="A11" s="16">
        <v>3</v>
      </c>
      <c r="B11" s="65">
        <v>4.666666666666667</v>
      </c>
      <c r="C11" s="16">
        <v>1</v>
      </c>
      <c r="D11" s="19">
        <v>7.5519999999999996</v>
      </c>
      <c r="E11" s="19">
        <v>7.4569999999999999</v>
      </c>
      <c r="F11" s="19">
        <v>7.4539999999999997</v>
      </c>
      <c r="G11" s="19">
        <f t="shared" si="0"/>
        <v>41.561204854943753</v>
      </c>
      <c r="H11" s="19">
        <f t="shared" si="1"/>
        <v>0.3093610658369178</v>
      </c>
    </row>
    <row r="12" spans="1:8">
      <c r="A12" s="16">
        <v>4</v>
      </c>
      <c r="B12" s="65">
        <v>6</v>
      </c>
      <c r="C12" s="16">
        <v>1</v>
      </c>
      <c r="D12" s="19">
        <v>6.5940000000000003</v>
      </c>
      <c r="E12" s="19">
        <v>6.5039999999999996</v>
      </c>
      <c r="F12" s="19">
        <v>6.4880000000000004</v>
      </c>
      <c r="G12" s="19">
        <f t="shared" si="0"/>
        <v>36.238158673771458</v>
      </c>
      <c r="H12" s="19">
        <f t="shared" si="1"/>
        <v>0.31717970269537815</v>
      </c>
    </row>
    <row r="13" spans="1:8">
      <c r="A13" s="16">
        <v>5</v>
      </c>
      <c r="B13" s="65">
        <v>7.333333333333333</v>
      </c>
      <c r="C13" s="16">
        <v>1</v>
      </c>
      <c r="D13" s="19">
        <v>5.766</v>
      </c>
      <c r="E13" s="19">
        <v>5.726</v>
      </c>
      <c r="F13" s="19">
        <v>5.657</v>
      </c>
      <c r="G13" s="19">
        <f t="shared" si="0"/>
        <v>31.729203670811135</v>
      </c>
      <c r="H13" s="19">
        <f t="shared" si="1"/>
        <v>0.30605693685175339</v>
      </c>
    </row>
    <row r="14" spans="1:8">
      <c r="A14" s="16">
        <v>6</v>
      </c>
      <c r="B14" s="65">
        <v>8.6666666666666661</v>
      </c>
      <c r="C14" s="16">
        <v>1</v>
      </c>
      <c r="D14" s="19">
        <v>4.8360000000000003</v>
      </c>
      <c r="E14" s="19">
        <v>4.774</v>
      </c>
      <c r="F14" s="19">
        <v>5.05</v>
      </c>
      <c r="G14" s="19">
        <f t="shared" si="0"/>
        <v>27.124037892243933</v>
      </c>
      <c r="H14" s="19">
        <f t="shared" si="1"/>
        <v>0.80377397175934628</v>
      </c>
    </row>
    <row r="15" spans="1:8">
      <c r="A15" s="16">
        <v>7</v>
      </c>
      <c r="B15" s="65">
        <v>10</v>
      </c>
      <c r="C15" s="16">
        <v>1</v>
      </c>
      <c r="D15" s="19">
        <v>3.81</v>
      </c>
      <c r="E15" s="19">
        <v>3.7360000000000002</v>
      </c>
      <c r="F15" s="19">
        <v>3.7490000000000001</v>
      </c>
      <c r="G15" s="19">
        <f t="shared" si="0"/>
        <v>20.898090586145649</v>
      </c>
      <c r="H15" s="19">
        <f t="shared" si="1"/>
        <v>0.21930224539452017</v>
      </c>
    </row>
    <row r="16" spans="1:8">
      <c r="A16" s="16">
        <v>8</v>
      </c>
      <c r="B16" s="65">
        <v>11.333333333333334</v>
      </c>
      <c r="C16" s="16">
        <v>1</v>
      </c>
      <c r="D16" s="19">
        <v>2.7090000000000001</v>
      </c>
      <c r="E16" s="19">
        <v>2.6890000000000001</v>
      </c>
      <c r="F16" s="19">
        <v>2.6880000000000002</v>
      </c>
      <c r="G16" s="19">
        <f t="shared" si="0"/>
        <v>14.960775606867971</v>
      </c>
      <c r="H16" s="19">
        <f t="shared" si="1"/>
        <v>6.5753980328289025E-2</v>
      </c>
    </row>
    <row r="17" spans="1:8">
      <c r="A17" s="16">
        <v>9</v>
      </c>
      <c r="B17" s="65">
        <v>12.666666666666666</v>
      </c>
      <c r="C17" s="16">
        <v>1</v>
      </c>
      <c r="D17" s="83">
        <v>1.7270000000000001</v>
      </c>
      <c r="E17" s="84">
        <v>1.7190000000000001</v>
      </c>
      <c r="F17" s="84">
        <v>1.8149999999999999</v>
      </c>
      <c r="G17" s="19">
        <f t="shared" si="0"/>
        <v>9.7339402013025467</v>
      </c>
      <c r="H17" s="19">
        <f t="shared" si="1"/>
        <v>0.2956628827033474</v>
      </c>
    </row>
    <row r="18" spans="1:8">
      <c r="A18" s="16">
        <v>10</v>
      </c>
      <c r="B18" s="65">
        <v>14</v>
      </c>
      <c r="C18" s="16">
        <v>1</v>
      </c>
      <c r="D18" s="118">
        <v>0.77700000000000002</v>
      </c>
      <c r="E18" s="119">
        <v>0.77800000000000002</v>
      </c>
      <c r="F18" s="119">
        <v>0.78600000000000003</v>
      </c>
      <c r="G18" s="19">
        <f t="shared" ref="G18:G24" si="2">(C18*1000*AVERAGE(D18:F18))/$B$2</f>
        <v>4.3313351095322687</v>
      </c>
      <c r="H18" s="19">
        <f t="shared" ref="H18:H24" si="3">(C18*1000*STDEV(D18:F18))/$B$2</f>
        <v>2.738056650930424E-2</v>
      </c>
    </row>
    <row r="19" spans="1:8">
      <c r="A19" s="16">
        <v>11</v>
      </c>
      <c r="B19" s="65">
        <v>15.333333333333334</v>
      </c>
      <c r="C19" s="16">
        <v>1</v>
      </c>
      <c r="D19" s="85">
        <v>0</v>
      </c>
      <c r="E19" s="86">
        <v>0</v>
      </c>
      <c r="F19" s="86">
        <v>0</v>
      </c>
      <c r="G19" s="19">
        <f t="shared" si="2"/>
        <v>0</v>
      </c>
      <c r="H19" s="19">
        <f t="shared" si="3"/>
        <v>0</v>
      </c>
    </row>
    <row r="20" spans="1:8">
      <c r="A20" s="16">
        <v>12</v>
      </c>
      <c r="B20" s="65">
        <v>16.666666666666668</v>
      </c>
      <c r="C20" s="16">
        <v>1</v>
      </c>
      <c r="D20" s="85">
        <v>0</v>
      </c>
      <c r="E20" s="86">
        <v>0</v>
      </c>
      <c r="F20" s="86">
        <v>0</v>
      </c>
      <c r="G20" s="19">
        <f t="shared" si="2"/>
        <v>0</v>
      </c>
      <c r="H20" s="19">
        <f t="shared" si="3"/>
        <v>0</v>
      </c>
    </row>
    <row r="21" spans="1:8">
      <c r="A21" s="16">
        <v>13</v>
      </c>
      <c r="B21" s="65">
        <v>18</v>
      </c>
      <c r="C21" s="16">
        <v>1</v>
      </c>
      <c r="D21" s="85">
        <v>0</v>
      </c>
      <c r="E21" s="86">
        <v>0</v>
      </c>
      <c r="F21" s="86">
        <v>0</v>
      </c>
      <c r="G21" s="19">
        <f t="shared" si="2"/>
        <v>0</v>
      </c>
      <c r="H21" s="19">
        <f t="shared" si="3"/>
        <v>0</v>
      </c>
    </row>
    <row r="22" spans="1:8">
      <c r="A22" s="16">
        <v>14</v>
      </c>
      <c r="B22" s="65">
        <v>24.333333333333332</v>
      </c>
      <c r="C22" s="16">
        <v>1</v>
      </c>
      <c r="D22" s="85">
        <v>0</v>
      </c>
      <c r="E22" s="86">
        <v>0</v>
      </c>
      <c r="F22" s="86">
        <v>0</v>
      </c>
      <c r="G22" s="19">
        <f t="shared" si="2"/>
        <v>0</v>
      </c>
      <c r="H22" s="19">
        <f t="shared" si="3"/>
        <v>0</v>
      </c>
    </row>
    <row r="23" spans="1:8">
      <c r="A23" s="16">
        <v>15</v>
      </c>
      <c r="B23" s="65">
        <v>30.166666666666668</v>
      </c>
      <c r="C23" s="16">
        <v>1</v>
      </c>
      <c r="D23" s="85">
        <v>0</v>
      </c>
      <c r="E23" s="86">
        <v>0</v>
      </c>
      <c r="F23" s="86">
        <v>0</v>
      </c>
      <c r="G23" s="19">
        <f t="shared" si="2"/>
        <v>0</v>
      </c>
      <c r="H23" s="19">
        <f t="shared" si="3"/>
        <v>0</v>
      </c>
    </row>
    <row r="24" spans="1:8">
      <c r="A24" s="16">
        <v>16</v>
      </c>
      <c r="B24" s="65">
        <v>48</v>
      </c>
      <c r="C24" s="16">
        <v>1</v>
      </c>
      <c r="D24" s="85">
        <v>0</v>
      </c>
      <c r="E24" s="86">
        <v>0</v>
      </c>
      <c r="F24" s="86">
        <v>0</v>
      </c>
      <c r="G24" s="19">
        <f t="shared" si="2"/>
        <v>0</v>
      </c>
      <c r="H24" s="19">
        <f t="shared" si="3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2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64</v>
      </c>
      <c r="B2" s="17">
        <v>46.03</v>
      </c>
    </row>
    <row r="4" spans="1:8">
      <c r="A4" s="153" t="s">
        <v>64</v>
      </c>
      <c r="B4" s="154"/>
      <c r="C4" s="154"/>
      <c r="D4" s="154"/>
      <c r="E4" s="154"/>
      <c r="F4" s="154"/>
      <c r="G4" s="154"/>
      <c r="H4" s="155"/>
    </row>
    <row r="5" spans="1:8">
      <c r="A5" s="156" t="s">
        <v>61</v>
      </c>
      <c r="B5" s="154"/>
      <c r="C5" s="155"/>
      <c r="D5" s="157" t="s">
        <v>44</v>
      </c>
      <c r="E5" s="157" t="s">
        <v>45</v>
      </c>
      <c r="F5" s="157" t="s">
        <v>46</v>
      </c>
      <c r="G5" s="159" t="s">
        <v>62</v>
      </c>
      <c r="H5" s="159" t="s">
        <v>63</v>
      </c>
    </row>
    <row r="6" spans="1:8">
      <c r="A6" s="28" t="s">
        <v>4</v>
      </c>
      <c r="B6" s="28" t="s">
        <v>59</v>
      </c>
      <c r="C6" s="28" t="s">
        <v>19</v>
      </c>
      <c r="D6" s="158"/>
      <c r="E6" s="158"/>
      <c r="F6" s="158"/>
      <c r="G6" s="160"/>
      <c r="H6" s="160"/>
    </row>
    <row r="7" spans="1:8">
      <c r="A7" s="16">
        <v>0</v>
      </c>
      <c r="B7" s="65">
        <v>-0.16666666666666666</v>
      </c>
      <c r="C7" s="16">
        <v>1</v>
      </c>
      <c r="D7" s="42">
        <v>5.3999999999999999E-2</v>
      </c>
      <c r="E7" s="42">
        <v>5.8000000000000003E-2</v>
      </c>
      <c r="F7" s="42">
        <v>5.1999999999999998E-2</v>
      </c>
      <c r="G7" s="16">
        <f>(C7*1000*AVERAGE(D7:F7))/$B$2</f>
        <v>1.1876312549786372</v>
      </c>
      <c r="H7" s="19">
        <f>(C7*1000*STDEV(D7:F7))/$B$2</f>
        <v>6.6370855166280593E-2</v>
      </c>
    </row>
    <row r="8" spans="1:8">
      <c r="A8" s="16">
        <v>0</v>
      </c>
      <c r="B8" s="65">
        <v>0.16666666666666666</v>
      </c>
      <c r="C8" s="16">
        <v>1</v>
      </c>
      <c r="D8" s="42">
        <v>5.1999999999999998E-2</v>
      </c>
      <c r="E8" s="42">
        <v>5.0999999999999997E-2</v>
      </c>
      <c r="F8" s="42">
        <v>0.05</v>
      </c>
      <c r="G8" s="16">
        <f t="shared" ref="G8:G17" si="0">(C8*1000*AVERAGE(D8:F8))/$B$2</f>
        <v>1.1079730610471432</v>
      </c>
      <c r="H8" s="19">
        <f t="shared" ref="H8:H17" si="1">(C8*1000*STDEV(D8:F8))/$B$2</f>
        <v>2.1724961981316477E-2</v>
      </c>
    </row>
    <row r="9" spans="1:8">
      <c r="A9" s="16">
        <v>1</v>
      </c>
      <c r="B9" s="65">
        <v>2</v>
      </c>
      <c r="C9" s="16">
        <v>1</v>
      </c>
      <c r="D9" s="42">
        <v>5.7000000000000002E-2</v>
      </c>
      <c r="E9" s="42">
        <v>5.3999999999999999E-2</v>
      </c>
      <c r="F9" s="42">
        <v>5.8000000000000003E-2</v>
      </c>
      <c r="G9" s="16">
        <f t="shared" si="0"/>
        <v>1.2238395249474983</v>
      </c>
      <c r="H9" s="19">
        <f t="shared" si="1"/>
        <v>4.5224114696201058E-2</v>
      </c>
    </row>
    <row r="10" spans="1:8">
      <c r="A10" s="16">
        <v>2</v>
      </c>
      <c r="B10" s="65">
        <v>3.3333333333333335</v>
      </c>
      <c r="C10" s="16">
        <v>1</v>
      </c>
      <c r="D10" s="42">
        <v>6.2E-2</v>
      </c>
      <c r="E10" s="42">
        <v>5.3999999999999999E-2</v>
      </c>
      <c r="F10" s="42">
        <v>6.4000000000000001E-2</v>
      </c>
      <c r="G10" s="16">
        <f t="shared" si="0"/>
        <v>1.303497718878992</v>
      </c>
      <c r="H10" s="19">
        <f t="shared" si="1"/>
        <v>0.11495769328979323</v>
      </c>
    </row>
    <row r="11" spans="1:8">
      <c r="A11" s="16">
        <v>3</v>
      </c>
      <c r="B11" s="65">
        <v>4.666666666666667</v>
      </c>
      <c r="C11" s="16">
        <v>1</v>
      </c>
      <c r="D11" s="42">
        <v>8.3000000000000004E-2</v>
      </c>
      <c r="E11" s="42">
        <v>7.2999999999999995E-2</v>
      </c>
      <c r="F11" s="42">
        <v>8.1000000000000003E-2</v>
      </c>
      <c r="G11" s="16">
        <f t="shared" si="0"/>
        <v>1.7162719965240061</v>
      </c>
      <c r="H11" s="19">
        <f t="shared" si="1"/>
        <v>0.1149576932897933</v>
      </c>
    </row>
    <row r="12" spans="1:8">
      <c r="A12" s="16">
        <v>4</v>
      </c>
      <c r="B12" s="65">
        <v>6</v>
      </c>
      <c r="C12" s="16">
        <v>1</v>
      </c>
      <c r="D12" s="42">
        <v>0.107</v>
      </c>
      <c r="E12" s="42">
        <v>0.11600000000000001</v>
      </c>
      <c r="F12" s="42">
        <v>0.112</v>
      </c>
      <c r="G12" s="16">
        <f t="shared" si="0"/>
        <v>2.4259540879136794</v>
      </c>
      <c r="H12" s="19">
        <f t="shared" si="1"/>
        <v>9.7963279444338441E-2</v>
      </c>
    </row>
    <row r="13" spans="1:8">
      <c r="A13" s="16">
        <v>5</v>
      </c>
      <c r="B13" s="65">
        <v>7.333333333333333</v>
      </c>
      <c r="C13" s="16">
        <v>1</v>
      </c>
      <c r="D13" s="42">
        <v>0.14299999999999999</v>
      </c>
      <c r="E13" s="42">
        <v>0.14699999999999999</v>
      </c>
      <c r="F13" s="42">
        <v>0.151</v>
      </c>
      <c r="G13" s="16">
        <f t="shared" si="0"/>
        <v>3.1935694112535304</v>
      </c>
      <c r="H13" s="19">
        <f t="shared" si="1"/>
        <v>8.6899847925266199E-2</v>
      </c>
    </row>
    <row r="14" spans="1:8">
      <c r="A14" s="16">
        <v>6</v>
      </c>
      <c r="B14" s="65">
        <v>8.6666666666666661</v>
      </c>
      <c r="C14" s="16">
        <v>1</v>
      </c>
      <c r="D14" s="42">
        <v>0.19800000000000001</v>
      </c>
      <c r="E14" s="42">
        <v>0.186</v>
      </c>
      <c r="F14" s="42">
        <v>0.21199999999999999</v>
      </c>
      <c r="G14" s="16">
        <f t="shared" si="0"/>
        <v>4.3160257802882178</v>
      </c>
      <c r="H14" s="19">
        <f t="shared" si="1"/>
        <v>0.28270289370617901</v>
      </c>
    </row>
    <row r="15" spans="1:8">
      <c r="A15" s="16">
        <v>7</v>
      </c>
      <c r="B15" s="65">
        <v>10</v>
      </c>
      <c r="C15" s="16">
        <v>1</v>
      </c>
      <c r="D15" s="87">
        <v>0.27700000000000002</v>
      </c>
      <c r="E15" s="87">
        <v>0.26700000000000002</v>
      </c>
      <c r="F15" s="87">
        <v>0.26400000000000001</v>
      </c>
      <c r="G15" s="16">
        <f t="shared" si="0"/>
        <v>5.8512564269679199</v>
      </c>
      <c r="H15" s="19">
        <f t="shared" si="1"/>
        <v>0.14787875919083318</v>
      </c>
    </row>
    <row r="16" spans="1:8">
      <c r="A16" s="16">
        <v>8</v>
      </c>
      <c r="B16" s="65">
        <v>11.333333333333334</v>
      </c>
      <c r="C16" s="16">
        <v>1</v>
      </c>
      <c r="D16" s="87">
        <v>0.35599999999999998</v>
      </c>
      <c r="E16" s="87">
        <v>0.35199999999999998</v>
      </c>
      <c r="F16" s="87">
        <v>0.34899999999999998</v>
      </c>
      <c r="G16" s="16">
        <f t="shared" si="0"/>
        <v>7.6544282714171912</v>
      </c>
      <c r="H16" s="19">
        <f t="shared" si="1"/>
        <v>7.6295559076346942E-2</v>
      </c>
    </row>
    <row r="17" spans="1:8">
      <c r="A17" s="16">
        <v>9</v>
      </c>
      <c r="B17" s="65">
        <v>12.666666666666666</v>
      </c>
      <c r="C17" s="16">
        <v>1</v>
      </c>
      <c r="D17" s="87">
        <v>0.378</v>
      </c>
      <c r="E17" s="87">
        <v>0.376</v>
      </c>
      <c r="F17" s="87">
        <v>0.39800000000000002</v>
      </c>
      <c r="G17" s="16">
        <f t="shared" si="0"/>
        <v>8.3423854008255489</v>
      </c>
      <c r="H17" s="19">
        <f t="shared" si="1"/>
        <v>0.26429556942421134</v>
      </c>
    </row>
    <row r="18" spans="1:8">
      <c r="A18" s="16">
        <v>10</v>
      </c>
      <c r="B18" s="65">
        <v>14</v>
      </c>
      <c r="C18" s="16">
        <v>1</v>
      </c>
      <c r="D18" s="87">
        <v>0.38400000000000001</v>
      </c>
      <c r="E18" s="87">
        <v>0.38900000000000001</v>
      </c>
      <c r="F18" s="87">
        <v>0.39500000000000002</v>
      </c>
      <c r="G18" s="16">
        <f t="shared" ref="G18:G24" si="2">(C18*1000*AVERAGE(D18:F18))/$B$2</f>
        <v>8.458251864725904</v>
      </c>
      <c r="H18" s="19">
        <f t="shared" ref="H18:H24" si="3">(C18*1000*STDEV(D18:F18))/$B$2</f>
        <v>0.11965176074920934</v>
      </c>
    </row>
    <row r="19" spans="1:8">
      <c r="A19" s="16">
        <v>11</v>
      </c>
      <c r="B19" s="65">
        <v>15.333333333333334</v>
      </c>
      <c r="C19" s="16">
        <v>1</v>
      </c>
      <c r="D19" s="87">
        <v>0.40100000000000002</v>
      </c>
      <c r="E19" s="87">
        <v>0.38700000000000001</v>
      </c>
      <c r="F19" s="87">
        <v>0.38200000000000001</v>
      </c>
      <c r="G19" s="16">
        <f t="shared" si="2"/>
        <v>8.4727351727134455</v>
      </c>
      <c r="H19" s="19">
        <f t="shared" si="3"/>
        <v>0.21396606130341325</v>
      </c>
    </row>
    <row r="20" spans="1:8">
      <c r="A20" s="16">
        <v>12</v>
      </c>
      <c r="B20" s="65">
        <v>16.666666666666668</v>
      </c>
      <c r="C20" s="16">
        <v>1</v>
      </c>
      <c r="D20" s="87">
        <v>0.36699999999999999</v>
      </c>
      <c r="E20" s="87">
        <v>0.371</v>
      </c>
      <c r="F20" s="87">
        <v>0.36799999999999999</v>
      </c>
      <c r="G20" s="16">
        <f t="shared" si="2"/>
        <v>8.0092693171120271</v>
      </c>
      <c r="H20" s="19">
        <f t="shared" si="3"/>
        <v>4.5224114696201058E-2</v>
      </c>
    </row>
    <row r="21" spans="1:8">
      <c r="A21" s="16">
        <v>13</v>
      </c>
      <c r="B21" s="65">
        <v>18</v>
      </c>
      <c r="C21" s="16">
        <v>1</v>
      </c>
      <c r="D21" s="87">
        <v>0.36399999999999999</v>
      </c>
      <c r="E21" s="87">
        <v>0.372</v>
      </c>
      <c r="F21" s="87">
        <v>0.36799999999999999</v>
      </c>
      <c r="G21" s="16">
        <f t="shared" si="2"/>
        <v>7.9947860091244847</v>
      </c>
      <c r="H21" s="19">
        <f t="shared" si="3"/>
        <v>8.6899847925266199E-2</v>
      </c>
    </row>
    <row r="22" spans="1:8">
      <c r="A22" s="16">
        <v>14</v>
      </c>
      <c r="B22" s="65">
        <v>24.333333333333332</v>
      </c>
      <c r="C22" s="16">
        <v>1</v>
      </c>
      <c r="D22" s="87">
        <v>0.371</v>
      </c>
      <c r="E22" s="87">
        <v>0.36899999999999999</v>
      </c>
      <c r="F22" s="87">
        <v>0.36899999999999999</v>
      </c>
      <c r="G22" s="16">
        <f t="shared" si="2"/>
        <v>8.0309942790933437</v>
      </c>
      <c r="H22" s="19">
        <f t="shared" si="3"/>
        <v>2.5085825296094995E-2</v>
      </c>
    </row>
    <row r="23" spans="1:8">
      <c r="A23" s="16">
        <v>15</v>
      </c>
      <c r="B23" s="65">
        <v>30.166666666666668</v>
      </c>
      <c r="C23" s="16">
        <v>1</v>
      </c>
      <c r="D23" s="87">
        <v>0.42599999999999999</v>
      </c>
      <c r="E23" s="87">
        <v>0.42799999999999999</v>
      </c>
      <c r="F23" s="87">
        <v>0.42199999999999999</v>
      </c>
      <c r="G23" s="16">
        <f t="shared" si="2"/>
        <v>9.2403504960532974</v>
      </c>
      <c r="H23" s="19">
        <f t="shared" si="3"/>
        <v>6.6370855166280593E-2</v>
      </c>
    </row>
    <row r="24" spans="1:8">
      <c r="A24" s="16">
        <v>16</v>
      </c>
      <c r="B24" s="65">
        <v>48</v>
      </c>
      <c r="C24" s="16">
        <v>1</v>
      </c>
      <c r="D24" s="87">
        <v>0.436</v>
      </c>
      <c r="E24" s="87">
        <v>0.45100000000000001</v>
      </c>
      <c r="F24" s="87">
        <v>0.45100000000000001</v>
      </c>
      <c r="G24" s="16">
        <f t="shared" si="2"/>
        <v>9.6893330436671725</v>
      </c>
      <c r="H24" s="19">
        <f t="shared" si="3"/>
        <v>0.18814368972071241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2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60</v>
      </c>
    </row>
    <row r="2" spans="1:8">
      <c r="A2" s="21" t="s">
        <v>42</v>
      </c>
      <c r="B2" s="17">
        <v>60.05</v>
      </c>
    </row>
    <row r="4" spans="1:8">
      <c r="A4" s="153" t="s">
        <v>42</v>
      </c>
      <c r="B4" s="154"/>
      <c r="C4" s="154"/>
      <c r="D4" s="154"/>
      <c r="E4" s="154"/>
      <c r="F4" s="154"/>
      <c r="G4" s="154"/>
      <c r="H4" s="155"/>
    </row>
    <row r="5" spans="1:8">
      <c r="A5" s="156" t="s">
        <v>61</v>
      </c>
      <c r="B5" s="154"/>
      <c r="C5" s="155"/>
      <c r="D5" s="157" t="s">
        <v>44</v>
      </c>
      <c r="E5" s="157" t="s">
        <v>45</v>
      </c>
      <c r="F5" s="157" t="s">
        <v>46</v>
      </c>
      <c r="G5" s="159" t="s">
        <v>62</v>
      </c>
      <c r="H5" s="159" t="s">
        <v>63</v>
      </c>
    </row>
    <row r="6" spans="1:8">
      <c r="A6" s="22" t="s">
        <v>4</v>
      </c>
      <c r="B6" s="22" t="s">
        <v>59</v>
      </c>
      <c r="C6" s="22" t="s">
        <v>19</v>
      </c>
      <c r="D6" s="158"/>
      <c r="E6" s="158"/>
      <c r="F6" s="158"/>
      <c r="G6" s="160"/>
      <c r="H6" s="160"/>
    </row>
    <row r="7" spans="1:8">
      <c r="A7" s="16">
        <v>0</v>
      </c>
      <c r="B7" s="65">
        <v>-0.16666666666666666</v>
      </c>
      <c r="C7" s="16">
        <v>1</v>
      </c>
      <c r="D7" s="19">
        <v>2.863</v>
      </c>
      <c r="E7" s="19">
        <v>2.8610000000000002</v>
      </c>
      <c r="F7" s="19">
        <v>2.851</v>
      </c>
      <c r="G7" s="16">
        <f>(C7*1000*AVERAGE(D7:F7))/$B$2</f>
        <v>47.599222869830697</v>
      </c>
      <c r="H7" s="19">
        <f>(C7*1000*STDEV(D7:F7))/$B$2</f>
        <v>0.10706245640847109</v>
      </c>
    </row>
    <row r="8" spans="1:8">
      <c r="A8" s="16">
        <v>0</v>
      </c>
      <c r="B8" s="65">
        <v>0.16666666666666666</v>
      </c>
      <c r="C8" s="16">
        <v>1</v>
      </c>
      <c r="D8" s="19">
        <v>2.6040000000000001</v>
      </c>
      <c r="E8" s="19">
        <v>2.7709999999999999</v>
      </c>
      <c r="F8" s="19">
        <v>2.7170000000000001</v>
      </c>
      <c r="G8" s="16">
        <f t="shared" ref="G8:G17" si="0">(C8*1000*AVERAGE(D8:F8))/$B$2</f>
        <v>44.918123785734117</v>
      </c>
      <c r="H8" s="19">
        <f t="shared" ref="H8:H17" si="1">(C8*1000*STDEV(D8:F8))/$B$2</f>
        <v>1.4191394651446818</v>
      </c>
    </row>
    <row r="9" spans="1:8">
      <c r="A9" s="16">
        <v>1</v>
      </c>
      <c r="B9" s="65">
        <v>2</v>
      </c>
      <c r="C9" s="16">
        <v>1</v>
      </c>
      <c r="D9" s="19">
        <v>2.819</v>
      </c>
      <c r="E9" s="19">
        <v>2.7280000000000002</v>
      </c>
      <c r="F9" s="19">
        <v>2.8340000000000001</v>
      </c>
      <c r="G9" s="16">
        <f t="shared" si="0"/>
        <v>46.522342492367478</v>
      </c>
      <c r="H9" s="19">
        <f t="shared" si="1"/>
        <v>0.9552277639531489</v>
      </c>
    </row>
    <row r="10" spans="1:8">
      <c r="A10" s="16">
        <v>2</v>
      </c>
      <c r="B10" s="65">
        <v>3.3333333333333335</v>
      </c>
      <c r="C10" s="16">
        <v>1</v>
      </c>
      <c r="D10" s="19">
        <v>2.7839999999999998</v>
      </c>
      <c r="E10" s="19">
        <v>2.6309999999999998</v>
      </c>
      <c r="F10" s="19">
        <v>2.6970000000000001</v>
      </c>
      <c r="G10" s="16">
        <f t="shared" si="0"/>
        <v>45.029142381348862</v>
      </c>
      <c r="H10" s="19">
        <f t="shared" si="1"/>
        <v>1.2779320594804111</v>
      </c>
    </row>
    <row r="11" spans="1:8">
      <c r="A11" s="16">
        <v>3</v>
      </c>
      <c r="B11" s="65">
        <v>4.666666666666667</v>
      </c>
      <c r="C11" s="16">
        <v>1</v>
      </c>
      <c r="D11" s="19">
        <v>2.577</v>
      </c>
      <c r="E11" s="19">
        <v>2.5169999999999999</v>
      </c>
      <c r="F11" s="19">
        <v>2.5459999999999998</v>
      </c>
      <c r="G11" s="16">
        <f t="shared" si="0"/>
        <v>42.409103524840411</v>
      </c>
      <c r="H11" s="19">
        <f t="shared" si="1"/>
        <v>0.49967618719812706</v>
      </c>
    </row>
    <row r="12" spans="1:8">
      <c r="A12" s="16">
        <v>4</v>
      </c>
      <c r="B12" s="65">
        <v>6</v>
      </c>
      <c r="C12" s="16">
        <v>1</v>
      </c>
      <c r="D12" s="19">
        <v>2.4020000000000001</v>
      </c>
      <c r="E12" s="19">
        <v>2.3759999999999999</v>
      </c>
      <c r="F12" s="19">
        <v>2.363</v>
      </c>
      <c r="G12" s="16">
        <f t="shared" si="0"/>
        <v>39.639189564252007</v>
      </c>
      <c r="H12" s="19">
        <f t="shared" si="1"/>
        <v>0.33068822666903247</v>
      </c>
    </row>
    <row r="13" spans="1:8">
      <c r="A13" s="16">
        <v>5</v>
      </c>
      <c r="B13" s="65">
        <v>7.333333333333333</v>
      </c>
      <c r="C13" s="16">
        <v>1</v>
      </c>
      <c r="D13" s="19">
        <v>2.2810000000000001</v>
      </c>
      <c r="E13" s="19">
        <v>2.2730000000000001</v>
      </c>
      <c r="F13" s="19">
        <v>2.242</v>
      </c>
      <c r="G13" s="16">
        <f t="shared" si="0"/>
        <v>37.724118789897311</v>
      </c>
      <c r="H13" s="19">
        <f t="shared" si="1"/>
        <v>0.34303668177586316</v>
      </c>
    </row>
    <row r="14" spans="1:8">
      <c r="A14" s="16">
        <v>6</v>
      </c>
      <c r="B14" s="65">
        <v>8.6666666666666661</v>
      </c>
      <c r="C14" s="16">
        <v>1</v>
      </c>
      <c r="D14" s="19">
        <v>2.1520000000000001</v>
      </c>
      <c r="E14" s="19">
        <v>2.1150000000000002</v>
      </c>
      <c r="F14" s="19">
        <v>2.2280000000000002</v>
      </c>
      <c r="G14" s="16">
        <f t="shared" si="0"/>
        <v>36.053288925895096</v>
      </c>
      <c r="H14" s="19">
        <f t="shared" si="1"/>
        <v>0.95937989814048796</v>
      </c>
    </row>
    <row r="15" spans="1:8">
      <c r="A15" s="16">
        <v>7</v>
      </c>
      <c r="B15" s="65">
        <v>10</v>
      </c>
      <c r="C15" s="16">
        <v>1</v>
      </c>
      <c r="D15" s="19">
        <v>2.0870000000000002</v>
      </c>
      <c r="E15" s="19">
        <v>2.0310000000000001</v>
      </c>
      <c r="F15" s="19">
        <v>2.0259999999999998</v>
      </c>
      <c r="G15" s="16">
        <f t="shared" si="0"/>
        <v>34.104912572855952</v>
      </c>
      <c r="H15" s="19">
        <f t="shared" si="1"/>
        <v>0.56398648532476836</v>
      </c>
    </row>
    <row r="16" spans="1:8">
      <c r="A16" s="16">
        <v>8</v>
      </c>
      <c r="B16" s="65">
        <v>11.333333333333334</v>
      </c>
      <c r="C16" s="16">
        <v>1</v>
      </c>
      <c r="D16" s="19">
        <v>2.0289999999999999</v>
      </c>
      <c r="E16" s="19">
        <v>2.0019999999999998</v>
      </c>
      <c r="F16" s="19">
        <v>2.0030000000000001</v>
      </c>
      <c r="G16" s="16">
        <f t="shared" si="0"/>
        <v>33.494310296974746</v>
      </c>
      <c r="H16" s="19">
        <f t="shared" si="1"/>
        <v>0.25492006668232081</v>
      </c>
    </row>
    <row r="17" spans="1:8">
      <c r="A17" s="16">
        <v>9</v>
      </c>
      <c r="B17" s="65">
        <v>12.666666666666666</v>
      </c>
      <c r="C17" s="16">
        <v>1</v>
      </c>
      <c r="D17" s="19">
        <v>2.052</v>
      </c>
      <c r="E17" s="19">
        <v>2.0139999999999998</v>
      </c>
      <c r="F17" s="19">
        <v>2.12</v>
      </c>
      <c r="G17" s="16">
        <f t="shared" si="0"/>
        <v>34.338051623646962</v>
      </c>
      <c r="H17" s="19">
        <f t="shared" si="1"/>
        <v>0.89430285309559299</v>
      </c>
    </row>
    <row r="18" spans="1:8">
      <c r="A18" s="16">
        <v>10</v>
      </c>
      <c r="B18" s="65">
        <v>14</v>
      </c>
      <c r="C18" s="16">
        <v>1</v>
      </c>
      <c r="D18" s="19">
        <v>2.06</v>
      </c>
      <c r="E18" s="19">
        <v>2.0569999999999999</v>
      </c>
      <c r="F18" s="19">
        <v>2.0950000000000002</v>
      </c>
      <c r="G18" s="16">
        <f t="shared" ref="G18:G24" si="2">(C18*1000*AVERAGE(D18:F18))/$B$2</f>
        <v>34.482375797946155</v>
      </c>
      <c r="H18" s="19">
        <f t="shared" ref="H18:H24" si="3">(C18*1000*STDEV(D18:F18))/$B$2</f>
        <v>0.35181686100451659</v>
      </c>
    </row>
    <row r="19" spans="1:8">
      <c r="A19" s="16">
        <v>11</v>
      </c>
      <c r="B19" s="65">
        <v>15.333333333333334</v>
      </c>
      <c r="C19" s="16">
        <v>1</v>
      </c>
      <c r="D19" s="19">
        <v>2.173</v>
      </c>
      <c r="E19" s="19">
        <v>2.1190000000000002</v>
      </c>
      <c r="F19" s="19">
        <v>2.089</v>
      </c>
      <c r="G19" s="16">
        <f t="shared" si="2"/>
        <v>35.420482930890927</v>
      </c>
      <c r="H19" s="19">
        <f t="shared" si="3"/>
        <v>0.70886916415629542</v>
      </c>
    </row>
    <row r="20" spans="1:8">
      <c r="A20" s="16">
        <v>12</v>
      </c>
      <c r="B20" s="65">
        <v>16.666666666666668</v>
      </c>
      <c r="C20" s="16">
        <v>1</v>
      </c>
      <c r="D20" s="19">
        <v>2.1070000000000002</v>
      </c>
      <c r="E20" s="19">
        <v>2.089</v>
      </c>
      <c r="F20" s="19">
        <v>2.097</v>
      </c>
      <c r="G20" s="16">
        <f t="shared" si="2"/>
        <v>34.932001110185958</v>
      </c>
      <c r="H20" s="19">
        <f t="shared" si="3"/>
        <v>0.15018317245038987</v>
      </c>
    </row>
    <row r="21" spans="1:8">
      <c r="A21" s="16">
        <v>13</v>
      </c>
      <c r="B21" s="65">
        <v>18</v>
      </c>
      <c r="C21" s="16">
        <v>1</v>
      </c>
      <c r="D21" s="19">
        <v>2.1019999999999999</v>
      </c>
      <c r="E21" s="19">
        <v>2.1139999999999999</v>
      </c>
      <c r="F21" s="19">
        <v>2.1179999999999999</v>
      </c>
      <c r="G21" s="16">
        <f t="shared" si="2"/>
        <v>35.159589231196222</v>
      </c>
      <c r="H21" s="19">
        <f t="shared" si="3"/>
        <v>0.13866218147984244</v>
      </c>
    </row>
    <row r="22" spans="1:8">
      <c r="A22" s="16">
        <v>14</v>
      </c>
      <c r="B22" s="65">
        <v>24.333333333333332</v>
      </c>
      <c r="C22" s="16">
        <v>1</v>
      </c>
      <c r="D22" s="19">
        <v>2.194</v>
      </c>
      <c r="E22" s="19">
        <v>2.13</v>
      </c>
      <c r="F22" s="19">
        <v>2.1440000000000001</v>
      </c>
      <c r="G22" s="16">
        <f t="shared" si="2"/>
        <v>35.903413821815157</v>
      </c>
      <c r="H22" s="19">
        <f t="shared" si="3"/>
        <v>0.56028655591209708</v>
      </c>
    </row>
    <row r="23" spans="1:8">
      <c r="A23" s="16">
        <v>15</v>
      </c>
      <c r="B23" s="65">
        <v>30.166666666666668</v>
      </c>
      <c r="C23" s="16">
        <v>1</v>
      </c>
      <c r="D23" s="19">
        <v>2.2530000000000001</v>
      </c>
      <c r="E23" s="19">
        <v>2.2469999999999999</v>
      </c>
      <c r="F23" s="19">
        <v>2.2360000000000002</v>
      </c>
      <c r="G23" s="16">
        <f t="shared" si="2"/>
        <v>37.391063003053013</v>
      </c>
      <c r="H23" s="19">
        <f t="shared" si="3"/>
        <v>0.14357498924648854</v>
      </c>
    </row>
    <row r="24" spans="1:8">
      <c r="A24" s="16">
        <v>16</v>
      </c>
      <c r="B24" s="65">
        <v>48</v>
      </c>
      <c r="C24" s="16">
        <v>1</v>
      </c>
      <c r="D24" s="19">
        <v>2.387</v>
      </c>
      <c r="E24" s="19">
        <v>2.4119999999999999</v>
      </c>
      <c r="F24" s="19">
        <v>2.3839999999999999</v>
      </c>
      <c r="G24" s="16">
        <f t="shared" si="2"/>
        <v>39.872328615043024</v>
      </c>
      <c r="H24" s="19">
        <f t="shared" si="3"/>
        <v>0.25600560771801711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B7" sqref="B7:B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66</v>
      </c>
      <c r="B2" s="17">
        <v>74.08</v>
      </c>
    </row>
    <row r="4" spans="1:8">
      <c r="A4" s="153" t="s">
        <v>66</v>
      </c>
      <c r="B4" s="154"/>
      <c r="C4" s="154"/>
      <c r="D4" s="154"/>
      <c r="E4" s="154"/>
      <c r="F4" s="154"/>
      <c r="G4" s="154"/>
      <c r="H4" s="155"/>
    </row>
    <row r="5" spans="1:8">
      <c r="A5" s="156" t="s">
        <v>61</v>
      </c>
      <c r="B5" s="154"/>
      <c r="C5" s="155"/>
      <c r="D5" s="157" t="s">
        <v>44</v>
      </c>
      <c r="E5" s="157" t="s">
        <v>45</v>
      </c>
      <c r="F5" s="157" t="s">
        <v>46</v>
      </c>
      <c r="G5" s="159" t="s">
        <v>62</v>
      </c>
      <c r="H5" s="159" t="s">
        <v>63</v>
      </c>
    </row>
    <row r="6" spans="1:8">
      <c r="A6" s="28" t="s">
        <v>4</v>
      </c>
      <c r="B6" s="28" t="s">
        <v>59</v>
      </c>
      <c r="C6" s="28" t="s">
        <v>19</v>
      </c>
      <c r="D6" s="158"/>
      <c r="E6" s="158"/>
      <c r="F6" s="158"/>
      <c r="G6" s="160"/>
      <c r="H6" s="160"/>
    </row>
    <row r="7" spans="1:8">
      <c r="A7" s="16">
        <v>0</v>
      </c>
      <c r="B7" s="65">
        <v>-0.16666666666666666</v>
      </c>
      <c r="C7" s="16">
        <v>2</v>
      </c>
      <c r="D7" s="42">
        <v>0</v>
      </c>
      <c r="E7" s="42">
        <v>0</v>
      </c>
      <c r="F7" s="42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16">
        <v>0</v>
      </c>
      <c r="B8" s="65">
        <v>0.16666666666666666</v>
      </c>
      <c r="C8" s="16">
        <v>2</v>
      </c>
      <c r="D8" s="42">
        <v>0</v>
      </c>
      <c r="E8" s="42">
        <v>0</v>
      </c>
      <c r="F8" s="42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16">
        <v>1</v>
      </c>
      <c r="B9" s="65">
        <v>2</v>
      </c>
      <c r="C9" s="16">
        <v>2</v>
      </c>
      <c r="D9" s="42">
        <v>0</v>
      </c>
      <c r="E9" s="42">
        <v>0</v>
      </c>
      <c r="F9" s="42">
        <v>0</v>
      </c>
      <c r="G9" s="16">
        <f t="shared" si="0"/>
        <v>0</v>
      </c>
      <c r="H9" s="19">
        <f t="shared" si="1"/>
        <v>0</v>
      </c>
    </row>
    <row r="10" spans="1:8">
      <c r="A10" s="16">
        <v>2</v>
      </c>
      <c r="B10" s="65">
        <v>3.3333333333333335</v>
      </c>
      <c r="C10" s="16">
        <v>2</v>
      </c>
      <c r="D10" s="42">
        <v>0</v>
      </c>
      <c r="E10" s="42">
        <v>0</v>
      </c>
      <c r="F10" s="42">
        <v>0</v>
      </c>
      <c r="G10" s="16">
        <f t="shared" si="0"/>
        <v>0</v>
      </c>
      <c r="H10" s="19">
        <f t="shared" si="1"/>
        <v>0</v>
      </c>
    </row>
    <row r="11" spans="1:8">
      <c r="A11" s="16">
        <v>3</v>
      </c>
      <c r="B11" s="65">
        <v>4.666666666666667</v>
      </c>
      <c r="C11" s="16">
        <v>2</v>
      </c>
      <c r="D11" s="42">
        <v>0</v>
      </c>
      <c r="E11" s="42">
        <v>0</v>
      </c>
      <c r="F11" s="42">
        <v>0</v>
      </c>
      <c r="G11" s="16">
        <f t="shared" si="0"/>
        <v>0</v>
      </c>
      <c r="H11" s="19">
        <f t="shared" si="1"/>
        <v>0</v>
      </c>
    </row>
    <row r="12" spans="1:8">
      <c r="A12" s="16">
        <v>4</v>
      </c>
      <c r="B12" s="65">
        <v>6</v>
      </c>
      <c r="C12" s="16">
        <v>2</v>
      </c>
      <c r="D12" s="42">
        <v>0</v>
      </c>
      <c r="E12" s="42">
        <v>0</v>
      </c>
      <c r="F12" s="42">
        <v>0</v>
      </c>
      <c r="G12" s="16">
        <f t="shared" si="0"/>
        <v>0</v>
      </c>
      <c r="H12" s="19">
        <f t="shared" si="1"/>
        <v>0</v>
      </c>
    </row>
    <row r="13" spans="1:8">
      <c r="A13" s="16">
        <v>5</v>
      </c>
      <c r="B13" s="65">
        <v>7.333333333333333</v>
      </c>
      <c r="C13" s="16">
        <v>2</v>
      </c>
      <c r="D13" s="42">
        <v>0</v>
      </c>
      <c r="E13" s="42">
        <v>0</v>
      </c>
      <c r="F13" s="42">
        <v>0</v>
      </c>
      <c r="G13" s="16">
        <f t="shared" si="0"/>
        <v>0</v>
      </c>
      <c r="H13" s="19">
        <f t="shared" si="1"/>
        <v>0</v>
      </c>
    </row>
    <row r="14" spans="1:8">
      <c r="A14" s="16">
        <v>6</v>
      </c>
      <c r="B14" s="65">
        <v>8.6666666666666661</v>
      </c>
      <c r="C14" s="16">
        <v>2</v>
      </c>
      <c r="D14" s="42">
        <v>0</v>
      </c>
      <c r="E14" s="42">
        <v>0</v>
      </c>
      <c r="F14" s="42">
        <v>0</v>
      </c>
      <c r="G14" s="16">
        <f t="shared" si="0"/>
        <v>0</v>
      </c>
      <c r="H14" s="19">
        <f t="shared" si="1"/>
        <v>0</v>
      </c>
    </row>
    <row r="15" spans="1:8">
      <c r="A15" s="16">
        <v>7</v>
      </c>
      <c r="B15" s="65">
        <v>10</v>
      </c>
      <c r="C15" s="16">
        <v>2</v>
      </c>
      <c r="D15" s="42">
        <v>0</v>
      </c>
      <c r="E15" s="42">
        <v>0</v>
      </c>
      <c r="F15" s="42">
        <v>0</v>
      </c>
      <c r="G15" s="16">
        <f t="shared" si="0"/>
        <v>0</v>
      </c>
      <c r="H15" s="19">
        <f t="shared" si="1"/>
        <v>0</v>
      </c>
    </row>
    <row r="16" spans="1:8">
      <c r="A16" s="16">
        <v>8</v>
      </c>
      <c r="B16" s="65">
        <v>11.333333333333334</v>
      </c>
      <c r="C16" s="16">
        <v>2</v>
      </c>
      <c r="D16" s="42">
        <v>0</v>
      </c>
      <c r="E16" s="42">
        <v>0</v>
      </c>
      <c r="F16" s="42">
        <v>0</v>
      </c>
      <c r="G16" s="16">
        <f t="shared" si="0"/>
        <v>0</v>
      </c>
      <c r="H16" s="19">
        <f t="shared" si="1"/>
        <v>0</v>
      </c>
    </row>
    <row r="17" spans="1:8">
      <c r="A17" s="16">
        <v>9</v>
      </c>
      <c r="B17" s="65">
        <v>12.666666666666666</v>
      </c>
      <c r="C17" s="16">
        <v>2</v>
      </c>
      <c r="D17" s="42">
        <v>0</v>
      </c>
      <c r="E17" s="42">
        <v>0</v>
      </c>
      <c r="F17" s="42">
        <v>0</v>
      </c>
      <c r="G17" s="16">
        <f t="shared" si="0"/>
        <v>0</v>
      </c>
      <c r="H17" s="19">
        <f t="shared" si="1"/>
        <v>0</v>
      </c>
    </row>
    <row r="18" spans="1:8">
      <c r="A18" s="16">
        <v>10</v>
      </c>
      <c r="B18" s="65">
        <v>14</v>
      </c>
      <c r="C18" s="16">
        <v>2</v>
      </c>
      <c r="D18" s="42">
        <v>0</v>
      </c>
      <c r="E18" s="42">
        <v>0</v>
      </c>
      <c r="F18" s="42">
        <v>0</v>
      </c>
      <c r="G18" s="16">
        <f t="shared" ref="G18:G24" si="2">(C18*1000*AVERAGE(D18:F18))/$B$2</f>
        <v>0</v>
      </c>
      <c r="H18" s="19">
        <f t="shared" ref="H18:H24" si="3">(C18*1000*STDEV(D18:F18))/$B$2</f>
        <v>0</v>
      </c>
    </row>
    <row r="19" spans="1:8">
      <c r="A19" s="16">
        <v>11</v>
      </c>
      <c r="B19" s="65">
        <v>15.333333333333334</v>
      </c>
      <c r="C19" s="16">
        <v>2</v>
      </c>
      <c r="D19" s="42">
        <v>0</v>
      </c>
      <c r="E19" s="42">
        <v>0</v>
      </c>
      <c r="F19" s="42">
        <v>0</v>
      </c>
      <c r="G19" s="16">
        <f t="shared" si="2"/>
        <v>0</v>
      </c>
      <c r="H19" s="19">
        <f t="shared" si="3"/>
        <v>0</v>
      </c>
    </row>
    <row r="20" spans="1:8">
      <c r="A20" s="16">
        <v>12</v>
      </c>
      <c r="B20" s="65">
        <v>16.666666666666668</v>
      </c>
      <c r="C20" s="16">
        <v>2</v>
      </c>
      <c r="D20" s="42">
        <v>0</v>
      </c>
      <c r="E20" s="42">
        <v>0</v>
      </c>
      <c r="F20" s="42">
        <v>0</v>
      </c>
      <c r="G20" s="16">
        <f t="shared" si="2"/>
        <v>0</v>
      </c>
      <c r="H20" s="19">
        <f t="shared" si="3"/>
        <v>0</v>
      </c>
    </row>
    <row r="21" spans="1:8">
      <c r="A21" s="16">
        <v>13</v>
      </c>
      <c r="B21" s="65">
        <v>18</v>
      </c>
      <c r="C21" s="16">
        <v>2</v>
      </c>
      <c r="D21" s="42">
        <v>0</v>
      </c>
      <c r="E21" s="42">
        <v>0</v>
      </c>
      <c r="F21" s="42">
        <v>0</v>
      </c>
      <c r="G21" s="16">
        <f t="shared" si="2"/>
        <v>0</v>
      </c>
      <c r="H21" s="19">
        <f t="shared" si="3"/>
        <v>0</v>
      </c>
    </row>
    <row r="22" spans="1:8">
      <c r="A22" s="16">
        <v>14</v>
      </c>
      <c r="B22" s="65">
        <v>24.333333333333332</v>
      </c>
      <c r="C22" s="16">
        <v>2</v>
      </c>
      <c r="D22" s="42">
        <v>0</v>
      </c>
      <c r="E22" s="42">
        <v>0</v>
      </c>
      <c r="F22" s="42">
        <v>0</v>
      </c>
      <c r="G22" s="16">
        <f t="shared" si="2"/>
        <v>0</v>
      </c>
      <c r="H22" s="19">
        <f t="shared" si="3"/>
        <v>0</v>
      </c>
    </row>
    <row r="23" spans="1:8">
      <c r="A23" s="16">
        <v>15</v>
      </c>
      <c r="B23" s="65">
        <v>30.166666666666668</v>
      </c>
      <c r="C23" s="16">
        <v>2</v>
      </c>
      <c r="D23" s="42">
        <v>0</v>
      </c>
      <c r="E23" s="42">
        <v>0</v>
      </c>
      <c r="F23" s="42">
        <v>0</v>
      </c>
      <c r="G23" s="16">
        <f t="shared" si="2"/>
        <v>0</v>
      </c>
      <c r="H23" s="19">
        <f t="shared" si="3"/>
        <v>0</v>
      </c>
    </row>
    <row r="24" spans="1:8">
      <c r="A24" s="16">
        <v>16</v>
      </c>
      <c r="B24" s="65">
        <v>48</v>
      </c>
      <c r="C24" s="16">
        <v>2</v>
      </c>
      <c r="D24" s="42">
        <v>0</v>
      </c>
      <c r="E24" s="42">
        <v>0</v>
      </c>
      <c r="F24" s="42">
        <v>0</v>
      </c>
      <c r="G24" s="16">
        <f t="shared" si="2"/>
        <v>0</v>
      </c>
      <c r="H24" s="19">
        <f t="shared" si="3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65</v>
      </c>
      <c r="B2" s="17">
        <v>88.11</v>
      </c>
    </row>
    <row r="4" spans="1:8">
      <c r="A4" s="153" t="s">
        <v>65</v>
      </c>
      <c r="B4" s="154"/>
      <c r="C4" s="154"/>
      <c r="D4" s="154"/>
      <c r="E4" s="154"/>
      <c r="F4" s="154"/>
      <c r="G4" s="154"/>
      <c r="H4" s="155"/>
    </row>
    <row r="5" spans="1:8">
      <c r="A5" s="156" t="s">
        <v>61</v>
      </c>
      <c r="B5" s="154"/>
      <c r="C5" s="155"/>
      <c r="D5" s="157" t="s">
        <v>44</v>
      </c>
      <c r="E5" s="157" t="s">
        <v>45</v>
      </c>
      <c r="F5" s="157" t="s">
        <v>46</v>
      </c>
      <c r="G5" s="159" t="s">
        <v>62</v>
      </c>
      <c r="H5" s="159" t="s">
        <v>63</v>
      </c>
    </row>
    <row r="6" spans="1:8">
      <c r="A6" s="28" t="s">
        <v>4</v>
      </c>
      <c r="B6" s="28" t="s">
        <v>59</v>
      </c>
      <c r="C6" s="28" t="s">
        <v>19</v>
      </c>
      <c r="D6" s="158"/>
      <c r="E6" s="158"/>
      <c r="F6" s="158"/>
      <c r="G6" s="160"/>
      <c r="H6" s="160"/>
    </row>
    <row r="7" spans="1:8">
      <c r="A7" s="16">
        <v>0</v>
      </c>
      <c r="B7" s="65">
        <v>-0.16666666666666666</v>
      </c>
      <c r="C7" s="16">
        <v>1</v>
      </c>
      <c r="D7" s="42">
        <v>0</v>
      </c>
      <c r="E7" s="42">
        <v>0</v>
      </c>
      <c r="F7" s="42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16">
        <v>0</v>
      </c>
      <c r="B8" s="65">
        <v>0.16666666666666666</v>
      </c>
      <c r="C8" s="16">
        <v>1</v>
      </c>
      <c r="D8" s="42">
        <v>0.13500000000000001</v>
      </c>
      <c r="E8" s="42">
        <v>0.14299999999999999</v>
      </c>
      <c r="F8" s="42">
        <v>0.13900000000000001</v>
      </c>
      <c r="G8" s="16">
        <f>(C8*1000*AVERAGE(D8:F8))/$B$2</f>
        <v>1.5775734876858472</v>
      </c>
      <c r="H8" s="19">
        <f t="shared" ref="H8:H17" si="0">(C8*1000*STDEV(D8:F8))/$B$2</f>
        <v>4.5397798206786855E-2</v>
      </c>
    </row>
    <row r="9" spans="1:8">
      <c r="A9" s="16">
        <v>1</v>
      </c>
      <c r="B9" s="65">
        <v>2</v>
      </c>
      <c r="C9" s="16">
        <v>1</v>
      </c>
      <c r="D9" s="42">
        <v>0.29799999999999999</v>
      </c>
      <c r="E9" s="42">
        <v>0.28399999999999997</v>
      </c>
      <c r="F9" s="42">
        <v>0.29499999999999998</v>
      </c>
      <c r="G9" s="16">
        <f t="shared" ref="G9:G17" si="1">(C9*1000*AVERAGE(D9:F9))/$B$2</f>
        <v>3.3178224189460144</v>
      </c>
      <c r="H9" s="19">
        <f t="shared" si="0"/>
        <v>8.3658095515060718E-2</v>
      </c>
    </row>
    <row r="10" spans="1:8">
      <c r="A10" s="16">
        <v>2</v>
      </c>
      <c r="B10" s="65">
        <v>3.3333333333333335</v>
      </c>
      <c r="C10" s="16">
        <v>1</v>
      </c>
      <c r="D10" s="120">
        <v>0.49</v>
      </c>
      <c r="E10" s="120">
        <v>0.46200000000000002</v>
      </c>
      <c r="F10" s="120">
        <v>0.47099999999999997</v>
      </c>
      <c r="G10" s="16">
        <f t="shared" si="1"/>
        <v>5.3834222373548215</v>
      </c>
      <c r="H10" s="19">
        <f t="shared" si="0"/>
        <v>0.16223494603254682</v>
      </c>
    </row>
    <row r="11" spans="1:8">
      <c r="A11" s="16">
        <v>3</v>
      </c>
      <c r="B11" s="65">
        <v>4.666666666666667</v>
      </c>
      <c r="C11" s="16">
        <v>1</v>
      </c>
      <c r="D11" s="120">
        <v>0.86899999999999999</v>
      </c>
      <c r="E11" s="120">
        <v>0.874</v>
      </c>
      <c r="F11" s="120">
        <v>0.876</v>
      </c>
      <c r="G11" s="16">
        <f t="shared" si="1"/>
        <v>9.908069458631255</v>
      </c>
      <c r="H11" s="19">
        <f t="shared" si="0"/>
        <v>4.0921022306934431E-2</v>
      </c>
    </row>
    <row r="12" spans="1:8">
      <c r="A12" s="16">
        <v>4</v>
      </c>
      <c r="B12" s="65">
        <v>6</v>
      </c>
      <c r="C12" s="16">
        <v>1</v>
      </c>
      <c r="D12" s="120">
        <v>1.3560000000000001</v>
      </c>
      <c r="E12" s="120">
        <v>1.3320000000000001</v>
      </c>
      <c r="F12" s="120">
        <v>1.3340000000000001</v>
      </c>
      <c r="G12" s="16">
        <f t="shared" si="1"/>
        <v>15.215828698974768</v>
      </c>
      <c r="H12" s="19">
        <f t="shared" si="0"/>
        <v>0.15113671815865165</v>
      </c>
    </row>
    <row r="13" spans="1:8">
      <c r="A13" s="16">
        <v>5</v>
      </c>
      <c r="B13" s="65">
        <v>7.333333333333333</v>
      </c>
      <c r="C13" s="16">
        <v>1</v>
      </c>
      <c r="D13" s="120">
        <v>1.8169999999999999</v>
      </c>
      <c r="E13" s="120">
        <v>1.7909999999999999</v>
      </c>
      <c r="F13" s="120">
        <v>1.784</v>
      </c>
      <c r="G13" s="16">
        <f t="shared" si="1"/>
        <v>20.39874399424961</v>
      </c>
      <c r="H13" s="19">
        <f t="shared" si="0"/>
        <v>0.19734122280096783</v>
      </c>
    </row>
    <row r="14" spans="1:8">
      <c r="A14" s="16">
        <v>6</v>
      </c>
      <c r="B14" s="65">
        <v>8.6666666666666661</v>
      </c>
      <c r="C14" s="16">
        <v>1</v>
      </c>
      <c r="D14" s="120">
        <v>2.3279999999999998</v>
      </c>
      <c r="E14" s="120">
        <v>2.298</v>
      </c>
      <c r="F14" s="120">
        <v>2.4249999999999998</v>
      </c>
      <c r="G14" s="16">
        <f t="shared" si="1"/>
        <v>26.674989596337909</v>
      </c>
      <c r="H14" s="19">
        <f t="shared" si="0"/>
        <v>0.75337893470402684</v>
      </c>
    </row>
    <row r="15" spans="1:8">
      <c r="A15" s="16">
        <v>7</v>
      </c>
      <c r="B15" s="65">
        <v>10</v>
      </c>
      <c r="C15" s="16">
        <v>1</v>
      </c>
      <c r="D15" s="120">
        <v>2.89</v>
      </c>
      <c r="E15" s="120">
        <v>2.83</v>
      </c>
      <c r="F15" s="120">
        <v>2.8290000000000002</v>
      </c>
      <c r="G15" s="16">
        <f t="shared" si="1"/>
        <v>32.342148072485159</v>
      </c>
      <c r="H15" s="19">
        <f t="shared" si="0"/>
        <v>0.3964733823634532</v>
      </c>
    </row>
    <row r="16" spans="1:8">
      <c r="A16" s="16">
        <v>8</v>
      </c>
      <c r="B16" s="65">
        <v>11.333333333333334</v>
      </c>
      <c r="C16" s="16">
        <v>1</v>
      </c>
      <c r="D16" s="120">
        <v>3.43</v>
      </c>
      <c r="E16" s="120">
        <v>3.4279999999999999</v>
      </c>
      <c r="F16" s="120">
        <v>3.4369999999999998</v>
      </c>
      <c r="G16" s="16">
        <f t="shared" si="1"/>
        <v>38.947527711572654</v>
      </c>
      <c r="H16" s="19">
        <f t="shared" si="0"/>
        <v>5.3635406040773013E-2</v>
      </c>
    </row>
    <row r="17" spans="1:8">
      <c r="A17" s="16">
        <v>9</v>
      </c>
      <c r="B17" s="65">
        <v>12.666666666666666</v>
      </c>
      <c r="C17" s="16">
        <v>1</v>
      </c>
      <c r="D17" s="120">
        <v>3.9</v>
      </c>
      <c r="E17" s="120">
        <v>3.8889999999999998</v>
      </c>
      <c r="F17" s="120">
        <v>4.0780000000000003</v>
      </c>
      <c r="G17" s="16">
        <f t="shared" si="1"/>
        <v>44.894639276661749</v>
      </c>
      <c r="H17" s="19">
        <f t="shared" si="0"/>
        <v>1.2040227300022701</v>
      </c>
    </row>
    <row r="18" spans="1:8">
      <c r="A18" s="16">
        <v>10</v>
      </c>
      <c r="B18" s="65">
        <v>14</v>
      </c>
      <c r="C18" s="16">
        <v>1</v>
      </c>
      <c r="D18" s="120">
        <v>4.3940000000000001</v>
      </c>
      <c r="E18" s="120">
        <v>4.415</v>
      </c>
      <c r="F18" s="120">
        <v>4.4829999999999997</v>
      </c>
      <c r="G18" s="16">
        <f t="shared" ref="G18:G23" si="2">(C18*1000*AVERAGE(D18:F18))/$B$2</f>
        <v>50.285627813717703</v>
      </c>
      <c r="H18" s="19">
        <f t="shared" ref="H18:H24" si="3">(C18*1000*STDEV(D18:F18))/$B$2</f>
        <v>0.52800358688378124</v>
      </c>
    </row>
    <row r="19" spans="1:8">
      <c r="A19" s="16">
        <v>11</v>
      </c>
      <c r="B19" s="65">
        <v>15.333333333333334</v>
      </c>
      <c r="C19" s="16">
        <v>1</v>
      </c>
      <c r="D19" s="120">
        <v>4.9109999999999996</v>
      </c>
      <c r="E19" s="120">
        <v>4.7530000000000001</v>
      </c>
      <c r="F19" s="120">
        <v>4.7240000000000002</v>
      </c>
      <c r="G19" s="16">
        <f t="shared" si="2"/>
        <v>54.43196004993758</v>
      </c>
      <c r="H19" s="19">
        <f t="shared" si="3"/>
        <v>1.1422418929134079</v>
      </c>
    </row>
    <row r="20" spans="1:8">
      <c r="A20" s="16">
        <v>12</v>
      </c>
      <c r="B20" s="65">
        <v>16.666666666666668</v>
      </c>
      <c r="C20" s="16">
        <v>1</v>
      </c>
      <c r="D20" s="120">
        <v>4.7309999999999999</v>
      </c>
      <c r="E20" s="120">
        <v>4.6950000000000003</v>
      </c>
      <c r="F20" s="120">
        <v>4.7629999999999999</v>
      </c>
      <c r="G20" s="16">
        <f t="shared" si="2"/>
        <v>53.679113229675032</v>
      </c>
      <c r="H20" s="19">
        <f t="shared" si="3"/>
        <v>0.38610375885213183</v>
      </c>
    </row>
    <row r="21" spans="1:8">
      <c r="A21" s="16">
        <v>13</v>
      </c>
      <c r="B21" s="65">
        <v>18</v>
      </c>
      <c r="C21" s="16">
        <v>1</v>
      </c>
      <c r="D21" s="120">
        <v>4.7380000000000004</v>
      </c>
      <c r="E21" s="120">
        <v>4.7850000000000001</v>
      </c>
      <c r="F21" s="120">
        <v>4.7880000000000003</v>
      </c>
      <c r="G21" s="16">
        <f t="shared" si="2"/>
        <v>54.140657511444026</v>
      </c>
      <c r="H21" s="19">
        <f t="shared" si="3"/>
        <v>0.31825712984599563</v>
      </c>
    </row>
    <row r="22" spans="1:8">
      <c r="A22" s="16">
        <v>14</v>
      </c>
      <c r="B22" s="65">
        <v>24.333333333333332</v>
      </c>
      <c r="C22" s="16">
        <v>1</v>
      </c>
      <c r="D22" s="120">
        <v>4.9009999999999998</v>
      </c>
      <c r="E22" s="120">
        <v>4.8490000000000002</v>
      </c>
      <c r="F22" s="120">
        <v>4.8380000000000001</v>
      </c>
      <c r="G22" s="16">
        <f t="shared" si="2"/>
        <v>55.188590020050697</v>
      </c>
      <c r="H22" s="19">
        <f t="shared" si="3"/>
        <v>0.38191080433994351</v>
      </c>
    </row>
    <row r="23" spans="1:8">
      <c r="A23" s="16">
        <v>15</v>
      </c>
      <c r="B23" s="65">
        <v>30.166666666666668</v>
      </c>
      <c r="C23" s="16">
        <v>1</v>
      </c>
      <c r="D23" s="120">
        <v>5.0460000000000003</v>
      </c>
      <c r="E23" s="120">
        <v>5.0090000000000003</v>
      </c>
      <c r="F23" s="120">
        <v>4.9420000000000002</v>
      </c>
      <c r="G23" s="16">
        <f t="shared" si="2"/>
        <v>56.735898308932015</v>
      </c>
      <c r="H23" s="19">
        <f t="shared" si="3"/>
        <v>0.59830009547598306</v>
      </c>
    </row>
    <row r="24" spans="1:8">
      <c r="A24" s="16">
        <v>16</v>
      </c>
      <c r="B24" s="65">
        <v>48</v>
      </c>
      <c r="C24" s="16">
        <v>1</v>
      </c>
      <c r="D24" s="87">
        <v>5.1609999999999996</v>
      </c>
      <c r="E24" s="87">
        <v>5.2039999999999997</v>
      </c>
      <c r="F24" s="87">
        <v>5.1879999999999997</v>
      </c>
      <c r="G24" s="16">
        <f>(C24*1000*AVERAGE(D24:F24))/$B$2</f>
        <v>58.839329625846467</v>
      </c>
      <c r="H24" s="19">
        <f t="shared" si="3"/>
        <v>0.2466602097787326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60</v>
      </c>
    </row>
    <row r="2" spans="1:8">
      <c r="A2" s="21" t="s">
        <v>41</v>
      </c>
      <c r="B2" s="17">
        <v>90.08</v>
      </c>
    </row>
    <row r="4" spans="1:8">
      <c r="A4" s="153" t="s">
        <v>41</v>
      </c>
      <c r="B4" s="154"/>
      <c r="C4" s="154"/>
      <c r="D4" s="154"/>
      <c r="E4" s="154"/>
      <c r="F4" s="154"/>
      <c r="G4" s="154"/>
      <c r="H4" s="155"/>
    </row>
    <row r="5" spans="1:8">
      <c r="A5" s="156" t="s">
        <v>61</v>
      </c>
      <c r="B5" s="154"/>
      <c r="C5" s="155"/>
      <c r="D5" s="157" t="s">
        <v>44</v>
      </c>
      <c r="E5" s="157" t="s">
        <v>45</v>
      </c>
      <c r="F5" s="157" t="s">
        <v>46</v>
      </c>
      <c r="G5" s="159" t="s">
        <v>62</v>
      </c>
      <c r="H5" s="159" t="s">
        <v>63</v>
      </c>
    </row>
    <row r="6" spans="1:8">
      <c r="A6" s="22" t="s">
        <v>4</v>
      </c>
      <c r="B6" s="22" t="s">
        <v>59</v>
      </c>
      <c r="C6" s="22" t="s">
        <v>19</v>
      </c>
      <c r="D6" s="158"/>
      <c r="E6" s="158"/>
      <c r="F6" s="158"/>
      <c r="G6" s="160"/>
      <c r="H6" s="160"/>
    </row>
    <row r="7" spans="1:8">
      <c r="A7" s="16">
        <v>0</v>
      </c>
      <c r="B7" s="65">
        <v>-0.16666666666666666</v>
      </c>
      <c r="C7" s="16">
        <v>1</v>
      </c>
      <c r="D7" s="42">
        <v>9.4E-2</v>
      </c>
      <c r="E7" s="42">
        <v>9.2999999999999999E-2</v>
      </c>
      <c r="F7" s="42">
        <v>9.1999999999999998E-2</v>
      </c>
      <c r="G7" s="16">
        <f>(C7*1000*AVERAGE(D7:F7))/$B$2</f>
        <v>1.0324156305506218</v>
      </c>
      <c r="H7" s="19">
        <f>(C7*1000*STDEV(D7:F7))/$B$2</f>
        <v>1.1101243339254007E-2</v>
      </c>
    </row>
    <row r="8" spans="1:8">
      <c r="A8" s="16">
        <v>0</v>
      </c>
      <c r="B8" s="65">
        <v>0.16666666666666666</v>
      </c>
      <c r="C8" s="16">
        <v>1</v>
      </c>
      <c r="D8" s="42">
        <v>0.11</v>
      </c>
      <c r="E8" s="42">
        <v>0.11600000000000001</v>
      </c>
      <c r="F8" s="42">
        <v>0.114</v>
      </c>
      <c r="G8" s="16">
        <f t="shared" ref="G8:G17" si="0">(C8*1000*AVERAGE(D8:F8))/$B$2</f>
        <v>1.2581409117821196</v>
      </c>
      <c r="H8" s="19">
        <f t="shared" ref="H8:H17" si="1">(C8*1000*STDEV(D8:F8))/$B$2</f>
        <v>3.3914858606837212E-2</v>
      </c>
    </row>
    <row r="9" spans="1:8">
      <c r="A9" s="16">
        <v>1</v>
      </c>
      <c r="B9" s="65">
        <v>2</v>
      </c>
      <c r="C9" s="16">
        <v>1</v>
      </c>
      <c r="D9" s="42">
        <v>0.11799999999999999</v>
      </c>
      <c r="E9" s="42">
        <v>0.114</v>
      </c>
      <c r="F9" s="42">
        <v>0.11799999999999999</v>
      </c>
      <c r="G9" s="16">
        <f t="shared" si="0"/>
        <v>1.2951450562462996</v>
      </c>
      <c r="H9" s="19">
        <f t="shared" si="1"/>
        <v>2.5637223321031275E-2</v>
      </c>
    </row>
    <row r="10" spans="1:8">
      <c r="A10" s="16">
        <v>2</v>
      </c>
      <c r="B10" s="65">
        <v>3.3333333333333335</v>
      </c>
      <c r="C10" s="16">
        <v>1</v>
      </c>
      <c r="D10" s="42">
        <v>0.11899999999999999</v>
      </c>
      <c r="E10" s="42">
        <v>0.115</v>
      </c>
      <c r="F10" s="42">
        <v>0.11700000000000001</v>
      </c>
      <c r="G10" s="16">
        <f t="shared" si="0"/>
        <v>1.2988454706927177</v>
      </c>
      <c r="H10" s="19">
        <f t="shared" si="1"/>
        <v>2.2202486678507938E-2</v>
      </c>
    </row>
    <row r="11" spans="1:8">
      <c r="A11" s="16">
        <v>3</v>
      </c>
      <c r="B11" s="65">
        <v>4.666666666666667</v>
      </c>
      <c r="C11" s="16">
        <v>1</v>
      </c>
      <c r="D11" s="42">
        <v>0.113</v>
      </c>
      <c r="E11" s="42">
        <v>0.111</v>
      </c>
      <c r="F11" s="42">
        <v>0.113</v>
      </c>
      <c r="G11" s="16">
        <f t="shared" si="0"/>
        <v>1.2470396684428657</v>
      </c>
      <c r="H11" s="19">
        <f t="shared" si="1"/>
        <v>1.2818611660515681E-2</v>
      </c>
    </row>
    <row r="12" spans="1:8">
      <c r="A12" s="16">
        <v>4</v>
      </c>
      <c r="B12" s="65">
        <v>6</v>
      </c>
      <c r="C12" s="16">
        <v>1</v>
      </c>
      <c r="D12" s="61">
        <v>0.114</v>
      </c>
      <c r="E12" s="61">
        <v>0.113</v>
      </c>
      <c r="F12" s="61">
        <v>0.112</v>
      </c>
      <c r="G12" s="16">
        <f t="shared" si="0"/>
        <v>1.2544404973357017</v>
      </c>
      <c r="H12" s="19">
        <f t="shared" si="1"/>
        <v>1.1101243339254007E-2</v>
      </c>
    </row>
    <row r="13" spans="1:8">
      <c r="A13" s="16">
        <v>5</v>
      </c>
      <c r="B13" s="65">
        <v>7.333333333333333</v>
      </c>
      <c r="C13" s="16">
        <v>1</v>
      </c>
      <c r="D13" s="61">
        <v>0.115</v>
      </c>
      <c r="E13" s="61">
        <v>0.114</v>
      </c>
      <c r="F13" s="61">
        <v>0.114</v>
      </c>
      <c r="G13" s="16">
        <f t="shared" si="0"/>
        <v>1.2692421551213737</v>
      </c>
      <c r="H13" s="19">
        <f t="shared" si="1"/>
        <v>6.4093058302578405E-3</v>
      </c>
    </row>
    <row r="14" spans="1:8">
      <c r="A14" s="16">
        <v>6</v>
      </c>
      <c r="B14" s="65">
        <v>8.6666666666666661</v>
      </c>
      <c r="C14" s="16">
        <v>1</v>
      </c>
      <c r="D14" s="61">
        <v>0.11600000000000001</v>
      </c>
      <c r="E14" s="61">
        <v>0.11600000000000001</v>
      </c>
      <c r="F14" s="61">
        <v>0.122</v>
      </c>
      <c r="G14" s="16">
        <f t="shared" si="0"/>
        <v>1.3099467140319716</v>
      </c>
      <c r="H14" s="19">
        <f t="shared" si="1"/>
        <v>3.8455834981546956E-2</v>
      </c>
    </row>
    <row r="15" spans="1:8">
      <c r="A15" s="16">
        <v>7</v>
      </c>
      <c r="B15" s="65">
        <v>10</v>
      </c>
      <c r="C15" s="16">
        <v>1</v>
      </c>
      <c r="D15" s="61">
        <v>0.121</v>
      </c>
      <c r="E15" s="61">
        <v>0.12</v>
      </c>
      <c r="F15" s="61">
        <v>0.11899999999999999</v>
      </c>
      <c r="G15" s="16">
        <f t="shared" si="0"/>
        <v>1.3321492007104796</v>
      </c>
      <c r="H15" s="19">
        <f t="shared" si="1"/>
        <v>1.1101243339254007E-2</v>
      </c>
    </row>
    <row r="16" spans="1:8">
      <c r="A16" s="16">
        <v>8</v>
      </c>
      <c r="B16" s="65">
        <v>11.333333333333334</v>
      </c>
      <c r="C16" s="16">
        <v>1</v>
      </c>
      <c r="D16" s="61">
        <v>0.12</v>
      </c>
      <c r="E16" s="61">
        <v>0.12</v>
      </c>
      <c r="F16" s="61">
        <v>0.12</v>
      </c>
      <c r="G16" s="16">
        <f t="shared" si="0"/>
        <v>1.3321492007104796</v>
      </c>
      <c r="H16" s="19">
        <f t="shared" si="1"/>
        <v>0</v>
      </c>
    </row>
    <row r="17" spans="1:8">
      <c r="A17" s="16">
        <v>9</v>
      </c>
      <c r="B17" s="65">
        <v>12.666666666666666</v>
      </c>
      <c r="C17" s="16">
        <v>1</v>
      </c>
      <c r="D17" s="61">
        <v>0.121</v>
      </c>
      <c r="E17" s="61">
        <v>0.121</v>
      </c>
      <c r="F17" s="61">
        <v>0.125</v>
      </c>
      <c r="G17" s="16">
        <f t="shared" si="0"/>
        <v>1.3580521018354055</v>
      </c>
      <c r="H17" s="19">
        <f t="shared" si="1"/>
        <v>2.5637223321031362E-2</v>
      </c>
    </row>
    <row r="18" spans="1:8">
      <c r="A18" s="16">
        <v>10</v>
      </c>
      <c r="B18" s="65">
        <v>14</v>
      </c>
      <c r="C18" s="16">
        <v>1</v>
      </c>
      <c r="D18" s="42">
        <v>0.124</v>
      </c>
      <c r="E18" s="42">
        <v>0.125</v>
      </c>
      <c r="F18" s="42">
        <v>0.126</v>
      </c>
      <c r="G18" s="16">
        <f t="shared" ref="G18:G24" si="2">(C18*1000*AVERAGE(D18:F18))/$B$2</f>
        <v>1.3876554174067497</v>
      </c>
      <c r="H18" s="19">
        <f t="shared" ref="H18:H24" si="3">(C18*1000*STDEV(D18:F18))/$B$2</f>
        <v>1.1101243339254007E-2</v>
      </c>
    </row>
    <row r="19" spans="1:8">
      <c r="A19" s="16">
        <v>11</v>
      </c>
      <c r="B19" s="65">
        <v>15.333333333333334</v>
      </c>
      <c r="C19" s="16">
        <v>1</v>
      </c>
      <c r="D19" s="61">
        <v>0.13200000000000001</v>
      </c>
      <c r="E19" s="61">
        <v>0.127</v>
      </c>
      <c r="F19" s="61">
        <v>0.128</v>
      </c>
      <c r="G19" s="16">
        <f t="shared" si="2"/>
        <v>1.4320603907637657</v>
      </c>
      <c r="H19" s="19">
        <f t="shared" si="3"/>
        <v>2.937112911927834E-2</v>
      </c>
    </row>
    <row r="20" spans="1:8">
      <c r="A20" s="16">
        <v>12</v>
      </c>
      <c r="B20" s="65">
        <v>16.666666666666668</v>
      </c>
      <c r="C20" s="16">
        <v>1</v>
      </c>
      <c r="D20" s="61">
        <v>0.127</v>
      </c>
      <c r="E20" s="61">
        <v>0.125</v>
      </c>
      <c r="F20" s="61">
        <v>0.128</v>
      </c>
      <c r="G20" s="16">
        <f t="shared" si="2"/>
        <v>1.4061574896388396</v>
      </c>
      <c r="H20" s="19">
        <f t="shared" si="3"/>
        <v>1.6957429303418606E-2</v>
      </c>
    </row>
    <row r="21" spans="1:8">
      <c r="A21" s="16">
        <v>13</v>
      </c>
      <c r="B21" s="65">
        <v>18</v>
      </c>
      <c r="C21" s="16">
        <v>1</v>
      </c>
      <c r="D21" s="61">
        <v>0.13100000000000001</v>
      </c>
      <c r="E21" s="61">
        <v>0.13</v>
      </c>
      <c r="F21" s="61">
        <v>0.13</v>
      </c>
      <c r="G21" s="16">
        <f t="shared" si="2"/>
        <v>1.4468620485494377</v>
      </c>
      <c r="H21" s="19">
        <f t="shared" si="3"/>
        <v>6.4093058302578405E-3</v>
      </c>
    </row>
    <row r="22" spans="1:8">
      <c r="A22" s="16">
        <v>14</v>
      </c>
      <c r="B22" s="65">
        <v>24.333333333333332</v>
      </c>
      <c r="C22" s="16">
        <v>1</v>
      </c>
      <c r="D22" s="61">
        <v>0.13400000000000001</v>
      </c>
      <c r="E22" s="61">
        <v>0.129</v>
      </c>
      <c r="F22" s="61">
        <v>0.13100000000000001</v>
      </c>
      <c r="G22" s="16">
        <f t="shared" si="2"/>
        <v>1.4579632918886916</v>
      </c>
      <c r="H22" s="19">
        <f t="shared" si="3"/>
        <v>2.7937516412339981E-2</v>
      </c>
    </row>
    <row r="23" spans="1:8">
      <c r="A23" s="16">
        <v>15</v>
      </c>
      <c r="B23" s="65">
        <v>30.166666666666668</v>
      </c>
      <c r="C23" s="16">
        <v>1</v>
      </c>
      <c r="D23" s="61">
        <v>0.14499999999999999</v>
      </c>
      <c r="E23" s="61">
        <v>0.14699999999999999</v>
      </c>
      <c r="F23" s="61">
        <v>0.14299999999999999</v>
      </c>
      <c r="G23" s="16">
        <f t="shared" si="2"/>
        <v>1.6096802841918296</v>
      </c>
      <c r="H23" s="19">
        <f t="shared" si="3"/>
        <v>2.2202486678508014E-2</v>
      </c>
    </row>
    <row r="24" spans="1:8">
      <c r="A24" s="16">
        <v>16</v>
      </c>
      <c r="B24" s="65">
        <v>48</v>
      </c>
      <c r="C24" s="16">
        <v>1</v>
      </c>
      <c r="D24" s="42">
        <v>0.183</v>
      </c>
      <c r="E24" s="42">
        <v>0.186</v>
      </c>
      <c r="F24" s="42">
        <v>0.185</v>
      </c>
      <c r="G24" s="16">
        <f t="shared" si="2"/>
        <v>2.0500296033155716</v>
      </c>
      <c r="H24" s="19">
        <f t="shared" si="3"/>
        <v>1.6957429303418606E-2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7" sqref="B7:B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60</v>
      </c>
    </row>
    <row r="2" spans="1:8">
      <c r="A2" s="21" t="s">
        <v>43</v>
      </c>
      <c r="B2" s="17">
        <v>46.07</v>
      </c>
    </row>
    <row r="4" spans="1:8">
      <c r="A4" s="153" t="s">
        <v>43</v>
      </c>
      <c r="B4" s="154"/>
      <c r="C4" s="154"/>
      <c r="D4" s="154"/>
      <c r="E4" s="154"/>
      <c r="F4" s="154"/>
      <c r="G4" s="154"/>
      <c r="H4" s="155"/>
    </row>
    <row r="5" spans="1:8">
      <c r="A5" s="156" t="s">
        <v>61</v>
      </c>
      <c r="B5" s="154"/>
      <c r="C5" s="155"/>
      <c r="D5" s="157" t="s">
        <v>44</v>
      </c>
      <c r="E5" s="157" t="s">
        <v>45</v>
      </c>
      <c r="F5" s="157" t="s">
        <v>46</v>
      </c>
      <c r="G5" s="159" t="s">
        <v>62</v>
      </c>
      <c r="H5" s="159" t="s">
        <v>63</v>
      </c>
    </row>
    <row r="6" spans="1:8">
      <c r="A6" s="22" t="s">
        <v>4</v>
      </c>
      <c r="B6" s="22" t="s">
        <v>59</v>
      </c>
      <c r="C6" s="22" t="s">
        <v>19</v>
      </c>
      <c r="D6" s="158"/>
      <c r="E6" s="158"/>
      <c r="F6" s="158"/>
      <c r="G6" s="160"/>
      <c r="H6" s="160"/>
    </row>
    <row r="7" spans="1:8">
      <c r="A7" s="16">
        <v>0</v>
      </c>
      <c r="B7" s="65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16">
        <v>0</v>
      </c>
      <c r="B8" s="65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16">
        <v>1</v>
      </c>
      <c r="B9" s="65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16">
        <v>2</v>
      </c>
      <c r="B10" s="65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16">
        <v>3</v>
      </c>
      <c r="B11" s="65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16">
        <v>4</v>
      </c>
      <c r="B12" s="65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16">
        <v>5</v>
      </c>
      <c r="B13" s="65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16">
        <v>6</v>
      </c>
      <c r="B14" s="65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16">
        <v>7</v>
      </c>
      <c r="B15" s="65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16">
        <v>8</v>
      </c>
      <c r="B16" s="65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16">
        <v>9</v>
      </c>
      <c r="B17" s="65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16">
        <v>10</v>
      </c>
      <c r="B18" s="65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4" si="2">(C18*1000*AVERAGE(D18:F18))/$B$2</f>
        <v>0</v>
      </c>
      <c r="H18" s="19">
        <f t="shared" ref="H18:H24" si="3">(C18*1000*STDEV(D18:F18))/$B$2</f>
        <v>0</v>
      </c>
    </row>
    <row r="19" spans="1:8">
      <c r="A19" s="16">
        <v>11</v>
      </c>
      <c r="B19" s="65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16">
        <v>12</v>
      </c>
      <c r="B20" s="65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16">
        <v>13</v>
      </c>
      <c r="B21" s="65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16">
        <v>14</v>
      </c>
      <c r="B22" s="65">
        <v>24.333333333333332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16">
        <v>15</v>
      </c>
      <c r="B23" s="65">
        <v>30.166666666666668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16">
        <v>16</v>
      </c>
      <c r="B24" s="65">
        <v>48</v>
      </c>
      <c r="C24" s="16">
        <v>2</v>
      </c>
      <c r="D24" s="18">
        <v>0</v>
      </c>
      <c r="E24" s="18">
        <v>0</v>
      </c>
      <c r="F24" s="18">
        <v>0</v>
      </c>
      <c r="G24" s="16">
        <f t="shared" si="2"/>
        <v>0</v>
      </c>
      <c r="H24" s="19">
        <f t="shared" si="3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29"/>
  <sheetViews>
    <sheetView workbookViewId="0">
      <selection activeCell="G27" sqref="G27"/>
    </sheetView>
  </sheetViews>
  <sheetFormatPr baseColWidth="10" defaultColWidth="8.83203125" defaultRowHeight="14" x14ac:dyDescent="0"/>
  <cols>
    <col min="1" max="1" width="23.6640625" bestFit="1" customWidth="1"/>
    <col min="3" max="3" width="9.1640625" bestFit="1" customWidth="1"/>
    <col min="4" max="4" width="10.1640625" bestFit="1" customWidth="1"/>
  </cols>
  <sheetData>
    <row r="1" spans="1:4">
      <c r="B1" s="30" t="s">
        <v>77</v>
      </c>
      <c r="C1" s="30" t="s">
        <v>78</v>
      </c>
    </row>
    <row r="2" spans="1:4">
      <c r="A2" s="30" t="s">
        <v>135</v>
      </c>
      <c r="B2" s="77">
        <f>Metabolites!H4-Metabolites!H20</f>
        <v>46.426360094886626</v>
      </c>
      <c r="C2" s="77">
        <f>Metabolites!I4+Metabolites!I20</f>
        <v>1.341807551778214</v>
      </c>
      <c r="D2" s="77"/>
    </row>
    <row r="3" spans="1:4">
      <c r="A3" s="30" t="s">
        <v>110</v>
      </c>
      <c r="B3" s="77">
        <f>Metabolites!P4-Metabolites!P20</f>
        <v>3.0664644182219831</v>
      </c>
      <c r="C3" s="77">
        <f>Metabolites!Q4+Metabolites!Q20</f>
        <v>1.688978493302697</v>
      </c>
      <c r="D3" s="77"/>
    </row>
    <row r="4" spans="1:4">
      <c r="A4" s="30" t="s">
        <v>111</v>
      </c>
      <c r="B4" s="77">
        <f>Metabolites!T20-Metabolites!T4</f>
        <v>9.0688159127035277</v>
      </c>
      <c r="C4" s="77">
        <f>Metabolites!U4+Metabolites!U20</f>
        <v>0.21936236510937193</v>
      </c>
      <c r="D4" s="77"/>
    </row>
    <row r="5" spans="1:4">
      <c r="A5" s="30" t="s">
        <v>112</v>
      </c>
      <c r="B5" s="77">
        <f>Metabolites!L20-Metabolites!L4</f>
        <v>0.89434824326451401</v>
      </c>
      <c r="C5" s="77">
        <f>Metabolites!M20+Metabolites!M4</f>
        <v>5.174901014426149E-2</v>
      </c>
      <c r="D5" s="77"/>
    </row>
    <row r="6" spans="1:4">
      <c r="A6" s="30" t="s">
        <v>113</v>
      </c>
      <c r="B6" s="77">
        <f>Metabolites!L41-Metabolites!L25</f>
        <v>60.225268350045248</v>
      </c>
      <c r="C6" s="77">
        <f>Metabolites!M41+Metabolites!M25</f>
        <v>0.30451560321714732</v>
      </c>
      <c r="D6" s="77"/>
    </row>
    <row r="7" spans="1:4">
      <c r="A7" s="30" t="s">
        <v>79</v>
      </c>
      <c r="B7" s="77">
        <f>'H2'!G101</f>
        <v>73.108495594219889</v>
      </c>
      <c r="C7" s="77"/>
      <c r="D7" s="77"/>
    </row>
    <row r="8" spans="1:4">
      <c r="A8" s="30" t="s">
        <v>80</v>
      </c>
      <c r="B8" s="77">
        <f>'CO2'!G101</f>
        <v>103.93351084232587</v>
      </c>
      <c r="C8" s="77"/>
      <c r="D8" s="77"/>
    </row>
    <row r="9" spans="1:4">
      <c r="A9" s="30" t="s">
        <v>115</v>
      </c>
      <c r="B9" s="77">
        <f xml:space="preserve"> Calculation!G20*1.5/1000</f>
        <v>7.0499999999999993E-2</v>
      </c>
      <c r="C9" s="77"/>
      <c r="D9" s="77"/>
    </row>
    <row r="10" spans="1:4" ht="16">
      <c r="A10" s="30" t="s">
        <v>116</v>
      </c>
      <c r="B10" s="77">
        <f>Calculation!H20*1.5/1000</f>
        <v>1.4999999999999999E-2</v>
      </c>
      <c r="C10" s="77"/>
      <c r="D10" s="77"/>
    </row>
    <row r="12" spans="1:4">
      <c r="A12" s="30" t="s">
        <v>81</v>
      </c>
      <c r="B12" s="79">
        <f>((4*$B$6)+(3*$B$5)+($B$4)+(B8))/((6*$B$2)+(2*$B$3))</f>
        <v>1.252538130467334</v>
      </c>
    </row>
    <row r="13" spans="1:4">
      <c r="A13" s="30" t="s">
        <v>114</v>
      </c>
    </row>
    <row r="15" spans="1:4">
      <c r="C15" t="s">
        <v>126</v>
      </c>
      <c r="D15" t="s">
        <v>127</v>
      </c>
    </row>
    <row r="16" spans="1:4">
      <c r="A16" t="s">
        <v>164</v>
      </c>
      <c r="B16" t="s">
        <v>118</v>
      </c>
      <c r="C16" s="31">
        <f>B2</f>
        <v>46.426360094886626</v>
      </c>
      <c r="D16" s="31">
        <f>B2</f>
        <v>46.426360094886626</v>
      </c>
    </row>
    <row r="17" spans="1:4">
      <c r="A17" t="s">
        <v>165</v>
      </c>
      <c r="B17" t="s">
        <v>119</v>
      </c>
      <c r="C17" s="77">
        <f>2*C16</f>
        <v>92.852720189773251</v>
      </c>
      <c r="D17" s="77">
        <f>2*B2</f>
        <v>92.852720189773251</v>
      </c>
    </row>
    <row r="18" spans="1:4">
      <c r="A18" t="s">
        <v>166</v>
      </c>
      <c r="B18" t="s">
        <v>120</v>
      </c>
      <c r="C18" s="77">
        <f>B5</f>
        <v>0.89434824326451401</v>
      </c>
      <c r="D18" s="77">
        <f>B5</f>
        <v>0.89434824326451401</v>
      </c>
    </row>
    <row r="19" spans="1:4">
      <c r="A19" t="s">
        <v>167</v>
      </c>
      <c r="B19" t="s">
        <v>129</v>
      </c>
      <c r="C19" s="77">
        <f>B4</f>
        <v>9.0688159127035277</v>
      </c>
      <c r="D19" s="77">
        <f>B4</f>
        <v>9.0688159127035277</v>
      </c>
    </row>
    <row r="20" spans="1:4">
      <c r="A20" t="s">
        <v>168</v>
      </c>
      <c r="B20" t="s">
        <v>121</v>
      </c>
      <c r="C20" s="82">
        <f>C17-C18</f>
        <v>91.958371946508734</v>
      </c>
      <c r="D20" s="82">
        <f>B8</f>
        <v>103.93351084232587</v>
      </c>
    </row>
    <row r="21" spans="1:4">
      <c r="A21" t="s">
        <v>169</v>
      </c>
      <c r="B21" s="80" t="s">
        <v>130</v>
      </c>
      <c r="C21" s="81">
        <f>C20-C19</f>
        <v>82.889556033805206</v>
      </c>
      <c r="D21" s="78">
        <f>B8</f>
        <v>103.93351084232587</v>
      </c>
    </row>
    <row r="22" spans="1:4">
      <c r="A22" t="s">
        <v>170</v>
      </c>
      <c r="B22" t="s">
        <v>122</v>
      </c>
      <c r="C22" s="77">
        <f>B3</f>
        <v>3.0664644182219831</v>
      </c>
      <c r="D22" s="77">
        <f>B3</f>
        <v>3.0664644182219831</v>
      </c>
    </row>
    <row r="23" spans="1:4">
      <c r="A23" t="s">
        <v>171</v>
      </c>
      <c r="B23" t="s">
        <v>138</v>
      </c>
      <c r="C23" s="77">
        <f>C20+C22</f>
        <v>95.024836364730717</v>
      </c>
      <c r="D23" s="77"/>
    </row>
    <row r="24" spans="1:4">
      <c r="A24" t="s">
        <v>172</v>
      </c>
      <c r="B24" t="s">
        <v>123</v>
      </c>
      <c r="C24" s="81">
        <f>C23/2</f>
        <v>47.512418182365359</v>
      </c>
      <c r="D24" s="81">
        <f>B6</f>
        <v>60.225268350045248</v>
      </c>
    </row>
    <row r="25" spans="1:4">
      <c r="A25" t="s">
        <v>143</v>
      </c>
      <c r="B25" t="s">
        <v>128</v>
      </c>
      <c r="C25" s="77">
        <f>C20-C22</f>
        <v>88.891907528286751</v>
      </c>
      <c r="D25" s="77">
        <f>B7</f>
        <v>73.108495594219889</v>
      </c>
    </row>
    <row r="26" spans="1:4">
      <c r="A26" t="s">
        <v>173</v>
      </c>
      <c r="B26" t="s">
        <v>137</v>
      </c>
      <c r="C26" s="81">
        <f>C25-C19</f>
        <v>79.823091615583223</v>
      </c>
      <c r="D26" s="81">
        <f>D25+F25</f>
        <v>73.108495594219889</v>
      </c>
    </row>
    <row r="28" spans="1:4">
      <c r="A28" t="s">
        <v>124</v>
      </c>
    </row>
    <row r="29" spans="1:4">
      <c r="A29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4" sqref="A4:D20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15.83203125" style="2" customWidth="1"/>
    <col min="12" max="16384" width="8.83203125" style="2"/>
  </cols>
  <sheetData>
    <row r="1" spans="1:11">
      <c r="A1" s="128" t="s">
        <v>4</v>
      </c>
      <c r="B1" s="128" t="s">
        <v>104</v>
      </c>
      <c r="C1" s="128" t="s">
        <v>104</v>
      </c>
      <c r="D1" s="128" t="s">
        <v>5</v>
      </c>
      <c r="E1" s="4" t="s">
        <v>7</v>
      </c>
      <c r="F1" s="4" t="s">
        <v>9</v>
      </c>
      <c r="G1" s="124" t="s">
        <v>11</v>
      </c>
      <c r="H1" s="124" t="s">
        <v>12</v>
      </c>
      <c r="I1" s="4" t="s">
        <v>13</v>
      </c>
      <c r="J1" s="4" t="s">
        <v>16</v>
      </c>
      <c r="K1" s="4" t="s">
        <v>16</v>
      </c>
    </row>
    <row r="2" spans="1:11">
      <c r="A2" s="129"/>
      <c r="B2" s="129"/>
      <c r="C2" s="129"/>
      <c r="D2" s="129"/>
      <c r="E2" s="5" t="s">
        <v>8</v>
      </c>
      <c r="F2" s="5" t="s">
        <v>10</v>
      </c>
      <c r="G2" s="124"/>
      <c r="H2" s="124"/>
      <c r="I2" s="5" t="s">
        <v>14</v>
      </c>
      <c r="J2" s="5" t="s">
        <v>17</v>
      </c>
      <c r="K2" s="5" t="s">
        <v>139</v>
      </c>
    </row>
    <row r="3" spans="1:11">
      <c r="A3" s="33" t="s">
        <v>6</v>
      </c>
      <c r="B3" s="52">
        <v>-10</v>
      </c>
      <c r="C3" s="53">
        <v>-10</v>
      </c>
      <c r="D3" s="65">
        <f>C3/60</f>
        <v>-0.16666666666666666</v>
      </c>
      <c r="E3" s="3">
        <v>57</v>
      </c>
      <c r="F3" s="1">
        <f>E3</f>
        <v>57</v>
      </c>
      <c r="G3" s="1">
        <v>0</v>
      </c>
      <c r="H3" s="1">
        <v>0</v>
      </c>
      <c r="I3" s="1">
        <f>F22+G3+H3</f>
        <v>1500</v>
      </c>
      <c r="J3" s="13">
        <f>F3*1500/I3</f>
        <v>57</v>
      </c>
      <c r="K3" s="13">
        <f>F23-J3</f>
        <v>1518</v>
      </c>
    </row>
    <row r="4" spans="1:11">
      <c r="A4" s="1">
        <v>0</v>
      </c>
      <c r="B4" s="54">
        <v>10</v>
      </c>
      <c r="C4" s="55">
        <v>10</v>
      </c>
      <c r="D4" s="65">
        <f t="shared" ref="D4:D19" si="0">C4/60</f>
        <v>0.16666666666666666</v>
      </c>
      <c r="E4" s="1">
        <v>53</v>
      </c>
      <c r="F4" s="1">
        <f>E4+F3</f>
        <v>110</v>
      </c>
      <c r="G4" s="1">
        <v>1</v>
      </c>
      <c r="H4" s="40">
        <v>0</v>
      </c>
      <c r="I4" s="1">
        <f t="shared" ref="I4:I19" si="1">$F$23-F3+G4+H4</f>
        <v>1519</v>
      </c>
      <c r="J4" s="13">
        <f>E4*K3/I4</f>
        <v>52.965108624094796</v>
      </c>
      <c r="K4" s="13">
        <f>K3-J4</f>
        <v>1465.0348913759053</v>
      </c>
    </row>
    <row r="5" spans="1:11">
      <c r="A5" s="1">
        <v>1</v>
      </c>
      <c r="B5" s="54">
        <v>110</v>
      </c>
      <c r="C5" s="55">
        <f>C4+B5</f>
        <v>120</v>
      </c>
      <c r="D5" s="65">
        <f t="shared" si="0"/>
        <v>2</v>
      </c>
      <c r="E5" s="1">
        <v>49</v>
      </c>
      <c r="F5" s="40">
        <f t="shared" ref="F5:F18" si="2">E5+F4</f>
        <v>159</v>
      </c>
      <c r="G5" s="40">
        <v>4</v>
      </c>
      <c r="H5" s="40">
        <v>0</v>
      </c>
      <c r="I5" s="40">
        <f t="shared" si="1"/>
        <v>1469</v>
      </c>
      <c r="J5" s="13">
        <f>E5*K4/I5</f>
        <v>48.867739739563895</v>
      </c>
      <c r="K5" s="13">
        <f>K4-J5</f>
        <v>1416.1671516363415</v>
      </c>
    </row>
    <row r="6" spans="1:11">
      <c r="A6" s="1">
        <v>2</v>
      </c>
      <c r="B6" s="54">
        <v>80</v>
      </c>
      <c r="C6" s="55">
        <f t="shared" ref="C6:C18" si="3">C5+B6</f>
        <v>200</v>
      </c>
      <c r="D6" s="65">
        <f t="shared" si="0"/>
        <v>3.3333333333333335</v>
      </c>
      <c r="E6" s="1">
        <v>54</v>
      </c>
      <c r="F6" s="40">
        <f t="shared" si="2"/>
        <v>213</v>
      </c>
      <c r="G6" s="40">
        <v>7</v>
      </c>
      <c r="H6" s="40">
        <v>0</v>
      </c>
      <c r="I6" s="40">
        <f t="shared" si="1"/>
        <v>1423</v>
      </c>
      <c r="J6" s="13">
        <f t="shared" ref="J6:J19" si="4">E6*K5/I6</f>
        <v>53.740707089502763</v>
      </c>
      <c r="K6" s="13">
        <f>K5-J6</f>
        <v>1362.4264445468386</v>
      </c>
    </row>
    <row r="7" spans="1:11">
      <c r="A7" s="1">
        <v>3</v>
      </c>
      <c r="B7" s="54">
        <v>80</v>
      </c>
      <c r="C7" s="55">
        <f>C6+B7</f>
        <v>280</v>
      </c>
      <c r="D7" s="65">
        <f t="shared" si="0"/>
        <v>4.666666666666667</v>
      </c>
      <c r="E7" s="1">
        <v>60</v>
      </c>
      <c r="F7" s="40">
        <f t="shared" si="2"/>
        <v>273</v>
      </c>
      <c r="G7" s="40">
        <v>13</v>
      </c>
      <c r="H7" s="40">
        <v>0</v>
      </c>
      <c r="I7" s="40">
        <f t="shared" si="1"/>
        <v>1375</v>
      </c>
      <c r="J7" s="13">
        <f t="shared" si="4"/>
        <v>59.451335762043861</v>
      </c>
      <c r="K7" s="13">
        <f t="shared" ref="K7:K19" si="5">K6-J7</f>
        <v>1302.9751087847949</v>
      </c>
    </row>
    <row r="8" spans="1:11">
      <c r="A8" s="1">
        <v>4</v>
      </c>
      <c r="B8" s="54">
        <v>80</v>
      </c>
      <c r="C8" s="55">
        <f t="shared" si="3"/>
        <v>360</v>
      </c>
      <c r="D8" s="65">
        <f t="shared" si="0"/>
        <v>6</v>
      </c>
      <c r="E8" s="1">
        <v>51</v>
      </c>
      <c r="F8" s="40">
        <f t="shared" si="2"/>
        <v>324</v>
      </c>
      <c r="G8" s="40">
        <v>19</v>
      </c>
      <c r="H8" s="40">
        <v>0</v>
      </c>
      <c r="I8" s="40">
        <f t="shared" si="1"/>
        <v>1321</v>
      </c>
      <c r="J8" s="13">
        <f t="shared" si="4"/>
        <v>50.304110937187389</v>
      </c>
      <c r="K8" s="13">
        <f t="shared" si="5"/>
        <v>1252.6709978476074</v>
      </c>
    </row>
    <row r="9" spans="1:11">
      <c r="A9" s="1">
        <v>5</v>
      </c>
      <c r="B9" s="54">
        <v>80</v>
      </c>
      <c r="C9" s="55">
        <f t="shared" si="3"/>
        <v>440</v>
      </c>
      <c r="D9" s="65">
        <f t="shared" si="0"/>
        <v>7.333333333333333</v>
      </c>
      <c r="E9" s="1">
        <v>55</v>
      </c>
      <c r="F9" s="40">
        <f>E9+F8</f>
        <v>379</v>
      </c>
      <c r="G9" s="40">
        <v>23</v>
      </c>
      <c r="H9" s="40">
        <v>0</v>
      </c>
      <c r="I9" s="40">
        <f t="shared" si="1"/>
        <v>1274</v>
      </c>
      <c r="J9" s="13">
        <f t="shared" si="4"/>
        <v>54.079203203782107</v>
      </c>
      <c r="K9" s="13">
        <f>K8-J9</f>
        <v>1198.5917946438253</v>
      </c>
    </row>
    <row r="10" spans="1:11">
      <c r="A10" s="1">
        <v>6</v>
      </c>
      <c r="B10" s="54">
        <v>80</v>
      </c>
      <c r="C10" s="55">
        <f t="shared" si="3"/>
        <v>520</v>
      </c>
      <c r="D10" s="65">
        <f t="shared" si="0"/>
        <v>8.6666666666666661</v>
      </c>
      <c r="E10" s="1">
        <v>62</v>
      </c>
      <c r="F10" s="40">
        <f t="shared" si="2"/>
        <v>441</v>
      </c>
      <c r="G10" s="40">
        <v>28</v>
      </c>
      <c r="H10" s="40">
        <v>0</v>
      </c>
      <c r="I10" s="40">
        <f t="shared" si="1"/>
        <v>1224</v>
      </c>
      <c r="J10" s="13">
        <f t="shared" si="4"/>
        <v>60.712983062023831</v>
      </c>
      <c r="K10" s="13">
        <f>K9-J10</f>
        <v>1137.8788115818015</v>
      </c>
    </row>
    <row r="11" spans="1:11">
      <c r="A11" s="1">
        <v>7</v>
      </c>
      <c r="B11" s="54">
        <v>80</v>
      </c>
      <c r="C11" s="55">
        <f t="shared" si="3"/>
        <v>600</v>
      </c>
      <c r="D11" s="65">
        <f t="shared" si="0"/>
        <v>10</v>
      </c>
      <c r="E11" s="1">
        <v>46</v>
      </c>
      <c r="F11" s="40">
        <f t="shared" si="2"/>
        <v>487</v>
      </c>
      <c r="G11" s="40">
        <v>34</v>
      </c>
      <c r="H11" s="40">
        <v>0</v>
      </c>
      <c r="I11" s="40">
        <f t="shared" si="1"/>
        <v>1168</v>
      </c>
      <c r="J11" s="13">
        <f>E11*K10/I11</f>
        <v>44.813720319146292</v>
      </c>
      <c r="K11" s="13">
        <f t="shared" si="5"/>
        <v>1093.0650912626552</v>
      </c>
    </row>
    <row r="12" spans="1:11">
      <c r="A12" s="1">
        <v>8</v>
      </c>
      <c r="B12" s="54">
        <v>80</v>
      </c>
      <c r="C12" s="55">
        <f t="shared" si="3"/>
        <v>680</v>
      </c>
      <c r="D12" s="65">
        <f t="shared" si="0"/>
        <v>11.333333333333334</v>
      </c>
      <c r="E12" s="1">
        <v>57</v>
      </c>
      <c r="F12" s="40">
        <f t="shared" si="2"/>
        <v>544</v>
      </c>
      <c r="G12" s="40">
        <v>40</v>
      </c>
      <c r="H12" s="40">
        <v>0</v>
      </c>
      <c r="I12" s="40">
        <f t="shared" si="1"/>
        <v>1128</v>
      </c>
      <c r="J12" s="13">
        <f>E12*K11/I12</f>
        <v>55.234672164868215</v>
      </c>
      <c r="K12" s="13">
        <f t="shared" si="5"/>
        <v>1037.8304190977869</v>
      </c>
    </row>
    <row r="13" spans="1:11">
      <c r="A13" s="1">
        <v>9</v>
      </c>
      <c r="B13" s="54">
        <v>80</v>
      </c>
      <c r="C13" s="55">
        <f t="shared" si="3"/>
        <v>760</v>
      </c>
      <c r="D13" s="65">
        <f t="shared" si="0"/>
        <v>12.666666666666666</v>
      </c>
      <c r="E13" s="3">
        <v>47</v>
      </c>
      <c r="F13" s="40">
        <f t="shared" si="2"/>
        <v>591</v>
      </c>
      <c r="G13" s="40">
        <v>43</v>
      </c>
      <c r="H13" s="40">
        <v>0</v>
      </c>
      <c r="I13" s="40">
        <f t="shared" si="1"/>
        <v>1074</v>
      </c>
      <c r="J13" s="13">
        <f>E13*K12/I13</f>
        <v>45.417159867407811</v>
      </c>
      <c r="K13" s="13">
        <f t="shared" si="5"/>
        <v>992.41325923037914</v>
      </c>
    </row>
    <row r="14" spans="1:11">
      <c r="A14" s="37">
        <v>10</v>
      </c>
      <c r="B14" s="54">
        <v>80</v>
      </c>
      <c r="C14" s="55">
        <f t="shared" si="3"/>
        <v>840</v>
      </c>
      <c r="D14" s="65">
        <f t="shared" si="0"/>
        <v>14</v>
      </c>
      <c r="E14" s="37">
        <v>51</v>
      </c>
      <c r="F14" s="40">
        <f t="shared" si="2"/>
        <v>642</v>
      </c>
      <c r="G14" s="40">
        <v>45</v>
      </c>
      <c r="H14" s="40">
        <v>0</v>
      </c>
      <c r="I14" s="40">
        <f t="shared" si="1"/>
        <v>1029</v>
      </c>
      <c r="J14" s="13">
        <f t="shared" si="4"/>
        <v>49.186662993925502</v>
      </c>
      <c r="K14" s="13">
        <f t="shared" si="5"/>
        <v>943.22659623645359</v>
      </c>
    </row>
    <row r="15" spans="1:11">
      <c r="A15" s="37">
        <v>11</v>
      </c>
      <c r="B15" s="54">
        <v>80</v>
      </c>
      <c r="C15" s="55">
        <f t="shared" si="3"/>
        <v>920</v>
      </c>
      <c r="D15" s="65">
        <f t="shared" si="0"/>
        <v>15.333333333333334</v>
      </c>
      <c r="E15" s="37">
        <v>52</v>
      </c>
      <c r="F15" s="40">
        <f t="shared" si="2"/>
        <v>694</v>
      </c>
      <c r="G15" s="40">
        <v>47</v>
      </c>
      <c r="H15" s="40">
        <v>0</v>
      </c>
      <c r="I15" s="40">
        <f t="shared" si="1"/>
        <v>980</v>
      </c>
      <c r="J15" s="13">
        <f t="shared" si="4"/>
        <v>50.048758167648565</v>
      </c>
      <c r="K15" s="13">
        <f t="shared" si="5"/>
        <v>893.17783806880504</v>
      </c>
    </row>
    <row r="16" spans="1:11">
      <c r="A16" s="37">
        <v>12</v>
      </c>
      <c r="B16" s="54">
        <v>80</v>
      </c>
      <c r="C16" s="55">
        <f t="shared" si="3"/>
        <v>1000</v>
      </c>
      <c r="D16" s="65">
        <f t="shared" si="0"/>
        <v>16.666666666666668</v>
      </c>
      <c r="E16" s="37">
        <v>53</v>
      </c>
      <c r="F16" s="40">
        <f t="shared" si="2"/>
        <v>747</v>
      </c>
      <c r="G16" s="40">
        <v>47</v>
      </c>
      <c r="H16" s="40">
        <v>8</v>
      </c>
      <c r="I16" s="40">
        <f t="shared" si="1"/>
        <v>936</v>
      </c>
      <c r="J16" s="13">
        <f t="shared" si="4"/>
        <v>50.575240830819084</v>
      </c>
      <c r="K16" s="13">
        <f t="shared" si="5"/>
        <v>842.60259723798595</v>
      </c>
    </row>
    <row r="17" spans="1:11">
      <c r="A17" s="37">
        <v>13</v>
      </c>
      <c r="B17" s="54">
        <v>80</v>
      </c>
      <c r="C17" s="55">
        <f t="shared" si="3"/>
        <v>1080</v>
      </c>
      <c r="D17" s="65">
        <f t="shared" si="0"/>
        <v>18</v>
      </c>
      <c r="E17" s="37">
        <v>47</v>
      </c>
      <c r="F17" s="40">
        <f t="shared" si="2"/>
        <v>794</v>
      </c>
      <c r="G17" s="40">
        <v>47</v>
      </c>
      <c r="H17" s="40">
        <v>9</v>
      </c>
      <c r="I17" s="40">
        <f t="shared" si="1"/>
        <v>884</v>
      </c>
      <c r="J17" s="13">
        <f t="shared" si="4"/>
        <v>44.799006866725499</v>
      </c>
      <c r="K17" s="13">
        <f t="shared" si="5"/>
        <v>797.8035903712605</v>
      </c>
    </row>
    <row r="18" spans="1:11">
      <c r="A18" s="37">
        <v>14</v>
      </c>
      <c r="B18" s="54">
        <v>380</v>
      </c>
      <c r="C18" s="55">
        <f t="shared" si="3"/>
        <v>1460</v>
      </c>
      <c r="D18" s="65">
        <f t="shared" si="0"/>
        <v>24.333333333333332</v>
      </c>
      <c r="E18" s="2">
        <v>49</v>
      </c>
      <c r="F18" s="40">
        <f t="shared" si="2"/>
        <v>843</v>
      </c>
      <c r="G18" s="40">
        <v>47</v>
      </c>
      <c r="H18" s="40">
        <v>10</v>
      </c>
      <c r="I18" s="40">
        <f t="shared" si="1"/>
        <v>838</v>
      </c>
      <c r="J18" s="13">
        <f t="shared" si="4"/>
        <v>46.649613279465115</v>
      </c>
      <c r="K18" s="13">
        <f>K17-J18</f>
        <v>751.15397709179535</v>
      </c>
    </row>
    <row r="19" spans="1:11">
      <c r="A19" s="37">
        <v>15</v>
      </c>
      <c r="B19" s="54">
        <v>350</v>
      </c>
      <c r="C19" s="55">
        <f>C18+B19</f>
        <v>1810</v>
      </c>
      <c r="D19" s="65">
        <f t="shared" si="0"/>
        <v>30.166666666666668</v>
      </c>
      <c r="E19" s="37">
        <v>57</v>
      </c>
      <c r="F19" s="40">
        <f>E19+F18</f>
        <v>900</v>
      </c>
      <c r="G19" s="40">
        <v>47</v>
      </c>
      <c r="H19" s="40">
        <v>10</v>
      </c>
      <c r="I19" s="40">
        <f t="shared" si="1"/>
        <v>789</v>
      </c>
      <c r="J19" s="13">
        <f t="shared" si="4"/>
        <v>54.265876672030842</v>
      </c>
      <c r="K19" s="13">
        <f t="shared" si="5"/>
        <v>696.88810041976456</v>
      </c>
    </row>
    <row r="20" spans="1:11">
      <c r="A20" s="40">
        <v>16</v>
      </c>
      <c r="B20" s="54">
        <v>1070</v>
      </c>
      <c r="C20" s="55">
        <f>C19+B20</f>
        <v>2880</v>
      </c>
      <c r="D20" s="65">
        <f t="shared" ref="D20" si="6">C20/60</f>
        <v>48</v>
      </c>
      <c r="E20" s="40">
        <v>96</v>
      </c>
      <c r="F20" s="40">
        <f>E20+F19</f>
        <v>996</v>
      </c>
      <c r="G20" s="40">
        <v>47</v>
      </c>
      <c r="H20" s="40">
        <v>10</v>
      </c>
      <c r="I20" s="40">
        <f t="shared" ref="I20" si="7">$F$23-F19+G20+H20</f>
        <v>732</v>
      </c>
      <c r="J20" s="13">
        <f>E20*K19/I20</f>
        <v>91.395160710788787</v>
      </c>
      <c r="K20" s="13">
        <f>K19-J20</f>
        <v>605.49293970897577</v>
      </c>
    </row>
    <row r="22" spans="1:11">
      <c r="A22" s="121" t="s">
        <v>15</v>
      </c>
      <c r="B22" s="122"/>
      <c r="C22" s="122"/>
      <c r="D22" s="122"/>
      <c r="E22" s="123"/>
      <c r="F22" s="1">
        <v>1500</v>
      </c>
    </row>
    <row r="23" spans="1:11">
      <c r="A23" s="125" t="s">
        <v>140</v>
      </c>
      <c r="B23" s="126"/>
      <c r="C23" s="126"/>
      <c r="D23" s="126"/>
      <c r="E23" s="127"/>
      <c r="F23" s="53">
        <v>1575</v>
      </c>
    </row>
  </sheetData>
  <mergeCells count="8">
    <mergeCell ref="A23:E23"/>
    <mergeCell ref="A1:A2"/>
    <mergeCell ref="D1:D2"/>
    <mergeCell ref="G1:G2"/>
    <mergeCell ref="H1:H2"/>
    <mergeCell ref="A22:E22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3" sqref="A3:D20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28" t="s">
        <v>4</v>
      </c>
      <c r="B1" s="128" t="s">
        <v>104</v>
      </c>
      <c r="C1" s="128" t="s">
        <v>104</v>
      </c>
      <c r="D1" s="128" t="s">
        <v>5</v>
      </c>
      <c r="E1" s="133" t="s">
        <v>18</v>
      </c>
      <c r="F1" s="133"/>
      <c r="G1" s="133"/>
      <c r="H1" s="133"/>
      <c r="I1" s="133" t="s">
        <v>20</v>
      </c>
      <c r="J1" s="133"/>
      <c r="K1" s="133"/>
      <c r="L1" s="133"/>
      <c r="M1" s="133" t="s">
        <v>21</v>
      </c>
      <c r="N1" s="133"/>
      <c r="O1" s="133"/>
      <c r="P1" s="133"/>
      <c r="Q1" s="38" t="s">
        <v>22</v>
      </c>
      <c r="R1" s="38" t="s">
        <v>22</v>
      </c>
      <c r="S1" s="38" t="s">
        <v>22</v>
      </c>
    </row>
    <row r="2" spans="1:19">
      <c r="A2" s="129"/>
      <c r="B2" s="129"/>
      <c r="C2" s="129"/>
      <c r="D2" s="129"/>
      <c r="E2" s="41" t="s">
        <v>19</v>
      </c>
      <c r="F2" s="41" t="s">
        <v>67</v>
      </c>
      <c r="G2" s="41" t="s">
        <v>105</v>
      </c>
      <c r="H2" s="41" t="s">
        <v>69</v>
      </c>
      <c r="I2" s="41" t="s">
        <v>19</v>
      </c>
      <c r="J2" s="41" t="s">
        <v>67</v>
      </c>
      <c r="K2" s="41" t="s">
        <v>68</v>
      </c>
      <c r="L2" s="41" t="s">
        <v>69</v>
      </c>
      <c r="M2" s="41" t="s">
        <v>19</v>
      </c>
      <c r="N2" s="41" t="s">
        <v>67</v>
      </c>
      <c r="O2" s="41" t="s">
        <v>68</v>
      </c>
      <c r="P2" s="41" t="s">
        <v>70</v>
      </c>
      <c r="Q2" s="39" t="s">
        <v>69</v>
      </c>
      <c r="R2" s="39" t="s">
        <v>23</v>
      </c>
      <c r="S2" s="39" t="s">
        <v>71</v>
      </c>
    </row>
    <row r="3" spans="1:19" s="6" customFormat="1">
      <c r="A3" s="40" t="s">
        <v>6</v>
      </c>
      <c r="B3" s="52">
        <v>-10</v>
      </c>
      <c r="C3" s="53">
        <v>-10</v>
      </c>
      <c r="D3" s="65">
        <f>C3/60</f>
        <v>-0.16666666666666666</v>
      </c>
      <c r="Q3" s="130"/>
      <c r="R3" s="131"/>
      <c r="S3" s="132"/>
    </row>
    <row r="4" spans="1:19">
      <c r="A4" s="40">
        <v>0</v>
      </c>
      <c r="B4" s="54">
        <v>10</v>
      </c>
      <c r="C4" s="55">
        <v>10</v>
      </c>
      <c r="D4" s="65">
        <f t="shared" ref="D4:D20" si="0">C4/60</f>
        <v>0.16666666666666666</v>
      </c>
      <c r="Q4" s="45" t="e">
        <f>AVERAGE('Flow cytometer'!P4,'Flow cytometer'!L4,'Flow cytometer'!H4)*Calculation!K4/Calculation!M3</f>
        <v>#DIV/0!</v>
      </c>
      <c r="R4" s="45" t="e">
        <f>STDEV('Flow cytometer'!P4,'Flow cytometer'!L4,'Flow cytometer'!H4)*Calculation!K4/Calculation!M3</f>
        <v>#DIV/0!</v>
      </c>
      <c r="S4" s="46" t="e">
        <f t="shared" ref="S4:S19" si="1">LOG(Q4)</f>
        <v>#DIV/0!</v>
      </c>
    </row>
    <row r="5" spans="1:19">
      <c r="A5" s="40">
        <v>1</v>
      </c>
      <c r="B5" s="54">
        <v>110</v>
      </c>
      <c r="C5" s="55">
        <f>C4+B5</f>
        <v>120</v>
      </c>
      <c r="D5" s="65">
        <f t="shared" si="0"/>
        <v>2</v>
      </c>
      <c r="Q5" s="45" t="e">
        <f>AVERAGE('Flow cytometer'!P5,'Flow cytometer'!L5,'Flow cytometer'!H5)*Calculation!K5/Calculation!M4</f>
        <v>#DIV/0!</v>
      </c>
      <c r="R5" s="45" t="e">
        <f>STDEV('Flow cytometer'!P5,'Flow cytometer'!L5,'Flow cytometer'!H5)*Calculation!K5/Calculation!M4</f>
        <v>#DIV/0!</v>
      </c>
      <c r="S5" s="46" t="e">
        <f t="shared" si="1"/>
        <v>#DIV/0!</v>
      </c>
    </row>
    <row r="6" spans="1:19">
      <c r="A6" s="40">
        <v>2</v>
      </c>
      <c r="B6" s="54">
        <v>80</v>
      </c>
      <c r="C6" s="55">
        <f t="shared" ref="C6:C18" si="2">C5+B6</f>
        <v>200</v>
      </c>
      <c r="D6" s="65">
        <f t="shared" si="0"/>
        <v>3.3333333333333335</v>
      </c>
      <c r="Q6" s="45" t="e">
        <f>AVERAGE('Flow cytometer'!P6,'Flow cytometer'!L6,'Flow cytometer'!H6)*Calculation!K6/Calculation!M5</f>
        <v>#DIV/0!</v>
      </c>
      <c r="R6" s="45" t="e">
        <f>STDEV('Flow cytometer'!P6,'Flow cytometer'!L6,'Flow cytometer'!H6)*Calculation!K6/Calculation!M5</f>
        <v>#DIV/0!</v>
      </c>
      <c r="S6" s="46" t="e">
        <f t="shared" si="1"/>
        <v>#DIV/0!</v>
      </c>
    </row>
    <row r="7" spans="1:19">
      <c r="A7" s="40">
        <v>3</v>
      </c>
      <c r="B7" s="54">
        <v>80</v>
      </c>
      <c r="C7" s="55">
        <f>C6+B7</f>
        <v>280</v>
      </c>
      <c r="D7" s="65">
        <f t="shared" si="0"/>
        <v>4.666666666666667</v>
      </c>
      <c r="Q7" s="45" t="e">
        <f>AVERAGE('Flow cytometer'!P7,'Flow cytometer'!L7,'Flow cytometer'!H7)*Calculation!K7/Calculation!M6</f>
        <v>#DIV/0!</v>
      </c>
      <c r="R7" s="45" t="e">
        <f>STDEV('Flow cytometer'!P7,'Flow cytometer'!L7,'Flow cytometer'!H7)*Calculation!K7/Calculation!M6</f>
        <v>#DIV/0!</v>
      </c>
      <c r="S7" s="46" t="e">
        <f t="shared" si="1"/>
        <v>#DIV/0!</v>
      </c>
    </row>
    <row r="8" spans="1:19">
      <c r="A8" s="40">
        <v>4</v>
      </c>
      <c r="B8" s="54">
        <v>80</v>
      </c>
      <c r="C8" s="55">
        <f t="shared" si="2"/>
        <v>360</v>
      </c>
      <c r="D8" s="65">
        <f t="shared" si="0"/>
        <v>6</v>
      </c>
      <c r="Q8" s="45" t="e">
        <f>AVERAGE('Flow cytometer'!P8,'Flow cytometer'!L8,'Flow cytometer'!H8)*Calculation!K8/Calculation!M7</f>
        <v>#DIV/0!</v>
      </c>
      <c r="R8" s="45" t="e">
        <f>STDEV('Flow cytometer'!P8,'Flow cytometer'!L8,'Flow cytometer'!H8)*Calculation!K8/Calculation!M7</f>
        <v>#DIV/0!</v>
      </c>
      <c r="S8" s="46" t="e">
        <f t="shared" si="1"/>
        <v>#DIV/0!</v>
      </c>
    </row>
    <row r="9" spans="1:19">
      <c r="A9" s="40">
        <v>5</v>
      </c>
      <c r="B9" s="54">
        <v>80</v>
      </c>
      <c r="C9" s="55">
        <f t="shared" si="2"/>
        <v>440</v>
      </c>
      <c r="D9" s="65">
        <f t="shared" si="0"/>
        <v>7.333333333333333</v>
      </c>
      <c r="Q9" s="45" t="e">
        <f>AVERAGE('Flow cytometer'!P9,'Flow cytometer'!L9,'Flow cytometer'!H9)*Calculation!K9/Calculation!M8</f>
        <v>#DIV/0!</v>
      </c>
      <c r="R9" s="45" t="e">
        <f>STDEV('Flow cytometer'!P9,'Flow cytometer'!L9,'Flow cytometer'!H9)*Calculation!K9/Calculation!M8</f>
        <v>#DIV/0!</v>
      </c>
      <c r="S9" s="46" t="e">
        <f t="shared" si="1"/>
        <v>#DIV/0!</v>
      </c>
    </row>
    <row r="10" spans="1:19">
      <c r="A10" s="40">
        <v>6</v>
      </c>
      <c r="B10" s="54">
        <v>80</v>
      </c>
      <c r="C10" s="55">
        <f t="shared" si="2"/>
        <v>520</v>
      </c>
      <c r="D10" s="65">
        <f t="shared" si="0"/>
        <v>8.6666666666666661</v>
      </c>
      <c r="Q10" s="45" t="e">
        <f>AVERAGE('Flow cytometer'!P10,'Flow cytometer'!L10,'Flow cytometer'!H10)*Calculation!K10/Calculation!M9</f>
        <v>#DIV/0!</v>
      </c>
      <c r="R10" s="45" t="e">
        <f>STDEV('Flow cytometer'!P10,'Flow cytometer'!L10,'Flow cytometer'!H10)*Calculation!K10/Calculation!M9</f>
        <v>#DIV/0!</v>
      </c>
      <c r="S10" s="46" t="e">
        <f t="shared" si="1"/>
        <v>#DIV/0!</v>
      </c>
    </row>
    <row r="11" spans="1:19">
      <c r="A11" s="40">
        <v>7</v>
      </c>
      <c r="B11" s="54">
        <v>80</v>
      </c>
      <c r="C11" s="55">
        <f t="shared" si="2"/>
        <v>600</v>
      </c>
      <c r="D11" s="65">
        <f t="shared" si="0"/>
        <v>10</v>
      </c>
      <c r="Q11" s="45" t="e">
        <f>AVERAGE('Flow cytometer'!P11,'Flow cytometer'!L11,'Flow cytometer'!H11)*Calculation!K11/Calculation!M10</f>
        <v>#DIV/0!</v>
      </c>
      <c r="R11" s="45" t="e">
        <f>STDEV('Flow cytometer'!P11,'Flow cytometer'!L11,'Flow cytometer'!H11)*Calculation!K11/Calculation!M10</f>
        <v>#DIV/0!</v>
      </c>
      <c r="S11" s="46" t="e">
        <f t="shared" si="1"/>
        <v>#DIV/0!</v>
      </c>
    </row>
    <row r="12" spans="1:19">
      <c r="A12" s="40">
        <v>8</v>
      </c>
      <c r="B12" s="54">
        <v>80</v>
      </c>
      <c r="C12" s="55">
        <f t="shared" si="2"/>
        <v>680</v>
      </c>
      <c r="D12" s="65">
        <f t="shared" si="0"/>
        <v>11.333333333333334</v>
      </c>
      <c r="Q12" s="45" t="e">
        <f>AVERAGE('Flow cytometer'!P12,'Flow cytometer'!L12,'Flow cytometer'!H12)*Calculation!K12/Calculation!M11</f>
        <v>#DIV/0!</v>
      </c>
      <c r="R12" s="45" t="e">
        <f>STDEV('Flow cytometer'!P12,'Flow cytometer'!L12,'Flow cytometer'!H12)*Calculation!K12/Calculation!M11</f>
        <v>#DIV/0!</v>
      </c>
      <c r="S12" s="46" t="e">
        <f t="shared" si="1"/>
        <v>#DIV/0!</v>
      </c>
    </row>
    <row r="13" spans="1:19">
      <c r="A13" s="40">
        <v>9</v>
      </c>
      <c r="B13" s="54">
        <v>80</v>
      </c>
      <c r="C13" s="55">
        <f t="shared" si="2"/>
        <v>760</v>
      </c>
      <c r="D13" s="65">
        <f t="shared" si="0"/>
        <v>12.666666666666666</v>
      </c>
      <c r="Q13" s="45" t="e">
        <f>AVERAGE('Flow cytometer'!P13,'Flow cytometer'!L13,'Flow cytometer'!H13)*Calculation!K13/Calculation!M12</f>
        <v>#DIV/0!</v>
      </c>
      <c r="R13" s="45" t="e">
        <f>STDEV('Flow cytometer'!P13,'Flow cytometer'!L13,'Flow cytometer'!H13)*Calculation!K13/Calculation!M12</f>
        <v>#DIV/0!</v>
      </c>
      <c r="S13" s="46" t="e">
        <f t="shared" si="1"/>
        <v>#DIV/0!</v>
      </c>
    </row>
    <row r="14" spans="1:19">
      <c r="A14" s="40">
        <v>10</v>
      </c>
      <c r="B14" s="54">
        <v>80</v>
      </c>
      <c r="C14" s="55">
        <f t="shared" si="2"/>
        <v>840</v>
      </c>
      <c r="D14" s="65">
        <f t="shared" si="0"/>
        <v>14</v>
      </c>
      <c r="Q14" s="45" t="e">
        <f>AVERAGE('Flow cytometer'!P14,'Flow cytometer'!L14,'Flow cytometer'!H14)*Calculation!K14/Calculation!M13</f>
        <v>#DIV/0!</v>
      </c>
      <c r="R14" s="45" t="e">
        <f>STDEV('Flow cytometer'!P14,'Flow cytometer'!L14,'Flow cytometer'!H14)*Calculation!K14/Calculation!M13</f>
        <v>#DIV/0!</v>
      </c>
      <c r="S14" s="46" t="e">
        <f t="shared" si="1"/>
        <v>#DIV/0!</v>
      </c>
    </row>
    <row r="15" spans="1:19">
      <c r="A15" s="40">
        <v>11</v>
      </c>
      <c r="B15" s="54">
        <v>80</v>
      </c>
      <c r="C15" s="55">
        <f t="shared" si="2"/>
        <v>920</v>
      </c>
      <c r="D15" s="65">
        <f t="shared" si="0"/>
        <v>15.333333333333334</v>
      </c>
      <c r="Q15" s="45" t="e">
        <f>AVERAGE('Flow cytometer'!P15,'Flow cytometer'!L15,'Flow cytometer'!H15)*Calculation!K15/Calculation!M14</f>
        <v>#DIV/0!</v>
      </c>
      <c r="R15" s="45" t="e">
        <f>STDEV('Flow cytometer'!P15,'Flow cytometer'!L15,'Flow cytometer'!H15)*Calculation!K15/Calculation!M14</f>
        <v>#DIV/0!</v>
      </c>
      <c r="S15" s="46" t="e">
        <f t="shared" si="1"/>
        <v>#DIV/0!</v>
      </c>
    </row>
    <row r="16" spans="1:19">
      <c r="A16" s="40">
        <v>12</v>
      </c>
      <c r="B16" s="54">
        <v>80</v>
      </c>
      <c r="C16" s="55">
        <f t="shared" si="2"/>
        <v>1000</v>
      </c>
      <c r="D16" s="65">
        <f t="shared" si="0"/>
        <v>16.666666666666668</v>
      </c>
      <c r="Q16" s="45" t="e">
        <f>AVERAGE('Flow cytometer'!P16,'Flow cytometer'!L16,'Flow cytometer'!H16)*Calculation!K16/Calculation!M15</f>
        <v>#DIV/0!</v>
      </c>
      <c r="R16" s="45" t="e">
        <f>STDEV('Flow cytometer'!P16,'Flow cytometer'!L16,'Flow cytometer'!H16)*Calculation!K16/Calculation!M15</f>
        <v>#DIV/0!</v>
      </c>
      <c r="S16" s="46" t="e">
        <f t="shared" si="1"/>
        <v>#DIV/0!</v>
      </c>
    </row>
    <row r="17" spans="1:19">
      <c r="A17" s="40">
        <v>13</v>
      </c>
      <c r="B17" s="54">
        <v>80</v>
      </c>
      <c r="C17" s="55">
        <f t="shared" si="2"/>
        <v>1080</v>
      </c>
      <c r="D17" s="65">
        <f t="shared" si="0"/>
        <v>18</v>
      </c>
      <c r="Q17" s="45" t="e">
        <f>AVERAGE('Flow cytometer'!P17,'Flow cytometer'!L17,'Flow cytometer'!H17)*Calculation!K17/Calculation!M16</f>
        <v>#DIV/0!</v>
      </c>
      <c r="R17" s="45" t="e">
        <f>STDEV('Flow cytometer'!P17,'Flow cytometer'!L17,'Flow cytometer'!H17)*Calculation!K17/Calculation!M16</f>
        <v>#DIV/0!</v>
      </c>
      <c r="S17" s="46" t="e">
        <f t="shared" si="1"/>
        <v>#DIV/0!</v>
      </c>
    </row>
    <row r="18" spans="1:19">
      <c r="A18" s="40">
        <v>14</v>
      </c>
      <c r="B18" s="54">
        <v>380</v>
      </c>
      <c r="C18" s="55">
        <f t="shared" si="2"/>
        <v>1460</v>
      </c>
      <c r="D18" s="65">
        <f t="shared" si="0"/>
        <v>24.333333333333332</v>
      </c>
      <c r="Q18" s="45" t="e">
        <f>AVERAGE('Flow cytometer'!P18,'Flow cytometer'!L18,'Flow cytometer'!H18)*Calculation!K18/Calculation!M17</f>
        <v>#DIV/0!</v>
      </c>
      <c r="R18" s="45" t="e">
        <f>STDEV('Flow cytometer'!P18,'Flow cytometer'!L18,'Flow cytometer'!H18)*Calculation!K18/Calculation!M17</f>
        <v>#DIV/0!</v>
      </c>
      <c r="S18" s="46" t="e">
        <f t="shared" si="1"/>
        <v>#DIV/0!</v>
      </c>
    </row>
    <row r="19" spans="1:19">
      <c r="A19" s="40">
        <v>15</v>
      </c>
      <c r="B19" s="54">
        <v>350</v>
      </c>
      <c r="C19" s="55">
        <f>C18+B19</f>
        <v>1810</v>
      </c>
      <c r="D19" s="65">
        <f t="shared" si="0"/>
        <v>30.166666666666668</v>
      </c>
      <c r="Q19" s="45" t="e">
        <f>AVERAGE('Flow cytometer'!P19,'Flow cytometer'!L19,'Flow cytometer'!H19)*Calculation!K19/Calculation!M18</f>
        <v>#DIV/0!</v>
      </c>
      <c r="R19" s="45" t="e">
        <f>STDEV('Flow cytometer'!P19,'Flow cytometer'!L19,'Flow cytometer'!H19)*Calculation!K19/Calculation!M18</f>
        <v>#DIV/0!</v>
      </c>
      <c r="S19" s="46" t="e">
        <f t="shared" si="1"/>
        <v>#DIV/0!</v>
      </c>
    </row>
    <row r="20" spans="1:19">
      <c r="A20" s="40">
        <v>16</v>
      </c>
      <c r="B20" s="54">
        <v>1070</v>
      </c>
      <c r="C20" s="55">
        <f>C19+B20</f>
        <v>2880</v>
      </c>
      <c r="D20" s="65">
        <f t="shared" si="0"/>
        <v>48</v>
      </c>
      <c r="Q20" s="45" t="e">
        <f>AVERAGE('Flow cytometer'!P20,'Flow cytometer'!L20,'Flow cytometer'!H20)*Calculation!K20/Calculation!M19</f>
        <v>#DIV/0!</v>
      </c>
      <c r="R20" s="45" t="e">
        <f>STDEV('Flow cytometer'!P20,'Flow cytometer'!L20,'Flow cytometer'!H20)*Calculation!K20/Calculation!M19</f>
        <v>#DIV/0!</v>
      </c>
      <c r="S20" s="46" t="e">
        <f t="shared" ref="S20" si="3">LOG(Q20)</f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75"/>
  <sheetViews>
    <sheetView workbookViewId="0">
      <selection activeCell="N23" sqref="N23"/>
    </sheetView>
  </sheetViews>
  <sheetFormatPr baseColWidth="10" defaultColWidth="8.83203125" defaultRowHeight="14" x14ac:dyDescent="0"/>
  <cols>
    <col min="19" max="20" width="14.83203125" bestFit="1" customWidth="1"/>
  </cols>
  <sheetData>
    <row r="1" spans="1:24">
      <c r="A1" s="128" t="s">
        <v>4</v>
      </c>
      <c r="B1" s="128" t="s">
        <v>104</v>
      </c>
      <c r="C1" s="128" t="s">
        <v>104</v>
      </c>
      <c r="D1" s="128" t="s">
        <v>5</v>
      </c>
      <c r="E1" s="124" t="s">
        <v>106</v>
      </c>
      <c r="F1" s="124"/>
      <c r="G1" s="124"/>
      <c r="H1" s="124"/>
      <c r="I1" s="124" t="s">
        <v>107</v>
      </c>
      <c r="J1" s="124"/>
      <c r="K1" s="124"/>
      <c r="L1" s="124"/>
      <c r="M1" s="124" t="s">
        <v>108</v>
      </c>
      <c r="N1" s="124"/>
      <c r="O1" s="124"/>
      <c r="P1" s="124"/>
      <c r="Q1" s="24" t="s">
        <v>109</v>
      </c>
      <c r="R1" s="24" t="s">
        <v>109</v>
      </c>
      <c r="S1" s="24" t="s">
        <v>109</v>
      </c>
      <c r="T1" s="59" t="s">
        <v>109</v>
      </c>
      <c r="U1" s="73" t="s">
        <v>106</v>
      </c>
      <c r="V1" s="73" t="s">
        <v>107</v>
      </c>
      <c r="W1" s="73" t="s">
        <v>108</v>
      </c>
      <c r="X1" s="73" t="s">
        <v>109</v>
      </c>
    </row>
    <row r="2" spans="1:24">
      <c r="A2" s="129"/>
      <c r="B2" s="129"/>
      <c r="C2" s="129"/>
      <c r="D2" s="129"/>
      <c r="E2" s="23" t="s">
        <v>19</v>
      </c>
      <c r="F2" s="23" t="s">
        <v>67</v>
      </c>
      <c r="G2" s="23" t="s">
        <v>68</v>
      </c>
      <c r="H2" s="23" t="s">
        <v>69</v>
      </c>
      <c r="I2" s="23" t="s">
        <v>19</v>
      </c>
      <c r="J2" s="23" t="s">
        <v>67</v>
      </c>
      <c r="K2" s="23" t="s">
        <v>68</v>
      </c>
      <c r="L2" s="23" t="s">
        <v>69</v>
      </c>
      <c r="M2" s="23" t="s">
        <v>19</v>
      </c>
      <c r="N2" s="23" t="s">
        <v>67</v>
      </c>
      <c r="O2" s="23" t="s">
        <v>68</v>
      </c>
      <c r="P2" s="23" t="s">
        <v>70</v>
      </c>
      <c r="Q2" s="25" t="s">
        <v>69</v>
      </c>
      <c r="R2" s="25" t="s">
        <v>23</v>
      </c>
      <c r="S2" s="25" t="s">
        <v>71</v>
      </c>
      <c r="T2" s="60" t="s">
        <v>131</v>
      </c>
      <c r="U2" s="74" t="s">
        <v>144</v>
      </c>
      <c r="V2" s="74" t="s">
        <v>144</v>
      </c>
      <c r="W2" s="74" t="s">
        <v>144</v>
      </c>
      <c r="X2" s="74" t="s">
        <v>145</v>
      </c>
    </row>
    <row r="3" spans="1:24">
      <c r="A3" s="40" t="s">
        <v>6</v>
      </c>
      <c r="B3" s="52">
        <v>-10</v>
      </c>
      <c r="C3" s="53">
        <v>-10</v>
      </c>
      <c r="D3" s="65">
        <f>C3/60</f>
        <v>-0.16666666666666666</v>
      </c>
      <c r="E3" s="43" t="s">
        <v>91</v>
      </c>
      <c r="F3" s="43" t="s">
        <v>91</v>
      </c>
      <c r="G3" s="43" t="s">
        <v>91</v>
      </c>
      <c r="H3" s="44" t="s">
        <v>91</v>
      </c>
      <c r="I3" s="43" t="s">
        <v>91</v>
      </c>
      <c r="J3" s="43" t="s">
        <v>91</v>
      </c>
      <c r="K3" s="43" t="s">
        <v>91</v>
      </c>
      <c r="L3" s="44" t="s">
        <v>91</v>
      </c>
      <c r="M3" s="43" t="s">
        <v>91</v>
      </c>
      <c r="N3" s="43" t="s">
        <v>91</v>
      </c>
      <c r="O3" s="43" t="s">
        <v>91</v>
      </c>
      <c r="P3" s="44" t="s">
        <v>91</v>
      </c>
      <c r="Q3" s="134" t="s">
        <v>91</v>
      </c>
      <c r="R3" s="135"/>
      <c r="S3" s="136"/>
      <c r="T3" s="44" t="s">
        <v>91</v>
      </c>
      <c r="U3" s="44" t="s">
        <v>91</v>
      </c>
      <c r="V3" s="44" t="s">
        <v>91</v>
      </c>
      <c r="W3" s="44" t="s">
        <v>91</v>
      </c>
      <c r="X3" s="44" t="s">
        <v>91</v>
      </c>
    </row>
    <row r="4" spans="1:24">
      <c r="A4" s="40">
        <v>0</v>
      </c>
      <c r="B4" s="54">
        <v>10</v>
      </c>
      <c r="C4" s="55">
        <v>10</v>
      </c>
      <c r="D4" s="65">
        <f t="shared" ref="D4:D20" si="0">C4/60</f>
        <v>0.16666666666666666</v>
      </c>
      <c r="E4" s="32">
        <v>2</v>
      </c>
      <c r="F4" s="32">
        <v>12847</v>
      </c>
      <c r="G4" s="32">
        <v>7</v>
      </c>
      <c r="H4" s="44">
        <f>('Flow cytometer'!F4/'Flow cytometer'!G4)*POWER(10,'Flow cytometer'!E4+2)*10.2</f>
        <v>187199142.85714284</v>
      </c>
      <c r="I4" s="32">
        <v>2</v>
      </c>
      <c r="J4" s="32">
        <v>12907</v>
      </c>
      <c r="K4" s="32">
        <v>7</v>
      </c>
      <c r="L4" s="44">
        <f>('Flow cytometer'!J4/'Flow cytometer'!K4)*POWER(10,'Flow cytometer'!I4+2)*10.2</f>
        <v>188073428.57142857</v>
      </c>
      <c r="M4" s="32">
        <v>2</v>
      </c>
      <c r="N4" s="32">
        <v>12078</v>
      </c>
      <c r="O4" s="32">
        <v>7</v>
      </c>
      <c r="P4" s="44">
        <f>('Flow cytometer'!N4/'Flow cytometer'!O4)*POWER(10,'Flow cytometer'!M4+2)*10.2</f>
        <v>175993714.28571427</v>
      </c>
      <c r="Q4" s="47">
        <f>AVERAGE(H4,L4,P4)*Calculation!I4/Calculation!K3</f>
        <v>183876479.5783926</v>
      </c>
      <c r="R4" s="48">
        <f>STDEV(H4,L4,P4)*Calculation!I4/Calculation!K3</f>
        <v>6740478.5942320414</v>
      </c>
      <c r="S4" s="49">
        <f>LOG(Q4)</f>
        <v>8.2645261803386934</v>
      </c>
      <c r="T4" s="49">
        <f>LN(Q4)</f>
        <v>19.029774783506895</v>
      </c>
      <c r="U4" s="49">
        <f>LOG(H4)</f>
        <v>8.2723038558696871</v>
      </c>
      <c r="V4" s="49">
        <f>LOG(L4)</f>
        <v>8.274327441802626</v>
      </c>
      <c r="W4" s="49">
        <f>LOG(P4)</f>
        <v>8.2454971570199582</v>
      </c>
      <c r="X4" s="49">
        <f xml:space="preserve"> STDEV(U4:W4)*Calculation!I4/Calculation!K3</f>
        <v>1.610345340843709E-2</v>
      </c>
    </row>
    <row r="5" spans="1:24">
      <c r="A5" s="40">
        <v>1</v>
      </c>
      <c r="B5" s="54">
        <v>110</v>
      </c>
      <c r="C5" s="55">
        <f>C4+B5</f>
        <v>120</v>
      </c>
      <c r="D5" s="65">
        <f t="shared" si="0"/>
        <v>2</v>
      </c>
      <c r="E5" s="32">
        <v>2</v>
      </c>
      <c r="F5" s="32">
        <v>27770</v>
      </c>
      <c r="G5" s="32">
        <v>7</v>
      </c>
      <c r="H5" s="44">
        <f>('Flow cytometer'!F5/'Flow cytometer'!G5)*POWER(10,'Flow cytometer'!E5+2)*10.2</f>
        <v>404648571.42857146</v>
      </c>
      <c r="I5" s="32">
        <v>2</v>
      </c>
      <c r="J5" s="32">
        <v>28380</v>
      </c>
      <c r="K5" s="32">
        <v>7</v>
      </c>
      <c r="L5" s="44">
        <f>('Flow cytometer'!J5/'Flow cytometer'!K5)*POWER(10,'Flow cytometer'!I5+2)*10.2</f>
        <v>413537142.85714281</v>
      </c>
      <c r="M5" s="32">
        <v>2</v>
      </c>
      <c r="N5" s="32">
        <v>28353</v>
      </c>
      <c r="O5" s="32">
        <v>7</v>
      </c>
      <c r="P5" s="44">
        <f>('Flow cytometer'!N5/'Flow cytometer'!O5)*POWER(10,'Flow cytometer'!M5+2)*10.2</f>
        <v>413143714.28571427</v>
      </c>
      <c r="Q5" s="47">
        <f>AVERAGE(H5,L5,P5)*Calculation!I5/Calculation!K4</f>
        <v>411554004.89532608</v>
      </c>
      <c r="R5" s="48">
        <f>STDEV(H5,L5,P5)*Calculation!I5/Calculation!K4</f>
        <v>5035692.4479689319</v>
      </c>
      <c r="S5" s="49">
        <f t="shared" ref="S5:S19" si="1">LOG(Q5)</f>
        <v>8.6144268322314659</v>
      </c>
      <c r="T5" s="49">
        <f t="shared" ref="T5:T19" si="2">LN(Q5)</f>
        <v>19.835450808584092</v>
      </c>
      <c r="U5" s="49">
        <f t="shared" ref="U5:U19" si="3">LOG(H5)</f>
        <v>8.6070780114979186</v>
      </c>
      <c r="V5" s="49">
        <f t="shared" ref="V5:V19" si="4">LOG(L5)</f>
        <v>8.6165145228691156</v>
      </c>
      <c r="W5" s="49">
        <f t="shared" ref="W5:W19" si="5">LOG(P5)</f>
        <v>8.616101149633197</v>
      </c>
      <c r="X5" s="49">
        <f xml:space="preserve"> STDEV(U5:W5)*Calculation!I5/Calculation!K4</f>
        <v>5.3472819394695696E-3</v>
      </c>
    </row>
    <row r="6" spans="1:24">
      <c r="A6" s="40">
        <v>2</v>
      </c>
      <c r="B6" s="54">
        <v>80</v>
      </c>
      <c r="C6" s="55">
        <f t="shared" ref="C6:C18" si="6">C5+B6</f>
        <v>200</v>
      </c>
      <c r="D6" s="65">
        <f t="shared" si="0"/>
        <v>3.3333333333333335</v>
      </c>
      <c r="E6" s="32">
        <v>3</v>
      </c>
      <c r="F6" s="32">
        <v>5165</v>
      </c>
      <c r="G6" s="32">
        <v>7</v>
      </c>
      <c r="H6" s="44">
        <f>('Flow cytometer'!F6/'Flow cytometer'!G6)*POWER(10,'Flow cytometer'!E6+2)*10.2</f>
        <v>752614285.71428561</v>
      </c>
      <c r="I6" s="32">
        <v>3</v>
      </c>
      <c r="J6" s="32">
        <v>4937</v>
      </c>
      <c r="K6" s="32">
        <v>7</v>
      </c>
      <c r="L6" s="44">
        <f>('Flow cytometer'!J6/'Flow cytometer'!K6)*POWER(10,'Flow cytometer'!I6+2)*10.2</f>
        <v>719391428.57142854</v>
      </c>
      <c r="M6" s="32">
        <v>3</v>
      </c>
      <c r="N6" s="32">
        <v>5184</v>
      </c>
      <c r="O6" s="32">
        <v>7</v>
      </c>
      <c r="P6" s="44">
        <f>('Flow cytometer'!N6/'Flow cytometer'!O6)*POWER(10,'Flow cytometer'!M6+2)*10.2</f>
        <v>755382857.14285707</v>
      </c>
      <c r="Q6" s="47">
        <f>AVERAGE(H6,L6,P6)*Calculation!I6/Calculation!K5</f>
        <v>746045157.51795328</v>
      </c>
      <c r="R6" s="48">
        <f>STDEV(H6,L6,P6)*Calculation!I6/Calculation!K5</f>
        <v>20124973.400901712</v>
      </c>
      <c r="S6" s="49">
        <f t="shared" si="1"/>
        <v>8.8727651157666525</v>
      </c>
      <c r="T6" s="49">
        <f t="shared" si="2"/>
        <v>20.430296689201885</v>
      </c>
      <c r="U6" s="49">
        <f t="shared" si="3"/>
        <v>8.8765724576033005</v>
      </c>
      <c r="V6" s="49">
        <f t="shared" si="4"/>
        <v>8.8569652589671914</v>
      </c>
      <c r="W6" s="49">
        <f t="shared" si="5"/>
        <v>8.8781671246101972</v>
      </c>
      <c r="X6" s="49">
        <f xml:space="preserve"> STDEV(U6:W6)*Calculation!I6/Calculation!K5</f>
        <v>1.1864483842909166E-2</v>
      </c>
    </row>
    <row r="7" spans="1:24">
      <c r="A7" s="40">
        <v>3</v>
      </c>
      <c r="B7" s="54">
        <v>80</v>
      </c>
      <c r="C7" s="55">
        <f>C6+B7</f>
        <v>280</v>
      </c>
      <c r="D7" s="65">
        <f t="shared" si="0"/>
        <v>4.666666666666667</v>
      </c>
      <c r="E7" s="32">
        <v>3</v>
      </c>
      <c r="F7" s="32">
        <v>12463</v>
      </c>
      <c r="G7" s="32">
        <v>7</v>
      </c>
      <c r="H7" s="44">
        <f>('Flow cytometer'!F7/'Flow cytometer'!G7)*POWER(10,'Flow cytometer'!E7+2)*10.2</f>
        <v>1816037142.8571427</v>
      </c>
      <c r="I7" s="32">
        <v>3</v>
      </c>
      <c r="J7" s="32">
        <v>12224</v>
      </c>
      <c r="K7" s="32">
        <v>7</v>
      </c>
      <c r="L7" s="44">
        <f>('Flow cytometer'!J7/'Flow cytometer'!K7)*POWER(10,'Flow cytometer'!I7+2)*10.2</f>
        <v>1781211428.5714285</v>
      </c>
      <c r="M7" s="32">
        <v>3</v>
      </c>
      <c r="N7" s="32">
        <v>11699</v>
      </c>
      <c r="O7" s="32">
        <v>7</v>
      </c>
      <c r="P7" s="44">
        <f>('Flow cytometer'!N7/'Flow cytometer'!O7)*POWER(10,'Flow cytometer'!M7+2)*10.2</f>
        <v>1704711428.5714285</v>
      </c>
      <c r="Q7" s="47">
        <f>AVERAGE(H7,L7,P7)*Calculation!I7/Calculation!K6</f>
        <v>1783630235.398339</v>
      </c>
      <c r="R7" s="48">
        <f>STDEV(H7,L7,P7)*Calculation!I7/Calculation!K6</f>
        <v>57473630.597696841</v>
      </c>
      <c r="S7" s="49">
        <f t="shared" si="1"/>
        <v>9.2513048257292407</v>
      </c>
      <c r="T7" s="49">
        <f t="shared" si="2"/>
        <v>21.301916582468028</v>
      </c>
      <c r="U7" s="49">
        <f t="shared" si="3"/>
        <v>9.2591247267692829</v>
      </c>
      <c r="V7" s="49">
        <f t="shared" si="4"/>
        <v>9.2507154729792749</v>
      </c>
      <c r="W7" s="49">
        <f t="shared" si="5"/>
        <v>9.2316508727209552</v>
      </c>
      <c r="X7" s="49">
        <f xml:space="preserve"> STDEV(U7:W7)*Calculation!I7/Calculation!K6</f>
        <v>1.420700704683112E-2</v>
      </c>
    </row>
    <row r="8" spans="1:24">
      <c r="A8" s="40">
        <v>4</v>
      </c>
      <c r="B8" s="54">
        <v>80</v>
      </c>
      <c r="C8" s="55">
        <f t="shared" si="6"/>
        <v>360</v>
      </c>
      <c r="D8" s="65">
        <f t="shared" si="0"/>
        <v>6</v>
      </c>
      <c r="E8" s="32">
        <v>3</v>
      </c>
      <c r="F8" s="32">
        <v>18124</v>
      </c>
      <c r="G8" s="32">
        <v>7</v>
      </c>
      <c r="H8" s="44">
        <f>('Flow cytometer'!F8/'Flow cytometer'!G8)*POWER(10,'Flow cytometer'!E8+2)*10.2</f>
        <v>2640925714.2857141</v>
      </c>
      <c r="I8" s="32">
        <v>3</v>
      </c>
      <c r="J8" s="32">
        <v>17404</v>
      </c>
      <c r="K8" s="32">
        <v>7</v>
      </c>
      <c r="L8" s="44">
        <f>('Flow cytometer'!J8/'Flow cytometer'!K8)*POWER(10,'Flow cytometer'!I8+2)*10.2</f>
        <v>2536011428.5714283</v>
      </c>
      <c r="M8" s="32">
        <v>3</v>
      </c>
      <c r="N8" s="32">
        <v>17510</v>
      </c>
      <c r="O8" s="32">
        <v>7</v>
      </c>
      <c r="P8" s="44">
        <f>('Flow cytometer'!N8/'Flow cytometer'!O8)*POWER(10,'Flow cytometer'!M8+2)*10.2</f>
        <v>2551457142.8571429</v>
      </c>
      <c r="Q8" s="47">
        <f>AVERAGE(H8,L8,P8)*Calculation!I8/Calculation!K7</f>
        <v>2611768708.5493841</v>
      </c>
      <c r="R8" s="48">
        <f>STDEV(H8,L8,P8)*Calculation!I8/Calculation!K7</f>
        <v>57426021.164884768</v>
      </c>
      <c r="S8" s="49">
        <f t="shared" si="1"/>
        <v>9.4169347143150137</v>
      </c>
      <c r="T8" s="49">
        <f t="shared" si="2"/>
        <v>21.683293494879891</v>
      </c>
      <c r="U8" s="49">
        <f t="shared" si="3"/>
        <v>9.4217561852548091</v>
      </c>
      <c r="V8" s="49">
        <f t="shared" si="4"/>
        <v>9.4041512063683399</v>
      </c>
      <c r="W8" s="49">
        <f t="shared" si="5"/>
        <v>9.4067882778311063</v>
      </c>
      <c r="X8" s="49">
        <f xml:space="preserve"> STDEV(U8:W8)*Calculation!I8/Calculation!K7</f>
        <v>9.6263284542085128E-3</v>
      </c>
    </row>
    <row r="9" spans="1:24">
      <c r="A9" s="40">
        <v>5</v>
      </c>
      <c r="B9" s="54">
        <v>80</v>
      </c>
      <c r="C9" s="55">
        <f t="shared" si="6"/>
        <v>440</v>
      </c>
      <c r="D9" s="65">
        <f t="shared" si="0"/>
        <v>7.333333333333333</v>
      </c>
      <c r="E9" s="32">
        <v>3</v>
      </c>
      <c r="F9" s="32">
        <v>19843</v>
      </c>
      <c r="G9" s="32">
        <v>7</v>
      </c>
      <c r="H9" s="44">
        <f>('Flow cytometer'!F9/'Flow cytometer'!G9)*POWER(10,'Flow cytometer'!E9+2)*10.2</f>
        <v>2891408571.4285717</v>
      </c>
      <c r="I9" s="32">
        <v>3</v>
      </c>
      <c r="J9" s="32">
        <v>19730</v>
      </c>
      <c r="K9" s="32">
        <v>7</v>
      </c>
      <c r="L9" s="44">
        <f>('Flow cytometer'!J9/'Flow cytometer'!K9)*POWER(10,'Flow cytometer'!I9+2)*10.2</f>
        <v>2874942857.1428571</v>
      </c>
      <c r="M9" s="32">
        <v>3</v>
      </c>
      <c r="N9" s="32">
        <v>19421</v>
      </c>
      <c r="O9" s="32">
        <v>7</v>
      </c>
      <c r="P9" s="44">
        <f>('Flow cytometer'!N9/'Flow cytometer'!O9)*POWER(10,'Flow cytometer'!M9+2)*10.2</f>
        <v>2829917142.8571424</v>
      </c>
      <c r="Q9" s="47">
        <f>AVERAGE(H9,L9,P9)*Calculation!I9/Calculation!K8</f>
        <v>2914211893.0449638</v>
      </c>
      <c r="R9" s="48">
        <f>STDEV(H9,L9,P9)*Calculation!I9/Calculation!K8</f>
        <v>32373926.176726054</v>
      </c>
      <c r="S9" s="49">
        <f t="shared" si="1"/>
        <v>9.4645211262378695</v>
      </c>
      <c r="T9" s="49">
        <f t="shared" si="2"/>
        <v>21.792865257602532</v>
      </c>
      <c r="U9" s="49">
        <f t="shared" si="3"/>
        <v>9.4611094641299012</v>
      </c>
      <c r="V9" s="49">
        <f t="shared" si="4"/>
        <v>9.4586292169998512</v>
      </c>
      <c r="W9" s="49">
        <f t="shared" si="5"/>
        <v>9.4517737200024818</v>
      </c>
      <c r="X9" s="49">
        <f xml:space="preserve"> STDEV(U9:W9)*Calculation!I9/Calculation!K8</f>
        <v>4.9180649170637624E-3</v>
      </c>
    </row>
    <row r="10" spans="1:24">
      <c r="A10" s="40">
        <v>6</v>
      </c>
      <c r="B10" s="54">
        <v>80</v>
      </c>
      <c r="C10" s="55">
        <f t="shared" si="6"/>
        <v>520</v>
      </c>
      <c r="D10" s="65">
        <f t="shared" si="0"/>
        <v>8.6666666666666661</v>
      </c>
      <c r="E10" s="32">
        <v>3</v>
      </c>
      <c r="F10" s="32">
        <v>27783</v>
      </c>
      <c r="G10" s="32">
        <v>7</v>
      </c>
      <c r="H10" s="44">
        <f>('Flow cytometer'!F10/'Flow cytometer'!G10)*POWER(10,'Flow cytometer'!E10+2)*10.2</f>
        <v>4048379999.9999995</v>
      </c>
      <c r="I10" s="32">
        <v>3</v>
      </c>
      <c r="J10" s="32">
        <v>23325</v>
      </c>
      <c r="K10" s="32">
        <v>7</v>
      </c>
      <c r="L10" s="44">
        <f>('Flow cytometer'!J10/'Flow cytometer'!K10)*POWER(10,'Flow cytometer'!I10+2)*10.2</f>
        <v>3398785714.2857141</v>
      </c>
      <c r="M10" s="32">
        <v>3</v>
      </c>
      <c r="N10" s="32">
        <v>23607</v>
      </c>
      <c r="O10" s="32">
        <v>7</v>
      </c>
      <c r="P10" s="44">
        <f>('Flow cytometer'!N10/'Flow cytometer'!O10)*POWER(10,'Flow cytometer'!M10+2)*10.2</f>
        <v>3439877142.8571424</v>
      </c>
      <c r="Q10" s="47">
        <f>AVERAGE(H10,L10,P10)*Calculation!I10/Calculation!K9</f>
        <v>3705943512.6821041</v>
      </c>
      <c r="R10" s="48">
        <f>STDEV(H10,L10,P10)*Calculation!I10/Calculation!K9</f>
        <v>371473215.20599765</v>
      </c>
      <c r="S10" s="49">
        <f t="shared" si="1"/>
        <v>9.5688987953613402</v>
      </c>
      <c r="T10" s="49">
        <f t="shared" si="2"/>
        <v>22.033203722567702</v>
      </c>
      <c r="U10" s="49">
        <f t="shared" si="3"/>
        <v>9.6072812706690804</v>
      </c>
      <c r="V10" s="49">
        <f t="shared" si="4"/>
        <v>9.5313237841661991</v>
      </c>
      <c r="W10" s="49">
        <f t="shared" si="5"/>
        <v>9.5365429317773387</v>
      </c>
      <c r="X10" s="49">
        <f xml:space="preserve"> STDEV(U10:W10)*Calculation!I10/Calculation!K9</f>
        <v>4.3327165702495396E-2</v>
      </c>
    </row>
    <row r="11" spans="1:24">
      <c r="A11" s="40">
        <v>7</v>
      </c>
      <c r="B11" s="54">
        <v>80</v>
      </c>
      <c r="C11" s="55">
        <f t="shared" si="6"/>
        <v>600</v>
      </c>
      <c r="D11" s="65">
        <f t="shared" si="0"/>
        <v>10</v>
      </c>
      <c r="E11" s="32">
        <v>3</v>
      </c>
      <c r="F11" s="32">
        <v>34008</v>
      </c>
      <c r="G11" s="32">
        <v>7</v>
      </c>
      <c r="H11" s="44">
        <f>('Flow cytometer'!F11/'Flow cytometer'!G11)*POWER(10,'Flow cytometer'!E11+2)*10.2</f>
        <v>4955451428.5714283</v>
      </c>
      <c r="I11" s="32">
        <v>3</v>
      </c>
      <c r="J11" s="32">
        <v>31766</v>
      </c>
      <c r="K11" s="32">
        <v>7</v>
      </c>
      <c r="L11" s="44">
        <f>('Flow cytometer'!J11/'Flow cytometer'!K11)*POWER(10,'Flow cytometer'!I11+2)*10.2</f>
        <v>4628760000</v>
      </c>
      <c r="M11" s="32">
        <v>3</v>
      </c>
      <c r="N11" s="32">
        <v>32164</v>
      </c>
      <c r="O11" s="32">
        <v>7</v>
      </c>
      <c r="P11" s="44">
        <f>('Flow cytometer'!N11/'Flow cytometer'!O11)*POWER(10,'Flow cytometer'!M11+2)*10.2</f>
        <v>4686754285.7142859</v>
      </c>
      <c r="Q11" s="47">
        <f>AVERAGE(H11,L11,P11)*Calculation!I11/Calculation!K10</f>
        <v>4882912481.4309282</v>
      </c>
      <c r="R11" s="48">
        <f>STDEV(H11,L11,P11)*Calculation!I11/Calculation!K10</f>
        <v>178916822.95238978</v>
      </c>
      <c r="S11" s="49">
        <f t="shared" si="1"/>
        <v>9.6886789403045555</v>
      </c>
      <c r="T11" s="49">
        <f t="shared" si="2"/>
        <v>22.309007698750616</v>
      </c>
      <c r="U11" s="49">
        <f t="shared" si="3"/>
        <v>9.6950832237067264</v>
      </c>
      <c r="V11" s="49">
        <f t="shared" si="4"/>
        <v>9.6654646633108339</v>
      </c>
      <c r="W11" s="49">
        <f t="shared" si="5"/>
        <v>9.6708721851917083</v>
      </c>
      <c r="X11" s="49">
        <f xml:space="preserve"> STDEV(U11:W11)*Calculation!I11/Calculation!K10</f>
        <v>1.6190259411081084E-2</v>
      </c>
    </row>
    <row r="12" spans="1:24">
      <c r="A12" s="40">
        <v>8</v>
      </c>
      <c r="B12" s="54">
        <v>80</v>
      </c>
      <c r="C12" s="55">
        <f t="shared" si="6"/>
        <v>680</v>
      </c>
      <c r="D12" s="65">
        <f t="shared" si="0"/>
        <v>11.333333333333334</v>
      </c>
      <c r="E12" s="32">
        <v>3</v>
      </c>
      <c r="F12" s="32">
        <v>40489</v>
      </c>
      <c r="G12" s="32">
        <v>7</v>
      </c>
      <c r="H12" s="44">
        <f>('Flow cytometer'!F12/'Flow cytometer'!G12)*POWER(10,'Flow cytometer'!E12+2)*10.2</f>
        <v>5899825714.2857141</v>
      </c>
      <c r="I12" s="32">
        <v>3</v>
      </c>
      <c r="J12" s="32">
        <v>42400</v>
      </c>
      <c r="K12" s="32">
        <v>7</v>
      </c>
      <c r="L12" s="44">
        <f>('Flow cytometer'!J12/'Flow cytometer'!K12)*POWER(10,'Flow cytometer'!I12+2)*10.2</f>
        <v>6178285714.2857141</v>
      </c>
      <c r="M12" s="32">
        <v>3</v>
      </c>
      <c r="N12" s="32">
        <v>41564</v>
      </c>
      <c r="O12" s="32">
        <v>7</v>
      </c>
      <c r="P12" s="44">
        <f>('Flow cytometer'!N12/'Flow cytometer'!O12)*POWER(10,'Flow cytometer'!M12+2)*10.2</f>
        <v>6056468571.4285707</v>
      </c>
      <c r="Q12" s="47">
        <f>AVERAGE(H12,L12,P12)*Calculation!I12/Calculation!K11</f>
        <v>6238056758.4712505</v>
      </c>
      <c r="R12" s="48">
        <f>STDEV(H12,L12,P12)*Calculation!I12/Calculation!K11</f>
        <v>144053931.70620877</v>
      </c>
      <c r="S12" s="49">
        <f t="shared" si="1"/>
        <v>9.7950493219726997</v>
      </c>
      <c r="T12" s="49">
        <f t="shared" si="2"/>
        <v>22.553934553915774</v>
      </c>
      <c r="U12" s="49">
        <f t="shared" si="3"/>
        <v>9.7708391824146918</v>
      </c>
      <c r="V12" s="49">
        <f t="shared" si="4"/>
        <v>9.7908679883403931</v>
      </c>
      <c r="W12" s="49">
        <f t="shared" si="5"/>
        <v>9.7822194678978249</v>
      </c>
      <c r="X12" s="49">
        <f xml:space="preserve"> STDEV(U12:W12)*Calculation!I12/Calculation!K11</f>
        <v>1.0366460333324454E-2</v>
      </c>
    </row>
    <row r="13" spans="1:24">
      <c r="A13" s="40">
        <v>9</v>
      </c>
      <c r="B13" s="54">
        <v>80</v>
      </c>
      <c r="C13" s="55">
        <f t="shared" si="6"/>
        <v>760</v>
      </c>
      <c r="D13" s="65">
        <f t="shared" si="0"/>
        <v>12.666666666666666</v>
      </c>
      <c r="E13" s="32">
        <v>3</v>
      </c>
      <c r="F13" s="32">
        <v>36481</v>
      </c>
      <c r="G13" s="32">
        <v>7</v>
      </c>
      <c r="H13" s="44">
        <f>('Flow cytometer'!F13/'Flow cytometer'!G13)*POWER(10,'Flow cytometer'!E13+2)*10.2</f>
        <v>5315802857.1428566</v>
      </c>
      <c r="I13" s="32">
        <v>3</v>
      </c>
      <c r="J13" s="32">
        <v>35510</v>
      </c>
      <c r="K13" s="32">
        <v>7</v>
      </c>
      <c r="L13" s="44">
        <f>('Flow cytometer'!J13/'Flow cytometer'!K13)*POWER(10,'Flow cytometer'!I13+2)*10.2</f>
        <v>5174314285.7142859</v>
      </c>
      <c r="M13" s="32">
        <v>3</v>
      </c>
      <c r="N13" s="32">
        <v>35837</v>
      </c>
      <c r="O13" s="32">
        <v>7</v>
      </c>
      <c r="P13" s="44">
        <f>('Flow cytometer'!N13/'Flow cytometer'!O13)*POWER(10,'Flow cytometer'!M13+2)*10.2</f>
        <v>5221962857.1428566</v>
      </c>
      <c r="Q13" s="47">
        <f>AVERAGE(H13,L13,P13)*Calculation!I13/Calculation!K12</f>
        <v>5419888005.2965622</v>
      </c>
      <c r="R13" s="48">
        <f>STDEV(H13,L13,P13)*Calculation!I13/Calculation!K12</f>
        <v>74498918.772264391</v>
      </c>
      <c r="S13" s="49">
        <f t="shared" si="1"/>
        <v>9.7339903125191558</v>
      </c>
      <c r="T13" s="49">
        <f t="shared" si="2"/>
        <v>22.413340988955063</v>
      </c>
      <c r="U13" s="49">
        <f t="shared" si="3"/>
        <v>9.7255688662431155</v>
      </c>
      <c r="V13" s="49">
        <f t="shared" si="4"/>
        <v>9.7138528040492762</v>
      </c>
      <c r="W13" s="49">
        <f t="shared" si="5"/>
        <v>9.7178337784414897</v>
      </c>
      <c r="X13" s="49">
        <f xml:space="preserve"> STDEV(U13:W13)*Calculation!I13/Calculation!K12</f>
        <v>6.1650535679052751E-3</v>
      </c>
    </row>
    <row r="14" spans="1:24">
      <c r="A14" s="40">
        <v>10</v>
      </c>
      <c r="B14" s="54">
        <v>80</v>
      </c>
      <c r="C14" s="55">
        <f t="shared" si="6"/>
        <v>840</v>
      </c>
      <c r="D14" s="65">
        <f t="shared" si="0"/>
        <v>14</v>
      </c>
      <c r="E14" s="32">
        <v>3</v>
      </c>
      <c r="F14" s="32">
        <v>39140</v>
      </c>
      <c r="G14" s="32">
        <v>7</v>
      </c>
      <c r="H14" s="44">
        <f>('Flow cytometer'!F14/'Flow cytometer'!G14)*POWER(10,'Flow cytometer'!E14+2)*10.2</f>
        <v>5703257142.8571434</v>
      </c>
      <c r="I14" s="32">
        <v>3</v>
      </c>
      <c r="J14" s="32">
        <v>39249</v>
      </c>
      <c r="K14" s="32">
        <v>7</v>
      </c>
      <c r="L14" s="44">
        <f>('Flow cytometer'!J14/'Flow cytometer'!K14)*POWER(10,'Flow cytometer'!I14+2)*10.2</f>
        <v>5719140000</v>
      </c>
      <c r="M14" s="32">
        <v>3</v>
      </c>
      <c r="N14" s="32">
        <v>39411</v>
      </c>
      <c r="O14" s="32">
        <v>7</v>
      </c>
      <c r="P14" s="44">
        <f>('Flow cytometer'!N14/'Flow cytometer'!O14)*POWER(10,'Flow cytometer'!M14+2)*10.2</f>
        <v>5742745714.2857141</v>
      </c>
      <c r="Q14" s="47">
        <f>AVERAGE(H14,L14,P14)*Calculation!I14/Calculation!K13</f>
        <v>5932653504.2124424</v>
      </c>
      <c r="R14" s="48">
        <f>STDEV(H14,L14,P14)*Calculation!I14/Calculation!K13</f>
        <v>20602278.541030765</v>
      </c>
      <c r="S14" s="49">
        <f t="shared" si="1"/>
        <v>9.7732489841704435</v>
      </c>
      <c r="T14" s="49">
        <f t="shared" si="2"/>
        <v>22.503737421070063</v>
      </c>
      <c r="U14" s="49">
        <f t="shared" si="3"/>
        <v>9.7561229530696423</v>
      </c>
      <c r="V14" s="49">
        <f t="shared" si="4"/>
        <v>9.7573307278604116</v>
      </c>
      <c r="W14" s="49">
        <f t="shared" si="5"/>
        <v>9.7591195863791107</v>
      </c>
      <c r="X14" s="49">
        <f xml:space="preserve"> STDEV(U14:W14)*Calculation!I14/Calculation!K13</f>
        <v>1.5632600410599834E-3</v>
      </c>
    </row>
    <row r="15" spans="1:24">
      <c r="A15" s="40">
        <v>11</v>
      </c>
      <c r="B15" s="54">
        <v>80</v>
      </c>
      <c r="C15" s="55">
        <f t="shared" si="6"/>
        <v>920</v>
      </c>
      <c r="D15" s="65">
        <f t="shared" si="0"/>
        <v>15.333333333333334</v>
      </c>
      <c r="E15" s="32">
        <v>3</v>
      </c>
      <c r="F15" s="32">
        <v>38709</v>
      </c>
      <c r="G15" s="32">
        <v>7</v>
      </c>
      <c r="H15" s="44">
        <f>('Flow cytometer'!F15/'Flow cytometer'!G15)*POWER(10,'Flow cytometer'!E15+2)*10.2</f>
        <v>5640454285.7142849</v>
      </c>
      <c r="I15" s="32">
        <v>3</v>
      </c>
      <c r="J15" s="32">
        <v>39321</v>
      </c>
      <c r="K15" s="32">
        <v>7</v>
      </c>
      <c r="L15" s="44">
        <f>('Flow cytometer'!J15/'Flow cytometer'!K15)*POWER(10,'Flow cytometer'!I15+2)*10.2</f>
        <v>5729631428.5714283</v>
      </c>
      <c r="M15" s="32">
        <v>3</v>
      </c>
      <c r="N15" s="32">
        <v>40297</v>
      </c>
      <c r="O15" s="32">
        <v>7</v>
      </c>
      <c r="P15" s="44">
        <f>('Flow cytometer'!N15/'Flow cytometer'!O15)*POWER(10,'Flow cytometer'!M15+2)*10.2</f>
        <v>5871848571.4285707</v>
      </c>
      <c r="Q15" s="47">
        <f>AVERAGE(H15,L15,P15)*Calculation!I15/Calculation!K14</f>
        <v>5971380813.9778585</v>
      </c>
      <c r="R15" s="48">
        <f>STDEV(H15,L15,P15)*Calculation!I15/Calculation!K14</f>
        <v>121255885.33492811</v>
      </c>
      <c r="S15" s="49">
        <f t="shared" si="1"/>
        <v>9.776074768407625</v>
      </c>
      <c r="T15" s="49">
        <f t="shared" si="2"/>
        <v>22.510244029730618</v>
      </c>
      <c r="U15" s="49">
        <f t="shared" si="3"/>
        <v>9.751314083741077</v>
      </c>
      <c r="V15" s="49">
        <f t="shared" si="4"/>
        <v>9.7581266858965545</v>
      </c>
      <c r="W15" s="49">
        <f t="shared" si="5"/>
        <v>9.768774847071338</v>
      </c>
      <c r="X15" s="49">
        <f xml:space="preserve"> STDEV(U15:W15)*Calculation!I15/Calculation!K14</f>
        <v>9.1434100605475195E-3</v>
      </c>
    </row>
    <row r="16" spans="1:24">
      <c r="A16" s="40">
        <v>12</v>
      </c>
      <c r="B16" s="54">
        <v>80</v>
      </c>
      <c r="C16" s="55">
        <f t="shared" si="6"/>
        <v>1000</v>
      </c>
      <c r="D16" s="65">
        <f t="shared" si="0"/>
        <v>16.666666666666668</v>
      </c>
      <c r="E16" s="32">
        <v>3</v>
      </c>
      <c r="F16" s="32">
        <v>39034</v>
      </c>
      <c r="G16" s="32">
        <v>7</v>
      </c>
      <c r="H16" s="44">
        <f>('Flow cytometer'!F16/'Flow cytometer'!G16)*POWER(10,'Flow cytometer'!E16+2)*10.2</f>
        <v>5687811428.5714283</v>
      </c>
      <c r="I16" s="32">
        <v>3</v>
      </c>
      <c r="J16" s="32">
        <v>37054</v>
      </c>
      <c r="K16" s="32">
        <v>7</v>
      </c>
      <c r="L16" s="44">
        <f>('Flow cytometer'!J16/'Flow cytometer'!K16)*POWER(10,'Flow cytometer'!I16+2)*10.2</f>
        <v>5399297142.8571424</v>
      </c>
      <c r="M16" s="32">
        <v>3</v>
      </c>
      <c r="N16" s="32">
        <v>45731</v>
      </c>
      <c r="O16" s="32">
        <v>7</v>
      </c>
      <c r="P16" s="44">
        <f>('Flow cytometer'!N16/'Flow cytometer'!O16)*POWER(10,'Flow cytometer'!M16+2)*10.2</f>
        <v>6663660000</v>
      </c>
      <c r="Q16" s="47">
        <f>AVERAGE(H16,L16,P16)*Calculation!I16/Calculation!K15</f>
        <v>6200601446.023654</v>
      </c>
      <c r="R16" s="48">
        <f>STDEV(H16,L16,P16)*Calculation!I16/Calculation!K15</f>
        <v>694354487.73161185</v>
      </c>
      <c r="S16" s="49">
        <f t="shared" si="1"/>
        <v>9.7924338172435217</v>
      </c>
      <c r="T16" s="49">
        <f t="shared" si="2"/>
        <v>22.547912131715712</v>
      </c>
      <c r="U16" s="49">
        <f t="shared" si="3"/>
        <v>9.754945189534574</v>
      </c>
      <c r="V16" s="49">
        <f t="shared" si="4"/>
        <v>9.7323372289256138</v>
      </c>
      <c r="W16" s="49">
        <f t="shared" si="5"/>
        <v>9.8237128299517309</v>
      </c>
      <c r="X16" s="49">
        <f xml:space="preserve"> STDEV(U16:W16)*Calculation!I16/Calculation!K15</f>
        <v>4.9873030779749535E-2</v>
      </c>
    </row>
    <row r="17" spans="1:24">
      <c r="A17" s="40">
        <v>13</v>
      </c>
      <c r="B17" s="54">
        <v>80</v>
      </c>
      <c r="C17" s="55">
        <f t="shared" si="6"/>
        <v>1080</v>
      </c>
      <c r="D17" s="65">
        <f t="shared" si="0"/>
        <v>18</v>
      </c>
      <c r="E17" s="32">
        <v>3</v>
      </c>
      <c r="F17" s="32">
        <v>40789</v>
      </c>
      <c r="G17" s="32">
        <v>7</v>
      </c>
      <c r="H17" s="44">
        <f>('Flow cytometer'!F17/'Flow cytometer'!G17)*POWER(10,'Flow cytometer'!E17+2)*10.2</f>
        <v>5943540000</v>
      </c>
      <c r="I17" s="32">
        <v>3</v>
      </c>
      <c r="J17" s="32">
        <v>41501</v>
      </c>
      <c r="K17" s="32">
        <v>7</v>
      </c>
      <c r="L17" s="44">
        <f>('Flow cytometer'!J17/'Flow cytometer'!K17)*POWER(10,'Flow cytometer'!I17+2)*10.2</f>
        <v>6047288571.4285707</v>
      </c>
      <c r="M17" s="32">
        <v>3</v>
      </c>
      <c r="N17" s="32">
        <v>38022</v>
      </c>
      <c r="O17" s="32">
        <v>7</v>
      </c>
      <c r="P17" s="44">
        <f>('Flow cytometer'!N17/'Flow cytometer'!O17)*POWER(10,'Flow cytometer'!M17+2)*10.2</f>
        <v>5540348571.4285707</v>
      </c>
      <c r="Q17" s="47">
        <f>AVERAGE(H17,L17,P17)*Calculation!I17/Calculation!K16</f>
        <v>6130830296.9418917</v>
      </c>
      <c r="R17" s="48">
        <f>STDEV(H17,L17,P17)*Calculation!I17/Calculation!K16</f>
        <v>280961762.72708607</v>
      </c>
      <c r="S17" s="49">
        <f t="shared" si="1"/>
        <v>9.787519294903662</v>
      </c>
      <c r="T17" s="49">
        <f t="shared" si="2"/>
        <v>22.536596025836765</v>
      </c>
      <c r="U17" s="49">
        <f t="shared" si="3"/>
        <v>9.7740451898520675</v>
      </c>
      <c r="V17" s="49">
        <f t="shared" si="4"/>
        <v>9.7815606932609462</v>
      </c>
      <c r="W17" s="49">
        <f t="shared" si="5"/>
        <v>9.7435370892565434</v>
      </c>
      <c r="X17" s="49">
        <f xml:space="preserve"> STDEV(U17:W17)*Calculation!I17/Calculation!K16</f>
        <v>2.1126464084050983E-2</v>
      </c>
    </row>
    <row r="18" spans="1:24">
      <c r="A18" s="40">
        <v>14</v>
      </c>
      <c r="B18" s="54">
        <v>380</v>
      </c>
      <c r="C18" s="55">
        <f t="shared" si="6"/>
        <v>1460</v>
      </c>
      <c r="D18" s="65">
        <f t="shared" si="0"/>
        <v>24.333333333333332</v>
      </c>
      <c r="E18" s="32">
        <v>3</v>
      </c>
      <c r="F18" s="32">
        <v>29330</v>
      </c>
      <c r="G18" s="32">
        <v>7</v>
      </c>
      <c r="H18" s="44">
        <f>('Flow cytometer'!F18/'Flow cytometer'!G18)*POWER(10,'Flow cytometer'!E18+2)*10.2</f>
        <v>4273799999.9999995</v>
      </c>
      <c r="I18" s="32">
        <v>3</v>
      </c>
      <c r="J18" s="32">
        <v>27535</v>
      </c>
      <c r="K18" s="32">
        <v>7</v>
      </c>
      <c r="L18" s="44">
        <f>('Flow cytometer'!J18/'Flow cytometer'!K18)*POWER(10,'Flow cytometer'!I18+2)*10.2</f>
        <v>4012242857.1428571</v>
      </c>
      <c r="M18" s="32">
        <v>3</v>
      </c>
      <c r="N18" s="32">
        <v>29276</v>
      </c>
      <c r="O18" s="32">
        <v>7</v>
      </c>
      <c r="P18" s="44">
        <f>('Flow cytometer'!N18/'Flow cytometer'!O18)*POWER(10,'Flow cytometer'!M18+2)*10.2</f>
        <v>4265931428.5714288</v>
      </c>
      <c r="Q18" s="47">
        <f>AVERAGE(H18,L18,P18)*Calculation!I18/Calculation!K17</f>
        <v>4394796989.4585743</v>
      </c>
      <c r="R18" s="48">
        <f>STDEV(H18,L18,P18)*Calculation!I18/Calculation!K17</f>
        <v>156287294.23188543</v>
      </c>
      <c r="S18" s="49">
        <f t="shared" si="1"/>
        <v>9.6429388183417064</v>
      </c>
      <c r="T18" s="49">
        <f t="shared" si="2"/>
        <v>22.203687175767232</v>
      </c>
      <c r="U18" s="49">
        <f t="shared" si="3"/>
        <v>9.6308141947282131</v>
      </c>
      <c r="V18" s="49">
        <f t="shared" si="4"/>
        <v>9.6033872125649626</v>
      </c>
      <c r="W18" s="49">
        <f t="shared" si="5"/>
        <v>9.6300138702338067</v>
      </c>
      <c r="X18" s="49">
        <f xml:space="preserve"> STDEV(U18:W18)*Calculation!I18/Calculation!K17</f>
        <v>1.6395516988458727E-2</v>
      </c>
    </row>
    <row r="19" spans="1:24">
      <c r="A19" s="40">
        <v>15</v>
      </c>
      <c r="B19" s="54">
        <v>350</v>
      </c>
      <c r="C19" s="55">
        <f>C18+B19</f>
        <v>1810</v>
      </c>
      <c r="D19" s="65">
        <f t="shared" si="0"/>
        <v>30.166666666666668</v>
      </c>
      <c r="E19" s="32">
        <v>3</v>
      </c>
      <c r="F19" s="32">
        <v>27544</v>
      </c>
      <c r="G19" s="32">
        <v>7</v>
      </c>
      <c r="H19" s="44">
        <f>('Flow cytometer'!F19/'Flow cytometer'!G19)*POWER(10,'Flow cytometer'!E19+2)*10.2</f>
        <v>4013554285.7142854</v>
      </c>
      <c r="I19" s="32">
        <v>3</v>
      </c>
      <c r="J19" s="32">
        <v>26879</v>
      </c>
      <c r="K19" s="32">
        <v>7</v>
      </c>
      <c r="L19" s="44">
        <f>('Flow cytometer'!J19/'Flow cytometer'!K19)*POWER(10,'Flow cytometer'!I19+2)*10.2</f>
        <v>3916654285.7142854</v>
      </c>
      <c r="M19" s="32">
        <v>3</v>
      </c>
      <c r="N19" s="32">
        <v>30551</v>
      </c>
      <c r="O19" s="32">
        <v>7</v>
      </c>
      <c r="P19" s="44">
        <f>('Flow cytometer'!N19/'Flow cytometer'!O19)*POWER(10,'Flow cytometer'!M19+2)*10.2</f>
        <v>4451717142.8571424</v>
      </c>
      <c r="Q19" s="47">
        <f>AVERAGE(H19,L19,P19)*Calculation!I19/Calculation!K18</f>
        <v>4335258232.2268476</v>
      </c>
      <c r="R19" s="48">
        <f>STDEV(H19,L19,P19)*Calculation!I19/Calculation!K18</f>
        <v>299457218.24594587</v>
      </c>
      <c r="S19" s="49">
        <f t="shared" si="1"/>
        <v>9.6370149715910056</v>
      </c>
      <c r="T19" s="49">
        <f t="shared" si="2"/>
        <v>22.190047014545886</v>
      </c>
      <c r="U19" s="49">
        <f t="shared" si="3"/>
        <v>9.6035291414442785</v>
      </c>
      <c r="V19" s="49">
        <f t="shared" si="4"/>
        <v>9.5929152390401438</v>
      </c>
      <c r="W19" s="49">
        <f t="shared" si="5"/>
        <v>9.6485275619522284</v>
      </c>
      <c r="X19" s="49">
        <f xml:space="preserve"> STDEV(U19:W19)*Calculation!I19/Calculation!K18</f>
        <v>3.1012255268541553E-2</v>
      </c>
    </row>
    <row r="20" spans="1:24">
      <c r="A20" s="40">
        <v>16</v>
      </c>
      <c r="B20" s="54">
        <v>1070</v>
      </c>
      <c r="C20" s="55">
        <f>C19+B20</f>
        <v>2880</v>
      </c>
      <c r="D20" s="65">
        <f t="shared" si="0"/>
        <v>48</v>
      </c>
      <c r="E20" s="32">
        <v>3</v>
      </c>
      <c r="F20" s="32">
        <v>17997</v>
      </c>
      <c r="G20" s="32">
        <v>7</v>
      </c>
      <c r="H20" s="44">
        <f>('Flow cytometer'!F20/'Flow cytometer'!G20)*POWER(10,'Flow cytometer'!E20+2)*10.2</f>
        <v>2622420000</v>
      </c>
      <c r="I20" s="32">
        <v>3</v>
      </c>
      <c r="J20" s="32">
        <v>21990</v>
      </c>
      <c r="K20" s="32">
        <v>7</v>
      </c>
      <c r="L20" s="44">
        <f>('Flow cytometer'!J20/'Flow cytometer'!K20)*POWER(10,'Flow cytometer'!I20+2)*10.2</f>
        <v>3204257142.8571424</v>
      </c>
      <c r="M20" s="32">
        <v>3</v>
      </c>
      <c r="N20" s="32">
        <v>21764</v>
      </c>
      <c r="O20" s="32">
        <v>7</v>
      </c>
      <c r="P20" s="44">
        <f>('Flow cytometer'!N20/'Flow cytometer'!O20)*POWER(10,'Flow cytometer'!M20+2)*10.2</f>
        <v>3171325714.2857141</v>
      </c>
      <c r="Q20" s="47">
        <f>AVERAGE(H20,L20,P20)*Calculation!I20/Calculation!K19</f>
        <v>3150452268.908608</v>
      </c>
      <c r="R20" s="48">
        <f>STDEV(H20,L20,P20)*Calculation!I20/Calculation!K19</f>
        <v>343299449.55808657</v>
      </c>
      <c r="S20" s="49">
        <f>LOG(Q20)</f>
        <v>9.4983729041997922</v>
      </c>
      <c r="T20" s="49">
        <f>LN(Q20)</f>
        <v>21.870811856909004</v>
      </c>
      <c r="U20" s="49">
        <f>LOG(H20)</f>
        <v>9.4187022484047773</v>
      </c>
      <c r="V20" s="49">
        <f>LOG(L20)</f>
        <v>9.5057273611084518</v>
      </c>
      <c r="W20" s="49">
        <f>LOG(P20)</f>
        <v>9.5012408489815279</v>
      </c>
      <c r="X20" s="49">
        <f xml:space="preserve"> STDEV(U20:W20)*Calculation!I20/Calculation!K19</f>
        <v>5.1469021912476882E-2</v>
      </c>
    </row>
    <row r="71" spans="17:21">
      <c r="Q71" s="62"/>
      <c r="R71" s="62"/>
      <c r="S71" s="62"/>
      <c r="T71" s="62"/>
      <c r="U71" s="62"/>
    </row>
    <row r="72" spans="17:21">
      <c r="Q72" s="62"/>
      <c r="R72" s="62"/>
      <c r="S72" s="62"/>
      <c r="T72" s="62"/>
      <c r="U72" s="62"/>
    </row>
    <row r="73" spans="17:21">
      <c r="R73" s="63"/>
      <c r="S73" s="62"/>
      <c r="T73" s="63"/>
      <c r="U73" s="62"/>
    </row>
    <row r="74" spans="17:21">
      <c r="Q74" s="62"/>
      <c r="R74" s="62"/>
      <c r="S74" s="62"/>
      <c r="T74" s="62"/>
      <c r="U74" s="62"/>
    </row>
    <row r="75" spans="17:21">
      <c r="Q75" s="62"/>
      <c r="R75" s="62"/>
      <c r="S75" s="62"/>
      <c r="T75" s="62"/>
      <c r="U75" s="62"/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1:R48"/>
  <sheetViews>
    <sheetView topLeftCell="A17" workbookViewId="0">
      <selection activeCell="G13" sqref="G13"/>
    </sheetView>
  </sheetViews>
  <sheetFormatPr baseColWidth="10" defaultColWidth="8.83203125" defaultRowHeight="14" x14ac:dyDescent="0"/>
  <cols>
    <col min="1" max="2" width="8.83203125" style="88"/>
    <col min="3" max="3" width="9.83203125" style="88" customWidth="1"/>
    <col min="4" max="17" width="8.83203125" style="88"/>
    <col min="18" max="18" width="13.83203125" style="88" bestFit="1" customWidth="1"/>
    <col min="19" max="16384" width="8.83203125" style="88"/>
  </cols>
  <sheetData>
    <row r="1" spans="2:18">
      <c r="B1" s="140" t="s">
        <v>4</v>
      </c>
      <c r="C1" s="142" t="s">
        <v>207</v>
      </c>
      <c r="D1" s="143" t="s">
        <v>18</v>
      </c>
      <c r="E1" s="143"/>
      <c r="F1" s="143"/>
      <c r="G1" s="143"/>
      <c r="H1" s="143" t="s">
        <v>20</v>
      </c>
      <c r="I1" s="143"/>
      <c r="J1" s="143"/>
      <c r="K1" s="143"/>
      <c r="L1" s="143" t="s">
        <v>21</v>
      </c>
      <c r="M1" s="143"/>
      <c r="N1" s="143"/>
      <c r="O1" s="143"/>
      <c r="P1" s="99" t="s">
        <v>22</v>
      </c>
      <c r="Q1" s="99" t="s">
        <v>22</v>
      </c>
      <c r="R1" s="99" t="s">
        <v>22</v>
      </c>
    </row>
    <row r="2" spans="2:18">
      <c r="B2" s="141"/>
      <c r="C2" s="141"/>
      <c r="D2" s="98" t="s">
        <v>19</v>
      </c>
      <c r="E2" s="98" t="s">
        <v>67</v>
      </c>
      <c r="F2" s="98" t="s">
        <v>68</v>
      </c>
      <c r="G2" s="98" t="s">
        <v>69</v>
      </c>
      <c r="H2" s="98" t="s">
        <v>19</v>
      </c>
      <c r="I2" s="98" t="s">
        <v>67</v>
      </c>
      <c r="J2" s="98" t="s">
        <v>68</v>
      </c>
      <c r="K2" s="98" t="s">
        <v>69</v>
      </c>
      <c r="L2" s="98" t="s">
        <v>19</v>
      </c>
      <c r="M2" s="98" t="s">
        <v>67</v>
      </c>
      <c r="N2" s="98" t="s">
        <v>68</v>
      </c>
      <c r="O2" s="98" t="s">
        <v>70</v>
      </c>
      <c r="P2" s="97" t="s">
        <v>69</v>
      </c>
      <c r="Q2" s="97" t="s">
        <v>23</v>
      </c>
      <c r="R2" s="97" t="s">
        <v>71</v>
      </c>
    </row>
    <row r="3" spans="2:18">
      <c r="B3" s="96"/>
      <c r="C3" s="96"/>
      <c r="D3" s="95"/>
      <c r="E3" s="95"/>
      <c r="F3" s="95"/>
      <c r="G3" s="93"/>
      <c r="H3" s="95"/>
      <c r="I3" s="95"/>
      <c r="J3" s="95"/>
      <c r="K3" s="93"/>
      <c r="L3" s="95"/>
      <c r="M3" s="95"/>
      <c r="N3" s="95"/>
      <c r="O3" s="93"/>
      <c r="P3" s="137"/>
      <c r="Q3" s="138"/>
      <c r="R3" s="139"/>
    </row>
    <row r="4" spans="2:18">
      <c r="B4" s="101" t="s">
        <v>191</v>
      </c>
      <c r="C4" s="94">
        <v>500</v>
      </c>
      <c r="D4" s="94">
        <v>3</v>
      </c>
      <c r="E4" s="94">
        <v>14133</v>
      </c>
      <c r="F4" s="94">
        <v>7</v>
      </c>
      <c r="G4" s="93">
        <f>(E4/F4)*(10.2)*POWER(10,D4+2)</f>
        <v>2059380000</v>
      </c>
      <c r="H4" s="94">
        <v>3</v>
      </c>
      <c r="I4" s="94">
        <v>15082</v>
      </c>
      <c r="J4" s="94">
        <v>7</v>
      </c>
      <c r="K4" s="93">
        <f t="shared" ref="K4:K18" si="0">(I4/J4)*(10.2)*POWER(10,H4+2)</f>
        <v>2197662857.1428571</v>
      </c>
      <c r="L4" s="94">
        <v>3</v>
      </c>
      <c r="M4" s="94">
        <v>15922</v>
      </c>
      <c r="N4" s="94">
        <v>7</v>
      </c>
      <c r="O4" s="93">
        <f t="shared" ref="O4:O19" si="1">(M4/N4)*(10.2)*POWER(10,L4+2)</f>
        <v>2320062857.1428571</v>
      </c>
      <c r="P4" s="92">
        <f t="shared" ref="P4:P10" si="2">AVERAGE(O4,K4,G4)</f>
        <v>2192368571.4285712</v>
      </c>
      <c r="Q4" s="92">
        <f t="shared" ref="Q4:Q10" si="3">STDEV(O4,K4,G4)</f>
        <v>130422046.05801573</v>
      </c>
      <c r="R4" s="91">
        <f>LOG(P4)</f>
        <v>9.3409135676416426</v>
      </c>
    </row>
    <row r="5" spans="2:18">
      <c r="B5" s="101" t="s">
        <v>192</v>
      </c>
      <c r="C5" s="94">
        <v>500</v>
      </c>
      <c r="D5" s="94">
        <v>2</v>
      </c>
      <c r="E5" s="94">
        <v>16544</v>
      </c>
      <c r="F5" s="94">
        <v>7</v>
      </c>
      <c r="G5" s="93">
        <f t="shared" ref="G5:G19" si="4">(E5/F5)*(10.2)*POWER(10,D5+2)</f>
        <v>241069714.2857143</v>
      </c>
      <c r="H5" s="94">
        <v>2</v>
      </c>
      <c r="I5" s="94">
        <v>15924</v>
      </c>
      <c r="J5" s="94">
        <v>7</v>
      </c>
      <c r="K5" s="93">
        <f t="shared" si="0"/>
        <v>232035428.57142854</v>
      </c>
      <c r="L5" s="94">
        <v>2</v>
      </c>
      <c r="M5" s="94">
        <v>15173</v>
      </c>
      <c r="N5" s="94">
        <v>7</v>
      </c>
      <c r="O5" s="93">
        <f t="shared" si="1"/>
        <v>221092285.71428567</v>
      </c>
      <c r="P5" s="92">
        <f t="shared" si="2"/>
        <v>231399142.85714284</v>
      </c>
      <c r="Q5" s="92">
        <f t="shared" si="3"/>
        <v>10003902.124385577</v>
      </c>
      <c r="R5" s="91">
        <f t="shared" ref="R5:R19" si="5">LOG(P5)</f>
        <v>8.3643617459160655</v>
      </c>
    </row>
    <row r="6" spans="2:18">
      <c r="B6" s="101" t="s">
        <v>193</v>
      </c>
      <c r="C6" s="94">
        <v>500</v>
      </c>
      <c r="D6" s="94">
        <v>1</v>
      </c>
      <c r="E6" s="94">
        <v>18107</v>
      </c>
      <c r="F6" s="94">
        <v>7</v>
      </c>
      <c r="G6" s="93">
        <f t="shared" si="4"/>
        <v>26384485.714285713</v>
      </c>
      <c r="H6" s="94">
        <v>1</v>
      </c>
      <c r="I6" s="94">
        <v>18423</v>
      </c>
      <c r="J6" s="94">
        <v>7</v>
      </c>
      <c r="K6" s="93">
        <f t="shared" si="0"/>
        <v>26844942.857142854</v>
      </c>
      <c r="L6" s="94">
        <v>1</v>
      </c>
      <c r="M6" s="94">
        <v>17005</v>
      </c>
      <c r="N6" s="94">
        <v>7</v>
      </c>
      <c r="O6" s="93">
        <f t="shared" si="1"/>
        <v>24778714.285714284</v>
      </c>
      <c r="P6" s="92">
        <f t="shared" si="2"/>
        <v>26002714.285714284</v>
      </c>
      <c r="Q6" s="92">
        <f t="shared" si="3"/>
        <v>1084729.0883451225</v>
      </c>
      <c r="R6" s="91">
        <f t="shared" si="5"/>
        <v>7.4150186840393397</v>
      </c>
    </row>
    <row r="7" spans="2:18">
      <c r="B7" s="101" t="s">
        <v>194</v>
      </c>
      <c r="C7" s="94">
        <v>500</v>
      </c>
      <c r="D7" s="94">
        <v>1</v>
      </c>
      <c r="E7" s="94">
        <v>1825</v>
      </c>
      <c r="F7" s="94">
        <v>7</v>
      </c>
      <c r="G7" s="93">
        <f t="shared" si="4"/>
        <v>2659285.7142857141</v>
      </c>
      <c r="H7" s="94">
        <v>1</v>
      </c>
      <c r="I7" s="94">
        <v>1808</v>
      </c>
      <c r="J7" s="94">
        <v>7</v>
      </c>
      <c r="K7" s="93">
        <f t="shared" si="0"/>
        <v>2634514.2857142854</v>
      </c>
      <c r="L7" s="94">
        <v>1</v>
      </c>
      <c r="M7" s="94">
        <v>1822</v>
      </c>
      <c r="N7" s="94">
        <v>7</v>
      </c>
      <c r="O7" s="93">
        <f t="shared" si="1"/>
        <v>2654914.2857142854</v>
      </c>
      <c r="P7" s="92">
        <f t="shared" si="2"/>
        <v>2649571.4285714286</v>
      </c>
      <c r="Q7" s="92">
        <f t="shared" si="3"/>
        <v>13221.78165770719</v>
      </c>
      <c r="R7" s="91">
        <f t="shared" si="5"/>
        <v>6.4231756319523594</v>
      </c>
    </row>
    <row r="8" spans="2:18">
      <c r="B8" s="101" t="s">
        <v>195</v>
      </c>
      <c r="C8" s="94">
        <v>500</v>
      </c>
      <c r="D8" s="94">
        <v>0</v>
      </c>
      <c r="E8" s="94">
        <v>2306</v>
      </c>
      <c r="F8" s="94">
        <v>7</v>
      </c>
      <c r="G8" s="93">
        <f t="shared" si="4"/>
        <v>336017.14285714284</v>
      </c>
      <c r="H8" s="94">
        <v>0</v>
      </c>
      <c r="I8" s="94">
        <v>2052</v>
      </c>
      <c r="J8" s="94">
        <v>7</v>
      </c>
      <c r="K8" s="93">
        <f t="shared" si="0"/>
        <v>299005.71428571432</v>
      </c>
      <c r="L8" s="94">
        <v>0</v>
      </c>
      <c r="M8" s="94">
        <v>2049</v>
      </c>
      <c r="N8" s="94">
        <v>7</v>
      </c>
      <c r="O8" s="93">
        <f t="shared" si="1"/>
        <v>298568.57142857142</v>
      </c>
      <c r="P8" s="92">
        <f t="shared" si="2"/>
        <v>311197.14285714284</v>
      </c>
      <c r="Q8" s="92">
        <f t="shared" si="3"/>
        <v>21495.861775453133</v>
      </c>
      <c r="R8" s="91">
        <f t="shared" si="5"/>
        <v>5.4930356010198587</v>
      </c>
    </row>
    <row r="9" spans="2:18">
      <c r="B9" s="101" t="s">
        <v>196</v>
      </c>
      <c r="C9" s="94">
        <v>1000</v>
      </c>
      <c r="D9" s="94">
        <v>3</v>
      </c>
      <c r="E9" s="94">
        <v>13995</v>
      </c>
      <c r="F9" s="94">
        <v>7</v>
      </c>
      <c r="G9" s="93">
        <f t="shared" si="4"/>
        <v>2039271428.5714283</v>
      </c>
      <c r="H9" s="94">
        <v>3</v>
      </c>
      <c r="I9" s="94">
        <v>13769</v>
      </c>
      <c r="J9" s="94">
        <v>7</v>
      </c>
      <c r="K9" s="93">
        <f t="shared" si="0"/>
        <v>2006339999.9999998</v>
      </c>
      <c r="L9" s="94">
        <v>3</v>
      </c>
      <c r="M9" s="94">
        <v>15093</v>
      </c>
      <c r="N9" s="94">
        <v>7</v>
      </c>
      <c r="O9" s="93">
        <f t="shared" si="1"/>
        <v>2199265714.2857146</v>
      </c>
      <c r="P9" s="92">
        <f t="shared" si="2"/>
        <v>2081625714.2857141</v>
      </c>
      <c r="Q9" s="92">
        <f t="shared" si="3"/>
        <v>103201244.89045103</v>
      </c>
      <c r="R9" s="91">
        <f t="shared" si="5"/>
        <v>9.3184026440827186</v>
      </c>
    </row>
    <row r="10" spans="2:18">
      <c r="B10" s="101" t="s">
        <v>197</v>
      </c>
      <c r="C10" s="94">
        <v>900</v>
      </c>
      <c r="D10" s="94">
        <v>3</v>
      </c>
      <c r="E10" s="94">
        <v>6387</v>
      </c>
      <c r="F10" s="94">
        <v>7</v>
      </c>
      <c r="G10" s="93">
        <f t="shared" si="4"/>
        <v>930677142.85714281</v>
      </c>
      <c r="H10" s="94">
        <v>3</v>
      </c>
      <c r="I10" s="94">
        <v>7378</v>
      </c>
      <c r="J10" s="94">
        <v>7</v>
      </c>
      <c r="K10" s="93">
        <f t="shared" si="0"/>
        <v>1075080000</v>
      </c>
      <c r="L10" s="94">
        <v>3</v>
      </c>
      <c r="M10" s="94">
        <v>6564</v>
      </c>
      <c r="N10" s="94">
        <v>7</v>
      </c>
      <c r="O10" s="93">
        <f t="shared" si="1"/>
        <v>956468571.42857134</v>
      </c>
      <c r="P10" s="92">
        <f t="shared" si="2"/>
        <v>987408571.42857134</v>
      </c>
      <c r="Q10" s="92">
        <f t="shared" si="3"/>
        <v>77013044.270143658</v>
      </c>
      <c r="R10" s="91">
        <f t="shared" si="5"/>
        <v>8.9944968928936131</v>
      </c>
    </row>
    <row r="11" spans="2:18">
      <c r="B11" s="101" t="s">
        <v>198</v>
      </c>
      <c r="C11" s="94">
        <v>900</v>
      </c>
      <c r="D11" s="94">
        <v>3</v>
      </c>
      <c r="E11" s="94">
        <v>3341</v>
      </c>
      <c r="F11" s="94">
        <v>7</v>
      </c>
      <c r="G11" s="93">
        <f t="shared" si="4"/>
        <v>486831428.5714286</v>
      </c>
      <c r="H11" s="94">
        <v>3</v>
      </c>
      <c r="I11" s="94">
        <v>3712</v>
      </c>
      <c r="J11" s="94">
        <v>7</v>
      </c>
      <c r="K11" s="93">
        <f t="shared" si="0"/>
        <v>540891428.57142866</v>
      </c>
      <c r="L11" s="94">
        <v>3</v>
      </c>
      <c r="M11" s="94">
        <v>3690</v>
      </c>
      <c r="N11" s="94">
        <v>7</v>
      </c>
      <c r="O11" s="93">
        <f t="shared" si="1"/>
        <v>537685714.28571427</v>
      </c>
      <c r="P11" s="92">
        <f t="shared" ref="P11:P19" si="6">AVERAGE(O11,K11,G11)</f>
        <v>521802857.14285713</v>
      </c>
      <c r="Q11" s="92">
        <f t="shared" ref="Q11:Q19" si="7">STDEV(O11,K11,G11)</f>
        <v>30328530.516088422</v>
      </c>
      <c r="R11" s="91">
        <f t="shared" si="5"/>
        <v>8.7175064527595634</v>
      </c>
    </row>
    <row r="12" spans="2:18">
      <c r="B12" s="101" t="s">
        <v>199</v>
      </c>
      <c r="C12" s="94">
        <v>900</v>
      </c>
      <c r="D12" s="94">
        <v>2</v>
      </c>
      <c r="E12" s="94">
        <v>19134</v>
      </c>
      <c r="F12" s="94">
        <v>7</v>
      </c>
      <c r="G12" s="93">
        <f>(E12/F12)*(10.2)*POWER(10,D12+2)</f>
        <v>278809714.28571427</v>
      </c>
      <c r="H12" s="94">
        <v>2</v>
      </c>
      <c r="I12" s="94">
        <v>18838</v>
      </c>
      <c r="J12" s="94">
        <v>7</v>
      </c>
      <c r="K12" s="93">
        <f t="shared" si="0"/>
        <v>274496571.42857146</v>
      </c>
      <c r="L12" s="94">
        <v>2</v>
      </c>
      <c r="M12" s="94">
        <v>18096</v>
      </c>
      <c r="N12" s="94">
        <v>7</v>
      </c>
      <c r="O12" s="93">
        <f t="shared" si="1"/>
        <v>263684571.42857143</v>
      </c>
      <c r="P12" s="92">
        <f t="shared" si="6"/>
        <v>272330285.71428573</v>
      </c>
      <c r="Q12" s="92">
        <f t="shared" si="7"/>
        <v>7791795.8109272597</v>
      </c>
      <c r="R12" s="91">
        <f t="shared" si="5"/>
        <v>8.4350959416969342</v>
      </c>
    </row>
    <row r="13" spans="2:18">
      <c r="B13" s="101" t="s">
        <v>200</v>
      </c>
      <c r="C13" s="94">
        <v>900</v>
      </c>
      <c r="D13" s="94">
        <v>2</v>
      </c>
      <c r="E13" s="94">
        <v>9224</v>
      </c>
      <c r="F13" s="94">
        <v>7</v>
      </c>
      <c r="G13" s="93">
        <f t="shared" si="4"/>
        <v>134406857.14285713</v>
      </c>
      <c r="H13" s="94">
        <v>2</v>
      </c>
      <c r="I13" s="94">
        <v>9341</v>
      </c>
      <c r="J13" s="94">
        <v>7</v>
      </c>
      <c r="K13" s="93">
        <f t="shared" si="0"/>
        <v>136111714.28571427</v>
      </c>
      <c r="L13" s="94">
        <v>2</v>
      </c>
      <c r="M13" s="94">
        <v>9173</v>
      </c>
      <c r="N13" s="94">
        <v>7</v>
      </c>
      <c r="O13" s="93">
        <f t="shared" si="1"/>
        <v>133663714.28571427</v>
      </c>
      <c r="P13" s="92">
        <f t="shared" si="6"/>
        <v>134727428.57142857</v>
      </c>
      <c r="Q13" s="92">
        <f t="shared" si="7"/>
        <v>1255089.8496172463</v>
      </c>
      <c r="R13" s="91">
        <f t="shared" si="5"/>
        <v>8.1294560208497231</v>
      </c>
    </row>
    <row r="14" spans="2:18">
      <c r="B14" s="101" t="s">
        <v>201</v>
      </c>
      <c r="C14" s="94">
        <v>900</v>
      </c>
      <c r="D14" s="94">
        <v>2</v>
      </c>
      <c r="E14" s="94">
        <v>4238</v>
      </c>
      <c r="F14" s="94">
        <v>7</v>
      </c>
      <c r="G14" s="93">
        <f t="shared" si="4"/>
        <v>61753714.285714284</v>
      </c>
      <c r="H14" s="94">
        <v>2</v>
      </c>
      <c r="I14" s="94">
        <v>4832</v>
      </c>
      <c r="J14" s="94">
        <v>7</v>
      </c>
      <c r="K14" s="93">
        <f t="shared" si="0"/>
        <v>70409142.857142866</v>
      </c>
      <c r="L14" s="94">
        <v>2</v>
      </c>
      <c r="M14" s="94">
        <v>4770</v>
      </c>
      <c r="N14" s="94">
        <v>7</v>
      </c>
      <c r="O14" s="93">
        <f t="shared" si="1"/>
        <v>69505714.285714284</v>
      </c>
      <c r="P14" s="92">
        <f t="shared" si="6"/>
        <v>67222857.142857134</v>
      </c>
      <c r="Q14" s="92">
        <f t="shared" si="7"/>
        <v>4757907.9950957391</v>
      </c>
      <c r="R14" s="91">
        <f t="shared" si="5"/>
        <v>7.8275169671487372</v>
      </c>
    </row>
    <row r="15" spans="2:18">
      <c r="B15" s="101" t="s">
        <v>202</v>
      </c>
      <c r="C15" s="94">
        <v>900</v>
      </c>
      <c r="D15" s="94">
        <v>1</v>
      </c>
      <c r="E15" s="94">
        <v>22411</v>
      </c>
      <c r="F15" s="94">
        <v>7</v>
      </c>
      <c r="G15" s="93">
        <f t="shared" si="4"/>
        <v>32656028.571428567</v>
      </c>
      <c r="H15" s="94">
        <v>1</v>
      </c>
      <c r="I15" s="94">
        <v>23826</v>
      </c>
      <c r="J15" s="94">
        <v>7</v>
      </c>
      <c r="K15" s="93">
        <f t="shared" si="0"/>
        <v>34717885.714285716</v>
      </c>
      <c r="L15" s="94">
        <v>1</v>
      </c>
      <c r="M15" s="94">
        <v>24471</v>
      </c>
      <c r="N15" s="94">
        <v>7</v>
      </c>
      <c r="O15" s="93">
        <f t="shared" si="1"/>
        <v>35657742.857142851</v>
      </c>
      <c r="P15" s="92">
        <f t="shared" si="6"/>
        <v>34343885.714285709</v>
      </c>
      <c r="Q15" s="92">
        <f t="shared" si="7"/>
        <v>1535408.4678890193</v>
      </c>
      <c r="R15" s="91">
        <f t="shared" si="5"/>
        <v>7.5358494302775298</v>
      </c>
    </row>
    <row r="16" spans="2:18">
      <c r="B16" s="101" t="s">
        <v>203</v>
      </c>
      <c r="C16" s="94">
        <v>900</v>
      </c>
      <c r="D16" s="94">
        <v>1</v>
      </c>
      <c r="E16" s="94">
        <v>12012</v>
      </c>
      <c r="F16" s="94">
        <v>7</v>
      </c>
      <c r="G16" s="93">
        <f t="shared" si="4"/>
        <v>17503199.999999996</v>
      </c>
      <c r="H16" s="94">
        <v>1</v>
      </c>
      <c r="I16" s="94">
        <v>12668</v>
      </c>
      <c r="J16" s="94">
        <v>7</v>
      </c>
      <c r="K16" s="93">
        <f t="shared" si="0"/>
        <v>18459085.714285713</v>
      </c>
      <c r="L16" s="94">
        <v>1</v>
      </c>
      <c r="M16" s="94">
        <v>11470</v>
      </c>
      <c r="N16" s="94">
        <v>7</v>
      </c>
      <c r="O16" s="93">
        <f t="shared" si="1"/>
        <v>16713428.571428573</v>
      </c>
      <c r="P16" s="92">
        <f t="shared" si="6"/>
        <v>17558571.428571429</v>
      </c>
      <c r="Q16" s="92">
        <f t="shared" si="7"/>
        <v>874144.84579420183</v>
      </c>
      <c r="R16" s="91">
        <f t="shared" si="5"/>
        <v>7.2444891786585481</v>
      </c>
    </row>
    <row r="17" spans="2:18">
      <c r="B17" s="101" t="s">
        <v>204</v>
      </c>
      <c r="C17" s="94">
        <v>900</v>
      </c>
      <c r="D17" s="94">
        <v>1</v>
      </c>
      <c r="E17" s="94">
        <v>5750</v>
      </c>
      <c r="F17" s="94">
        <v>7</v>
      </c>
      <c r="G17" s="93">
        <f t="shared" si="4"/>
        <v>8378571.4285714272</v>
      </c>
      <c r="H17" s="94">
        <v>1</v>
      </c>
      <c r="I17" s="94">
        <v>5481</v>
      </c>
      <c r="J17" s="94">
        <v>7</v>
      </c>
      <c r="K17" s="93">
        <f t="shared" si="0"/>
        <v>7986599.9999999991</v>
      </c>
      <c r="L17" s="94">
        <v>1</v>
      </c>
      <c r="M17" s="94">
        <v>5831</v>
      </c>
      <c r="N17" s="94">
        <v>7</v>
      </c>
      <c r="O17" s="93">
        <f t="shared" si="1"/>
        <v>8496599.9999999981</v>
      </c>
      <c r="P17" s="92">
        <f t="shared" si="6"/>
        <v>8287257.1428571418</v>
      </c>
      <c r="Q17" s="92">
        <f t="shared" si="7"/>
        <v>266980.75601367303</v>
      </c>
      <c r="R17" s="91">
        <f t="shared" si="5"/>
        <v>6.9184108146481318</v>
      </c>
    </row>
    <row r="18" spans="2:18">
      <c r="B18" s="101" t="s">
        <v>205</v>
      </c>
      <c r="C18" s="94">
        <v>900</v>
      </c>
      <c r="D18" s="94">
        <v>1</v>
      </c>
      <c r="E18" s="94">
        <v>2868</v>
      </c>
      <c r="F18" s="94">
        <v>7</v>
      </c>
      <c r="G18" s="93">
        <f t="shared" si="4"/>
        <v>4179085.7142857141</v>
      </c>
      <c r="H18" s="94">
        <v>1</v>
      </c>
      <c r="I18" s="94">
        <v>2835</v>
      </c>
      <c r="J18" s="94">
        <v>7</v>
      </c>
      <c r="K18" s="93">
        <f t="shared" si="0"/>
        <v>4131000</v>
      </c>
      <c r="L18" s="94">
        <v>1</v>
      </c>
      <c r="M18" s="94">
        <v>2976</v>
      </c>
      <c r="N18" s="94">
        <v>7</v>
      </c>
      <c r="O18" s="93">
        <f t="shared" si="1"/>
        <v>4336457.1428571427</v>
      </c>
      <c r="P18" s="92">
        <f t="shared" si="6"/>
        <v>4215514.2857142854</v>
      </c>
      <c r="Q18" s="92">
        <f t="shared" si="7"/>
        <v>107463.6682790979</v>
      </c>
      <c r="R18" s="91">
        <f t="shared" si="5"/>
        <v>6.6248505653956435</v>
      </c>
    </row>
    <row r="19" spans="2:18">
      <c r="B19" s="101" t="s">
        <v>206</v>
      </c>
      <c r="C19" s="94">
        <v>900</v>
      </c>
      <c r="D19" s="94">
        <v>0</v>
      </c>
      <c r="E19" s="94">
        <v>10096</v>
      </c>
      <c r="F19" s="94">
        <v>7</v>
      </c>
      <c r="G19" s="93">
        <f t="shared" si="4"/>
        <v>1471131.4285714284</v>
      </c>
      <c r="H19" s="94">
        <v>0</v>
      </c>
      <c r="I19" s="94">
        <v>8923</v>
      </c>
      <c r="J19" s="94">
        <v>7</v>
      </c>
      <c r="K19" s="93">
        <f>(I19/J19)*(10.2)*POWER(10,H19+2)</f>
        <v>1300208.5714285716</v>
      </c>
      <c r="L19" s="94">
        <v>0</v>
      </c>
      <c r="M19" s="94">
        <v>8050</v>
      </c>
      <c r="N19" s="94">
        <v>7</v>
      </c>
      <c r="O19" s="93">
        <f t="shared" si="1"/>
        <v>1173000</v>
      </c>
      <c r="P19" s="92">
        <f t="shared" si="6"/>
        <v>1314780</v>
      </c>
      <c r="Q19" s="92">
        <f t="shared" si="7"/>
        <v>149598.9039848533</v>
      </c>
      <c r="R19" s="91">
        <f t="shared" si="5"/>
        <v>6.118853089115321</v>
      </c>
    </row>
    <row r="20" spans="2:18" ht="15" thickBot="1"/>
    <row r="21" spans="2:18" ht="55" customHeight="1" thickBot="1">
      <c r="B21" s="104" t="s">
        <v>4</v>
      </c>
      <c r="C21" s="104" t="s">
        <v>180</v>
      </c>
      <c r="D21" s="104" t="s">
        <v>179</v>
      </c>
      <c r="E21" s="104" t="s">
        <v>178</v>
      </c>
      <c r="F21" s="104" t="s">
        <v>177</v>
      </c>
      <c r="G21" s="105" t="s">
        <v>215</v>
      </c>
      <c r="H21" s="107" t="s">
        <v>216</v>
      </c>
      <c r="I21" s="107" t="s">
        <v>211</v>
      </c>
      <c r="J21" s="107" t="s">
        <v>212</v>
      </c>
      <c r="K21" s="107" t="s">
        <v>213</v>
      </c>
      <c r="L21" s="107" t="s">
        <v>214</v>
      </c>
      <c r="M21" s="106" t="s">
        <v>231</v>
      </c>
    </row>
    <row r="23" spans="2:18">
      <c r="B23" s="101" t="s">
        <v>191</v>
      </c>
      <c r="C23" s="108">
        <v>16.382114410400391</v>
      </c>
      <c r="D23" s="108">
        <v>16.2430419921875</v>
      </c>
      <c r="E23" s="108">
        <v>16.416009902954102</v>
      </c>
      <c r="F23" s="108">
        <f>AVERAGE(C23:E23)</f>
        <v>16.347055435180664</v>
      </c>
      <c r="G23" s="88">
        <f>15*180/4*1000/900</f>
        <v>750</v>
      </c>
      <c r="H23" s="88">
        <f>LOG(G23)/LOG(2)</f>
        <v>9.5507467853832431</v>
      </c>
      <c r="I23" s="94">
        <f>C23-H23</f>
        <v>6.8313676250171476</v>
      </c>
      <c r="J23" s="94">
        <f>D23-H23</f>
        <v>6.6922952068042569</v>
      </c>
      <c r="K23" s="94">
        <f>E23-H23</f>
        <v>6.8652631175708585</v>
      </c>
      <c r="L23" s="89">
        <f>AVERAGE(I23:K23)</f>
        <v>6.796308649797421</v>
      </c>
    </row>
    <row r="24" spans="2:18">
      <c r="B24" s="101" t="s">
        <v>192</v>
      </c>
      <c r="C24" s="108">
        <v>20.246736526489258</v>
      </c>
      <c r="D24" s="108">
        <v>20.337041854858398</v>
      </c>
      <c r="E24" s="108">
        <v>20.223323822021484</v>
      </c>
      <c r="F24" s="108">
        <f t="shared" ref="F24:F38" si="8">AVERAGE(C24:E24)</f>
        <v>20.269034067789715</v>
      </c>
      <c r="G24" s="88">
        <f t="shared" ref="G24:G26" si="9">15*180/4*1000/900</f>
        <v>750</v>
      </c>
      <c r="H24" s="88">
        <f t="shared" ref="H24:H38" si="10">LOG(G24)/LOG(2)</f>
        <v>9.5507467853832431</v>
      </c>
      <c r="I24" s="94">
        <f t="shared" ref="I24:I38" si="11">C24-H24</f>
        <v>10.695989741106015</v>
      </c>
      <c r="J24" s="94">
        <f t="shared" ref="J24:J38" si="12">D24-H24</f>
        <v>10.786295069475155</v>
      </c>
      <c r="K24" s="94">
        <f t="shared" ref="K24:K38" si="13">E24-H24</f>
        <v>10.672577036638241</v>
      </c>
      <c r="L24" s="89">
        <f t="shared" ref="L24:L38" si="14">AVERAGE(I24:K24)</f>
        <v>10.71828728240647</v>
      </c>
    </row>
    <row r="25" spans="2:18">
      <c r="B25" s="101" t="s">
        <v>193</v>
      </c>
      <c r="C25" s="108">
        <v>23.471084594726562</v>
      </c>
      <c r="D25" s="108">
        <v>23.434993743896484</v>
      </c>
      <c r="E25" s="108">
        <v>23.65556526184082</v>
      </c>
      <c r="F25" s="108">
        <f t="shared" si="8"/>
        <v>23.520547866821289</v>
      </c>
      <c r="G25" s="88">
        <f t="shared" si="9"/>
        <v>750</v>
      </c>
      <c r="H25" s="88">
        <f t="shared" si="10"/>
        <v>9.5507467853832431</v>
      </c>
      <c r="I25" s="94">
        <f t="shared" si="11"/>
        <v>13.920337809343319</v>
      </c>
      <c r="J25" s="94">
        <f t="shared" si="12"/>
        <v>13.884246958513241</v>
      </c>
      <c r="K25" s="94">
        <f t="shared" si="13"/>
        <v>14.104818476457577</v>
      </c>
      <c r="L25" s="89">
        <f t="shared" si="14"/>
        <v>13.969801081438044</v>
      </c>
    </row>
    <row r="26" spans="2:18">
      <c r="B26" s="101" t="s">
        <v>194</v>
      </c>
      <c r="C26" s="108">
        <v>27.687118530273438</v>
      </c>
      <c r="D26" s="108">
        <v>27.683933258056641</v>
      </c>
      <c r="E26" s="108">
        <v>27.721792221069336</v>
      </c>
      <c r="F26" s="108">
        <f t="shared" si="8"/>
        <v>27.697614669799805</v>
      </c>
      <c r="G26" s="88">
        <f t="shared" si="9"/>
        <v>750</v>
      </c>
      <c r="H26" s="88">
        <f t="shared" si="10"/>
        <v>9.5507467853832431</v>
      </c>
      <c r="I26" s="94">
        <f t="shared" si="11"/>
        <v>18.136371744890194</v>
      </c>
      <c r="J26" s="94">
        <f t="shared" si="12"/>
        <v>18.133186472673398</v>
      </c>
      <c r="K26" s="94">
        <f t="shared" si="13"/>
        <v>18.171045435686093</v>
      </c>
      <c r="L26" s="89">
        <f t="shared" si="14"/>
        <v>18.146867884416562</v>
      </c>
    </row>
    <row r="27" spans="2:18">
      <c r="B27" s="101" t="s">
        <v>195</v>
      </c>
      <c r="C27" s="108">
        <v>31.580327987670898</v>
      </c>
      <c r="D27" s="108">
        <v>31.876550674438477</v>
      </c>
      <c r="E27" s="108">
        <v>31.972114562988281</v>
      </c>
      <c r="F27" s="108">
        <f t="shared" si="8"/>
        <v>31.809664408365887</v>
      </c>
      <c r="G27" s="88">
        <f>15*180/4*1000/900</f>
        <v>750</v>
      </c>
      <c r="H27" s="88">
        <f>LOG(G27)/LOG(2)</f>
        <v>9.5507467853832431</v>
      </c>
      <c r="I27" s="94">
        <f t="shared" si="11"/>
        <v>22.029581202287655</v>
      </c>
      <c r="J27" s="94">
        <f t="shared" si="12"/>
        <v>22.325803889055233</v>
      </c>
      <c r="K27" s="94">
        <f t="shared" si="13"/>
        <v>22.421367777605038</v>
      </c>
      <c r="L27" s="89">
        <f t="shared" si="14"/>
        <v>22.25891762298264</v>
      </c>
    </row>
    <row r="28" spans="2:18">
      <c r="B28" s="101" t="s">
        <v>196</v>
      </c>
      <c r="C28" s="108">
        <v>16.648801803588867</v>
      </c>
      <c r="D28" s="108">
        <v>17.485513687133789</v>
      </c>
      <c r="E28" s="108">
        <v>16.725131988525391</v>
      </c>
      <c r="F28" s="108">
        <f t="shared" si="8"/>
        <v>16.953149159749348</v>
      </c>
      <c r="G28" s="88">
        <f>15*180/4*1000/1000</f>
        <v>675</v>
      </c>
      <c r="H28" s="88">
        <f t="shared" si="10"/>
        <v>9.3987436919381935</v>
      </c>
      <c r="I28" s="94">
        <f t="shared" si="11"/>
        <v>7.2500581116506737</v>
      </c>
      <c r="J28" s="94">
        <f t="shared" si="12"/>
        <v>8.0867699951955956</v>
      </c>
      <c r="K28" s="94">
        <f t="shared" si="13"/>
        <v>7.3263882965871971</v>
      </c>
      <c r="L28" s="89">
        <f t="shared" si="14"/>
        <v>7.5544054678111552</v>
      </c>
    </row>
    <row r="29" spans="2:18">
      <c r="B29" s="101" t="s">
        <v>197</v>
      </c>
      <c r="C29" s="108">
        <v>19.15205192565918</v>
      </c>
      <c r="D29" s="108">
        <v>18.957448959350586</v>
      </c>
      <c r="E29" s="108">
        <v>18.855649948120117</v>
      </c>
      <c r="F29" s="108">
        <f t="shared" si="8"/>
        <v>18.988383611043293</v>
      </c>
      <c r="G29" s="88">
        <f>15*180/4*1000/500</f>
        <v>1350</v>
      </c>
      <c r="H29" s="88">
        <f t="shared" si="10"/>
        <v>10.398743691938193</v>
      </c>
      <c r="I29" s="94">
        <f t="shared" si="11"/>
        <v>8.7533082337209862</v>
      </c>
      <c r="J29" s="94">
        <f t="shared" si="12"/>
        <v>8.5587052674123925</v>
      </c>
      <c r="K29" s="94">
        <f t="shared" si="13"/>
        <v>8.4569062561819237</v>
      </c>
      <c r="L29" s="89">
        <f t="shared" si="14"/>
        <v>8.5896399191051014</v>
      </c>
    </row>
    <row r="30" spans="2:18">
      <c r="B30" s="101" t="s">
        <v>198</v>
      </c>
      <c r="C30" s="108">
        <v>19.934587478637695</v>
      </c>
      <c r="D30" s="108">
        <v>19.768661499023438</v>
      </c>
      <c r="E30" s="108">
        <v>19.823604583740234</v>
      </c>
      <c r="F30" s="108">
        <f t="shared" si="8"/>
        <v>19.842284520467121</v>
      </c>
      <c r="G30" s="88">
        <f t="shared" ref="G30:G38" si="15">15*180/4*1000/500</f>
        <v>1350</v>
      </c>
      <c r="H30" s="88">
        <f t="shared" si="10"/>
        <v>10.398743691938193</v>
      </c>
      <c r="I30" s="94">
        <f t="shared" si="11"/>
        <v>9.5358437866995018</v>
      </c>
      <c r="J30" s="94">
        <f t="shared" si="12"/>
        <v>9.369917807085244</v>
      </c>
      <c r="K30" s="94">
        <f t="shared" si="13"/>
        <v>9.4248608918020409</v>
      </c>
      <c r="L30" s="89">
        <f t="shared" si="14"/>
        <v>9.4435408285289295</v>
      </c>
    </row>
    <row r="31" spans="2:18">
      <c r="B31" s="101" t="s">
        <v>199</v>
      </c>
      <c r="C31" s="108">
        <v>20.650510787963867</v>
      </c>
      <c r="D31" s="108">
        <v>20.447122573852539</v>
      </c>
      <c r="E31" s="108">
        <v>20.447004318237305</v>
      </c>
      <c r="F31" s="108">
        <f t="shared" si="8"/>
        <v>20.51487922668457</v>
      </c>
      <c r="G31" s="88">
        <f t="shared" si="15"/>
        <v>1350</v>
      </c>
      <c r="H31" s="88">
        <f t="shared" si="10"/>
        <v>10.398743691938193</v>
      </c>
      <c r="I31" s="94">
        <f t="shared" si="11"/>
        <v>10.251767096025674</v>
      </c>
      <c r="J31" s="94">
        <f t="shared" si="12"/>
        <v>10.048378881914346</v>
      </c>
      <c r="K31" s="94">
        <f t="shared" si="13"/>
        <v>10.048260626299111</v>
      </c>
      <c r="L31" s="89">
        <f t="shared" si="14"/>
        <v>10.116135534746377</v>
      </c>
    </row>
    <row r="32" spans="2:18">
      <c r="B32" s="101" t="s">
        <v>200</v>
      </c>
      <c r="C32" s="108">
        <v>21.825428009033203</v>
      </c>
      <c r="D32" s="108">
        <v>21.617404937744141</v>
      </c>
      <c r="E32" s="108">
        <v>21.863065719604492</v>
      </c>
      <c r="F32" s="108">
        <f t="shared" si="8"/>
        <v>21.768632888793945</v>
      </c>
      <c r="G32" s="88">
        <f t="shared" si="15"/>
        <v>1350</v>
      </c>
      <c r="H32" s="88">
        <f t="shared" si="10"/>
        <v>10.398743691938193</v>
      </c>
      <c r="I32" s="94">
        <f t="shared" si="11"/>
        <v>11.42668431709501</v>
      </c>
      <c r="J32" s="94">
        <f t="shared" si="12"/>
        <v>11.218661245805947</v>
      </c>
      <c r="K32" s="94">
        <f t="shared" si="13"/>
        <v>11.464322027666299</v>
      </c>
      <c r="L32" s="89">
        <f t="shared" si="14"/>
        <v>11.369889196855752</v>
      </c>
    </row>
    <row r="33" spans="2:12">
      <c r="B33" s="101" t="s">
        <v>201</v>
      </c>
      <c r="C33" s="108">
        <v>22.909189224243164</v>
      </c>
      <c r="D33" s="108">
        <v>22.986705780029297</v>
      </c>
      <c r="E33" s="108">
        <v>23.151363372802734</v>
      </c>
      <c r="F33" s="108">
        <f t="shared" si="8"/>
        <v>23.015752792358398</v>
      </c>
      <c r="G33" s="88">
        <f>15*180/4*1000/500</f>
        <v>1350</v>
      </c>
      <c r="H33" s="88">
        <f t="shared" si="10"/>
        <v>10.398743691938193</v>
      </c>
      <c r="I33" s="94">
        <f t="shared" si="11"/>
        <v>12.510445532304971</v>
      </c>
      <c r="J33" s="94">
        <f t="shared" si="12"/>
        <v>12.587962088091103</v>
      </c>
      <c r="K33" s="94">
        <f t="shared" si="13"/>
        <v>12.752619680864541</v>
      </c>
      <c r="L33" s="89">
        <f t="shared" si="14"/>
        <v>12.617009100420205</v>
      </c>
    </row>
    <row r="34" spans="2:12">
      <c r="B34" s="101" t="s">
        <v>202</v>
      </c>
      <c r="C34" s="108">
        <v>24.431295394897461</v>
      </c>
      <c r="D34" s="108">
        <v>24.009675979614258</v>
      </c>
      <c r="E34" s="108">
        <v>23.951196670532227</v>
      </c>
      <c r="F34" s="108">
        <f t="shared" si="8"/>
        <v>24.130722681681316</v>
      </c>
      <c r="G34" s="88">
        <f t="shared" si="15"/>
        <v>1350</v>
      </c>
      <c r="H34" s="88">
        <f t="shared" si="10"/>
        <v>10.398743691938193</v>
      </c>
      <c r="I34" s="94">
        <f t="shared" si="11"/>
        <v>14.032551702959267</v>
      </c>
      <c r="J34" s="94">
        <f t="shared" si="12"/>
        <v>13.610932287676064</v>
      </c>
      <c r="K34" s="94">
        <f t="shared" si="13"/>
        <v>13.552452978594033</v>
      </c>
      <c r="L34" s="89">
        <f t="shared" si="14"/>
        <v>13.731978989743121</v>
      </c>
    </row>
    <row r="35" spans="2:12">
      <c r="B35" s="101" t="s">
        <v>203</v>
      </c>
      <c r="C35" s="108">
        <v>25.132335662841797</v>
      </c>
      <c r="D35" s="108">
        <v>24.967596054077148</v>
      </c>
      <c r="E35" s="108">
        <v>25.03386116027832</v>
      </c>
      <c r="F35" s="108">
        <f t="shared" si="8"/>
        <v>25.044597625732422</v>
      </c>
      <c r="G35" s="88">
        <f t="shared" si="15"/>
        <v>1350</v>
      </c>
      <c r="H35" s="88">
        <f t="shared" si="10"/>
        <v>10.398743691938193</v>
      </c>
      <c r="I35" s="94">
        <f t="shared" si="11"/>
        <v>14.733591970903603</v>
      </c>
      <c r="J35" s="94">
        <f t="shared" si="12"/>
        <v>14.568852362138955</v>
      </c>
      <c r="K35" s="94">
        <f t="shared" si="13"/>
        <v>14.635117468340127</v>
      </c>
      <c r="L35" s="89">
        <f t="shared" si="14"/>
        <v>14.645853933794228</v>
      </c>
    </row>
    <row r="36" spans="2:12">
      <c r="B36" s="101" t="s">
        <v>204</v>
      </c>
      <c r="C36" s="108">
        <v>26.708147048950195</v>
      </c>
      <c r="D36" s="108">
        <v>26.763067245483398</v>
      </c>
      <c r="E36" s="108"/>
      <c r="F36" s="108">
        <f t="shared" si="8"/>
        <v>26.735607147216797</v>
      </c>
      <c r="G36" s="88">
        <f t="shared" si="15"/>
        <v>1350</v>
      </c>
      <c r="H36" s="88">
        <f t="shared" si="10"/>
        <v>10.398743691938193</v>
      </c>
      <c r="I36" s="94">
        <f t="shared" si="11"/>
        <v>16.309403357012002</v>
      </c>
      <c r="J36" s="94">
        <f t="shared" si="12"/>
        <v>16.364323553545205</v>
      </c>
      <c r="K36" s="94"/>
      <c r="L36" s="89">
        <f t="shared" si="14"/>
        <v>16.336863455278603</v>
      </c>
    </row>
    <row r="37" spans="2:12">
      <c r="B37" s="101" t="s">
        <v>205</v>
      </c>
      <c r="C37" s="108">
        <v>27.613700866699219</v>
      </c>
      <c r="D37" s="108">
        <v>27.812423706054688</v>
      </c>
      <c r="E37" s="108">
        <v>27.789873123168945</v>
      </c>
      <c r="F37" s="108">
        <f t="shared" si="8"/>
        <v>27.738665898640949</v>
      </c>
      <c r="G37" s="88">
        <f t="shared" si="15"/>
        <v>1350</v>
      </c>
      <c r="H37" s="88">
        <f t="shared" si="10"/>
        <v>10.398743691938193</v>
      </c>
      <c r="I37" s="94">
        <f t="shared" si="11"/>
        <v>17.214957174761025</v>
      </c>
      <c r="J37" s="94">
        <f t="shared" si="12"/>
        <v>17.413680014116494</v>
      </c>
      <c r="K37" s="94">
        <f t="shared" si="13"/>
        <v>17.391129431230752</v>
      </c>
      <c r="L37" s="89">
        <f t="shared" si="14"/>
        <v>17.339922206702756</v>
      </c>
    </row>
    <row r="38" spans="2:12">
      <c r="B38" s="101" t="s">
        <v>206</v>
      </c>
      <c r="C38" s="108">
        <v>29.07282829284668</v>
      </c>
      <c r="D38" s="108">
        <v>28.964012145996094</v>
      </c>
      <c r="E38" s="108">
        <v>29.311826705932617</v>
      </c>
      <c r="F38" s="108">
        <f t="shared" si="8"/>
        <v>29.116222381591797</v>
      </c>
      <c r="G38" s="88">
        <f t="shared" si="15"/>
        <v>1350</v>
      </c>
      <c r="H38" s="88">
        <f t="shared" si="10"/>
        <v>10.398743691938193</v>
      </c>
      <c r="I38" s="94">
        <f t="shared" si="11"/>
        <v>18.674084600908486</v>
      </c>
      <c r="J38" s="94">
        <f t="shared" si="12"/>
        <v>18.5652684540579</v>
      </c>
      <c r="K38" s="94">
        <f t="shared" si="13"/>
        <v>18.913083013994424</v>
      </c>
      <c r="L38" s="89">
        <f t="shared" si="14"/>
        <v>18.717478689653603</v>
      </c>
    </row>
    <row r="40" spans="2:12">
      <c r="B40" s="101" t="s">
        <v>221</v>
      </c>
      <c r="C40" s="108">
        <v>15.713388442993164</v>
      </c>
      <c r="D40" s="108">
        <v>15.726656913757324</v>
      </c>
      <c r="E40" s="108">
        <v>15.612536430358887</v>
      </c>
      <c r="F40" s="108">
        <f>AVERAGE(C40:E40)</f>
        <v>15.684193929036459</v>
      </c>
    </row>
    <row r="42" spans="2:12">
      <c r="B42" s="109" t="s">
        <v>226</v>
      </c>
      <c r="C42" s="88" t="s">
        <v>176</v>
      </c>
    </row>
    <row r="43" spans="2:12">
      <c r="B43" s="106" t="s">
        <v>227</v>
      </c>
      <c r="C43" s="88" t="s">
        <v>176</v>
      </c>
    </row>
    <row r="44" spans="2:12">
      <c r="C44" s="90" t="s">
        <v>175</v>
      </c>
      <c r="D44" s="89">
        <v>-3.6977000000000002</v>
      </c>
    </row>
    <row r="45" spans="2:12">
      <c r="C45" s="90" t="s">
        <v>174</v>
      </c>
      <c r="D45" s="89">
        <v>41.616</v>
      </c>
    </row>
    <row r="48" spans="2:12">
      <c r="B48" s="106" t="s">
        <v>217</v>
      </c>
      <c r="D48" s="88">
        <f>-1+ POWER(10,-(1/D44))</f>
        <v>0.86396769252626071</v>
      </c>
    </row>
  </sheetData>
  <mergeCells count="6">
    <mergeCell ref="P3:R3"/>
    <mergeCell ref="B1:B2"/>
    <mergeCell ref="C1:C2"/>
    <mergeCell ref="D1:G1"/>
    <mergeCell ref="H1:K1"/>
    <mergeCell ref="L1:O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74"/>
  <sheetViews>
    <sheetView workbookViewId="0">
      <selection activeCell="J13" sqref="J13"/>
    </sheetView>
  </sheetViews>
  <sheetFormatPr baseColWidth="10" defaultColWidth="8.83203125" defaultRowHeight="14" x14ac:dyDescent="0"/>
  <cols>
    <col min="1" max="1" width="13.33203125" style="88" bestFit="1" customWidth="1"/>
    <col min="2" max="4" width="8.83203125" style="88"/>
    <col min="5" max="6" width="13.33203125" style="88" bestFit="1" customWidth="1"/>
    <col min="7" max="10" width="13.6640625" style="88" customWidth="1"/>
    <col min="11" max="11" width="16.5" style="88" bestFit="1" customWidth="1"/>
    <col min="12" max="12" width="17" style="88" customWidth="1"/>
    <col min="13" max="13" width="19.1640625" style="88" customWidth="1"/>
    <col min="14" max="14" width="17" style="88" customWidth="1"/>
    <col min="15" max="15" width="18.83203125" style="88" customWidth="1"/>
    <col min="16" max="16" width="18" style="88" customWidth="1"/>
    <col min="17" max="17" width="23.5" style="88" customWidth="1"/>
    <col min="18" max="18" width="18.5" style="88" customWidth="1"/>
    <col min="19" max="19" width="23.5" style="88" customWidth="1"/>
    <col min="20" max="16384" width="8.83203125" style="88"/>
  </cols>
  <sheetData>
    <row r="1" spans="1:21">
      <c r="A1" s="102" t="s">
        <v>222</v>
      </c>
    </row>
    <row r="2" spans="1:21">
      <c r="A2" s="128" t="s">
        <v>4</v>
      </c>
      <c r="B2" s="128" t="s">
        <v>104</v>
      </c>
      <c r="C2" s="128" t="s">
        <v>104</v>
      </c>
      <c r="D2" s="128" t="s">
        <v>5</v>
      </c>
      <c r="E2" s="140" t="s">
        <v>190</v>
      </c>
      <c r="F2" s="140" t="s">
        <v>189</v>
      </c>
      <c r="G2" s="140" t="s">
        <v>188</v>
      </c>
      <c r="H2" s="142" t="s">
        <v>218</v>
      </c>
      <c r="I2" s="142" t="s">
        <v>219</v>
      </c>
      <c r="J2" s="142" t="s">
        <v>220</v>
      </c>
      <c r="K2" s="140" t="s">
        <v>187</v>
      </c>
      <c r="L2" s="140" t="s">
        <v>186</v>
      </c>
      <c r="M2" s="140" t="s">
        <v>185</v>
      </c>
      <c r="N2" s="140" t="s">
        <v>184</v>
      </c>
      <c r="O2" s="140" t="s">
        <v>183</v>
      </c>
      <c r="P2" s="142" t="s">
        <v>210</v>
      </c>
      <c r="Q2" s="142" t="s">
        <v>224</v>
      </c>
      <c r="R2" s="146" t="s">
        <v>208</v>
      </c>
      <c r="S2" s="142" t="s">
        <v>209</v>
      </c>
      <c r="U2" s="62"/>
    </row>
    <row r="3" spans="1:21">
      <c r="A3" s="129"/>
      <c r="B3" s="129"/>
      <c r="C3" s="129"/>
      <c r="D3" s="129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7"/>
      <c r="S3" s="141"/>
      <c r="U3" s="62"/>
    </row>
    <row r="4" spans="1:21">
      <c r="A4" s="40">
        <v>0</v>
      </c>
      <c r="B4" s="54">
        <v>10</v>
      </c>
      <c r="C4" s="55">
        <v>10</v>
      </c>
      <c r="D4" s="65">
        <f t="shared" ref="D4:D20" si="0">C4/60</f>
        <v>0.16666666666666666</v>
      </c>
      <c r="E4" s="108">
        <v>23.733402252197266</v>
      </c>
      <c r="F4" s="108">
        <v>23.875909805297852</v>
      </c>
      <c r="G4" s="108">
        <v>24.243967056274414</v>
      </c>
      <c r="H4" s="108">
        <f>E4-$H$58+$H$74</f>
        <v>23.463321173552309</v>
      </c>
      <c r="I4" s="108">
        <f>F4-$H$58+$H$74</f>
        <v>23.605828726652895</v>
      </c>
      <c r="J4" s="108">
        <f>G4-$H$58+$H$74</f>
        <v>23.973885977629457</v>
      </c>
      <c r="K4" s="100">
        <f>((H4-'Calibration R. intestinalis '!$D$45)/('Calibration R. intestinalis '!$D$44))+$B$24</f>
        <v>8.5623935794236363</v>
      </c>
      <c r="L4" s="100">
        <f>((I4-'Calibration R. intestinalis '!$D$45)/('Calibration R. intestinalis '!$D$44))+$B$24</f>
        <v>8.5238540675377106</v>
      </c>
      <c r="M4" s="100">
        <f>((J4-'Calibration R. intestinalis '!$D$45)/('Calibration R. intestinalis '!$D$44))+$B$24</f>
        <v>8.4243172606100085</v>
      </c>
      <c r="N4" s="112">
        <f>AVERAGE(K4:M4)</f>
        <v>8.5035216358571191</v>
      </c>
      <c r="O4" s="112">
        <f>STDEV(K4:M4)</f>
        <v>7.1248321298225031E-2</v>
      </c>
      <c r="P4" s="89">
        <f>(AVERAGE(POWER(10,K4),POWER(10,L4),POWER(10,M4)))*(Calculation!I4/Calculation!K3)</f>
        <v>321819185.28798372</v>
      </c>
      <c r="Q4" s="113">
        <f>(STDEV(POWER(10,K4),POWER(10,L4),POWER(10,M4)))*(Calculation!I4/Calculation!K3)</f>
        <v>50908988.548479639</v>
      </c>
      <c r="R4" s="112">
        <f>LOG(P4)</f>
        <v>8.5076119310505849</v>
      </c>
      <c r="S4" s="112">
        <f>O4*(Calculation!I4/Calculation!K3)</f>
        <v>7.129525695125416E-2</v>
      </c>
      <c r="U4" s="62"/>
    </row>
    <row r="5" spans="1:21">
      <c r="A5" s="40">
        <v>1</v>
      </c>
      <c r="B5" s="54">
        <v>110</v>
      </c>
      <c r="C5" s="55">
        <f>C4+B5</f>
        <v>120</v>
      </c>
      <c r="D5" s="65">
        <f t="shared" si="0"/>
        <v>2</v>
      </c>
      <c r="E5" s="115">
        <v>22.086505889892578</v>
      </c>
      <c r="F5" s="108">
        <v>22.495321273803711</v>
      </c>
      <c r="G5" s="108">
        <v>22.326055526733398</v>
      </c>
      <c r="H5" s="108">
        <f>E5-$H$58+$H$74</f>
        <v>21.816424811247622</v>
      </c>
      <c r="I5" s="108">
        <f>F5-$H$58+$H$74</f>
        <v>22.225240195158754</v>
      </c>
      <c r="J5" s="108">
        <f>G5-$H$58+$H$74</f>
        <v>22.055974448088442</v>
      </c>
      <c r="K5" s="100">
        <f>((H5-'Calibration R. intestinalis '!$D$45)/('Calibration R. intestinalis '!$D$44))+$B$24</f>
        <v>9.0077775646860108</v>
      </c>
      <c r="L5" s="100">
        <f>((I5-'Calibration R. intestinalis '!$D$45)/('Calibration R. intestinalis '!$D$44))+$B$24</f>
        <v>8.8972181942905948</v>
      </c>
      <c r="M5" s="100">
        <f>((J5-'Calibration R. intestinalis '!$D$45)/('Calibration R. intestinalis '!$D$44))+$B$24</f>
        <v>8.9429941488218745</v>
      </c>
      <c r="N5" s="112">
        <f t="shared" ref="N5:N20" si="1">AVERAGE(K5:M5)</f>
        <v>8.9493299692661594</v>
      </c>
      <c r="O5" s="112">
        <f t="shared" ref="O5:O20" si="2">STDEV(K5:M5)</f>
        <v>5.5551332667041979E-2</v>
      </c>
      <c r="P5" s="89">
        <f>(AVERAGE(POWER(10,K5),POWER(10,L5),POWER(10,M5)))*(Calculation!I5/Calculation!K4)</f>
        <v>897193487.44728112</v>
      </c>
      <c r="Q5" s="113">
        <f>(STDEV(POWER(10,K5),POWER(10,L5),POWER(10,M5)))*(Calculation!I5/Calculation!K4)</f>
        <v>115750942.19265944</v>
      </c>
      <c r="R5" s="112">
        <f>LOG(P5)</f>
        <v>8.9528861124633448</v>
      </c>
      <c r="S5" s="112">
        <f>O5*(Calculation!I5/Calculation!K4)</f>
        <v>5.5701682033828172E-2</v>
      </c>
      <c r="U5" s="62"/>
    </row>
    <row r="6" spans="1:21">
      <c r="A6" s="40">
        <v>2</v>
      </c>
      <c r="B6" s="54">
        <v>80</v>
      </c>
      <c r="C6" s="55">
        <f t="shared" ref="C6:C18" si="3">C5+B6</f>
        <v>200</v>
      </c>
      <c r="D6" s="65">
        <f t="shared" si="0"/>
        <v>3.3333333333333335</v>
      </c>
      <c r="E6" s="108">
        <v>21.203104019165039</v>
      </c>
      <c r="F6" s="108">
        <v>21.354522705078125</v>
      </c>
      <c r="G6" s="108">
        <v>21.45002555847168</v>
      </c>
      <c r="H6" s="108">
        <f>E6-$H$58+$H$74</f>
        <v>20.933022940520082</v>
      </c>
      <c r="I6" s="108">
        <f>F6-$H$58+$H$74</f>
        <v>21.084441626433168</v>
      </c>
      <c r="J6" s="108">
        <f>G6-$H$58+$H$74</f>
        <v>21.179944479826723</v>
      </c>
      <c r="K6" s="100">
        <f>((H6-'Calibration R. intestinalis '!$D$45)/('Calibration R. intestinalis '!$D$44))+$B$24</f>
        <v>9.2466833360378082</v>
      </c>
      <c r="L6" s="100">
        <f>((I6-'Calibration R. intestinalis '!$D$45)/('Calibration R. intestinalis '!$D$44))+$B$24</f>
        <v>9.2057339118246251</v>
      </c>
      <c r="M6" s="100">
        <f>((J6-'Calibration R. intestinalis '!$D$45)/('Calibration R. intestinalis '!$D$44))+$B$24</f>
        <v>9.1799062748087632</v>
      </c>
      <c r="N6" s="112">
        <f t="shared" si="1"/>
        <v>9.2107745075570673</v>
      </c>
      <c r="O6" s="112">
        <f t="shared" si="2"/>
        <v>3.3672684487583253E-2</v>
      </c>
      <c r="P6" s="89">
        <f>(AVERAGE(POWER(10,K6),POWER(10,L6),POWER(10,M6)))*(Calculation!I6/Calculation!K5)</f>
        <v>1635835568.4418778</v>
      </c>
      <c r="Q6" s="113">
        <f>(STDEV(POWER(10,K6),POWER(10,L6),POWER(10,M6)))*(Calculation!I6/Calculation!K5)</f>
        <v>127809824.38552009</v>
      </c>
      <c r="R6" s="112">
        <f t="shared" ref="R6:R20" si="4">LOG(P6)</f>
        <v>9.2137396469469675</v>
      </c>
      <c r="S6" s="112">
        <f>O6*(Calculation!I6/Calculation!K5)</f>
        <v>3.3835151430016648E-2</v>
      </c>
      <c r="U6" s="62"/>
    </row>
    <row r="7" spans="1:21">
      <c r="A7" s="40">
        <v>3</v>
      </c>
      <c r="B7" s="54">
        <v>80</v>
      </c>
      <c r="C7" s="55">
        <f>C6+B7</f>
        <v>280</v>
      </c>
      <c r="D7" s="65">
        <f t="shared" si="0"/>
        <v>4.666666666666667</v>
      </c>
      <c r="E7" s="108">
        <v>20.296037673950195</v>
      </c>
      <c r="F7" s="108">
        <v>20.549312591552734</v>
      </c>
      <c r="G7" s="108">
        <v>20.577220916748047</v>
      </c>
      <c r="H7" s="108">
        <f>E7-$H$58+$H$74</f>
        <v>20.025956595305239</v>
      </c>
      <c r="I7" s="108">
        <f>F7-$H$58+$H$74</f>
        <v>20.279231512907778</v>
      </c>
      <c r="J7" s="108">
        <f>G7-$H$58+$H$74</f>
        <v>20.30713983810309</v>
      </c>
      <c r="K7" s="100">
        <f>((H7-'Calibration R. intestinalis '!$D$45)/('Calibration R. intestinalis '!$D$44))+$B$24</f>
        <v>9.4919888895480558</v>
      </c>
      <c r="L7" s="100">
        <f>((I7-'Calibration R. intestinalis '!$D$45)/('Calibration R. intestinalis '!$D$44))+$B$24</f>
        <v>9.423493630981234</v>
      </c>
      <c r="M7" s="100">
        <f>((J7-'Calibration R. intestinalis '!$D$45)/('Calibration R. intestinalis '!$D$44))+$B$24</f>
        <v>9.4159461487097378</v>
      </c>
      <c r="N7" s="112">
        <f t="shared" si="1"/>
        <v>9.443809556413008</v>
      </c>
      <c r="O7" s="112">
        <f t="shared" si="2"/>
        <v>4.1894835339967434E-2</v>
      </c>
      <c r="P7" s="89">
        <f>(AVERAGE(POWER(10,K7),POWER(10,L7),POWER(10,M7)))*(Calculation!I7/Calculation!K6)</f>
        <v>2812997447.6942973</v>
      </c>
      <c r="Q7" s="113">
        <f>(STDEV(POWER(10,K7),POWER(10,L7),POWER(10,M7)))*(Calculation!I7/Calculation!K6)</f>
        <v>278200275.02715659</v>
      </c>
      <c r="R7" s="112">
        <f t="shared" si="4"/>
        <v>9.4491693381187076</v>
      </c>
      <c r="S7" s="112">
        <f>O7*(Calculation!I7/Calculation!K6)</f>
        <v>4.2281474220515113E-2</v>
      </c>
      <c r="U7" s="62"/>
    </row>
    <row r="8" spans="1:21">
      <c r="A8" s="40">
        <v>4</v>
      </c>
      <c r="B8" s="54">
        <v>80</v>
      </c>
      <c r="C8" s="55">
        <f t="shared" si="3"/>
        <v>360</v>
      </c>
      <c r="D8" s="65">
        <f t="shared" si="0"/>
        <v>6</v>
      </c>
      <c r="E8" s="108">
        <v>22.184299468994141</v>
      </c>
      <c r="F8" s="108">
        <v>21.337615966796875</v>
      </c>
      <c r="G8" s="108">
        <v>22.861362457275391</v>
      </c>
      <c r="H8" s="108">
        <f>E8-$H$58+$H$74</f>
        <v>21.914218390349184</v>
      </c>
      <c r="I8" s="108">
        <f>F8-$H$58+$H$74</f>
        <v>21.067534888151918</v>
      </c>
      <c r="J8" s="108">
        <f>G8-$H$58+$H$74</f>
        <v>22.591281378630434</v>
      </c>
      <c r="K8" s="100">
        <f>((H8-'Calibration R. intestinalis '!$D$45)/('Calibration R. intestinalis '!$D$44))+$B$24</f>
        <v>8.9813304275192429</v>
      </c>
      <c r="L8" s="100">
        <f>((I8-'Calibration R. intestinalis '!$D$45)/('Calibration R. intestinalis '!$D$44))+$B$24</f>
        <v>9.2103061427468873</v>
      </c>
      <c r="M8" s="100">
        <f>((J8-'Calibration R. intestinalis '!$D$45)/('Calibration R. intestinalis '!$D$44))+$B$24</f>
        <v>8.7982266093941242</v>
      </c>
      <c r="N8" s="112">
        <f t="shared" si="1"/>
        <v>8.9966210598867509</v>
      </c>
      <c r="O8" s="112">
        <f t="shared" si="2"/>
        <v>0.20646485906978573</v>
      </c>
      <c r="P8" s="89">
        <f>(AVERAGE(POWER(10,K8),POWER(10,L8),POWER(10,M8)))*(Calculation!I8/Calculation!K7)</f>
        <v>1084552770.0014515</v>
      </c>
      <c r="Q8" s="113">
        <f>(STDEV(POWER(10,K8),POWER(10,L8),POWER(10,M8)))*(Calculation!I8/Calculation!K7)</f>
        <v>513635474.43229401</v>
      </c>
      <c r="R8" s="112">
        <f t="shared" si="4"/>
        <v>9.0352506878973671</v>
      </c>
      <c r="S8" s="112">
        <f>O8*(Calculation!I8/Calculation!K7)</f>
        <v>0.20932102001975689</v>
      </c>
      <c r="U8" s="62"/>
    </row>
    <row r="9" spans="1:21">
      <c r="A9" s="40">
        <v>5</v>
      </c>
      <c r="B9" s="54">
        <v>80</v>
      </c>
      <c r="C9" s="55">
        <f t="shared" si="3"/>
        <v>440</v>
      </c>
      <c r="D9" s="65">
        <f t="shared" si="0"/>
        <v>7.333333333333333</v>
      </c>
      <c r="E9" s="108">
        <v>21.318622589111328</v>
      </c>
      <c r="F9" s="108">
        <v>22.068948745727539</v>
      </c>
      <c r="G9" s="108">
        <v>21.299531936645508</v>
      </c>
      <c r="H9" s="108">
        <f>E9-$H$58+$H$74</f>
        <v>21.048541510466372</v>
      </c>
      <c r="I9" s="108">
        <f>F9-$H$58+$H$74</f>
        <v>21.798867667082582</v>
      </c>
      <c r="J9" s="108">
        <f>G9-$H$58+$H$74</f>
        <v>21.029450858000551</v>
      </c>
      <c r="K9" s="100">
        <f>((H9-'Calibration R. intestinalis '!$D$45)/('Calibration R. intestinalis '!$D$44))+$B$24</f>
        <v>9.2154426810505754</v>
      </c>
      <c r="L9" s="100">
        <f>((I9-'Calibration R. intestinalis '!$D$45)/('Calibration R. intestinalis '!$D$44))+$B$24</f>
        <v>9.0125256903222279</v>
      </c>
      <c r="M9" s="100">
        <f>((J9-'Calibration R. intestinalis '!$D$45)/('Calibration R. intestinalis '!$D$44))+$B$24</f>
        <v>9.2206055261883151</v>
      </c>
      <c r="N9" s="112">
        <f t="shared" si="1"/>
        <v>9.1495246325203734</v>
      </c>
      <c r="O9" s="112">
        <f t="shared" si="2"/>
        <v>0.11867264370964796</v>
      </c>
      <c r="P9" s="89">
        <f>(AVERAGE(POWER(10,K9),POWER(10,L9),POWER(10,M9)))*(Calculation!I9/Calculation!K8)</f>
        <v>1469070407.3841209</v>
      </c>
      <c r="Q9" s="113">
        <f>(STDEV(POWER(10,K9),POWER(10,L9),POWER(10,M9)))*(Calculation!I9/Calculation!K8)</f>
        <v>365844967.18352246</v>
      </c>
      <c r="R9" s="112">
        <f t="shared" si="4"/>
        <v>9.1670426104979903</v>
      </c>
      <c r="S9" s="112">
        <f>O9*(Calculation!I9/Calculation!K8)</f>
        <v>0.12069326131591677</v>
      </c>
      <c r="U9" s="62"/>
    </row>
    <row r="10" spans="1:21">
      <c r="A10" s="40">
        <v>6</v>
      </c>
      <c r="B10" s="54">
        <v>80</v>
      </c>
      <c r="C10" s="55">
        <f t="shared" si="3"/>
        <v>520</v>
      </c>
      <c r="D10" s="65">
        <f t="shared" si="0"/>
        <v>8.6666666666666661</v>
      </c>
      <c r="E10" s="108">
        <v>19.942182540893555</v>
      </c>
      <c r="F10" s="108">
        <v>21.28187370300293</v>
      </c>
      <c r="G10" s="108">
        <v>20.106937408447266</v>
      </c>
      <c r="H10" s="108">
        <f>E10-$H$58+$H$74</f>
        <v>19.672101462248598</v>
      </c>
      <c r="I10" s="108">
        <f>F10-$H$58+$H$74</f>
        <v>21.011792624357973</v>
      </c>
      <c r="J10" s="108">
        <f>G10-$H$58+$H$74</f>
        <v>19.836856329802309</v>
      </c>
      <c r="K10" s="100">
        <f>((H10-'Calibration R. intestinalis '!$D$45)/('Calibration R. intestinalis '!$D$44))+$B$24</f>
        <v>9.5876848987041914</v>
      </c>
      <c r="L10" s="100">
        <f>((I10-'Calibration R. intestinalis '!$D$45)/('Calibration R. intestinalis '!$D$44))+$B$24</f>
        <v>9.2253809902991346</v>
      </c>
      <c r="M10" s="100">
        <f>((J10-'Calibration R. intestinalis '!$D$45)/('Calibration R. intestinalis '!$D$44))+$B$24</f>
        <v>9.5431288591245309</v>
      </c>
      <c r="N10" s="112">
        <f t="shared" si="1"/>
        <v>9.4520649160426178</v>
      </c>
      <c r="O10" s="112">
        <f t="shared" si="2"/>
        <v>0.19757406663986601</v>
      </c>
      <c r="P10" s="89">
        <f>(AVERAGE(POWER(10,K10),POWER(10,L10),POWER(10,M10)))*(Calculation!I10/Calculation!K9)</f>
        <v>3078056804.5558505</v>
      </c>
      <c r="Q10" s="113">
        <f>(STDEV(POWER(10,K10),POWER(10,L10),POWER(10,M10)))*(Calculation!I10/Calculation!K9)</f>
        <v>1195294790.2241764</v>
      </c>
      <c r="R10" s="112">
        <f t="shared" si="4"/>
        <v>9.4882766303354575</v>
      </c>
      <c r="S10" s="112">
        <f>O10*(Calculation!I10/Calculation!K9)</f>
        <v>0.20176231695216854</v>
      </c>
      <c r="U10" s="62"/>
    </row>
    <row r="11" spans="1:21">
      <c r="A11" s="40">
        <v>7</v>
      </c>
      <c r="B11" s="54">
        <v>80</v>
      </c>
      <c r="C11" s="55">
        <f t="shared" si="3"/>
        <v>600</v>
      </c>
      <c r="D11" s="65">
        <f t="shared" si="0"/>
        <v>10</v>
      </c>
      <c r="E11" s="108">
        <v>20.164011001586914</v>
      </c>
      <c r="F11" s="108">
        <v>20.661630630493164</v>
      </c>
      <c r="G11" s="108">
        <v>21.796838760375977</v>
      </c>
      <c r="H11" s="108">
        <f>E11-$H$58+$H$74</f>
        <v>19.893929922941957</v>
      </c>
      <c r="I11" s="108">
        <f>F11-$H$58+$H$74</f>
        <v>20.391549551848207</v>
      </c>
      <c r="J11" s="108">
        <f>G11-$H$58+$H$74</f>
        <v>21.52675768173102</v>
      </c>
      <c r="K11" s="100">
        <f>((H11-'Calibration R. intestinalis '!$D$45)/('Calibration R. intestinalis '!$D$44))+$B$24</f>
        <v>9.5276939690199658</v>
      </c>
      <c r="L11" s="100">
        <f>((I11-'Calibration R. intestinalis '!$D$45)/('Calibration R. intestinalis '!$D$44))+$B$24</f>
        <v>9.3931185224163336</v>
      </c>
      <c r="M11" s="100">
        <f>((J11-'Calibration R. intestinalis '!$D$45)/('Calibration R. intestinalis '!$D$44))+$B$24</f>
        <v>9.0861146741098704</v>
      </c>
      <c r="N11" s="112">
        <f t="shared" si="1"/>
        <v>9.3356423885153905</v>
      </c>
      <c r="O11" s="112">
        <f t="shared" si="2"/>
        <v>0.22633094772804194</v>
      </c>
      <c r="P11" s="89">
        <f>(AVERAGE(POWER(10,K11),POWER(10,L11),POWER(10,M11)))*(Calculation!I11/Calculation!K10)</f>
        <v>2416384552.0665951</v>
      </c>
      <c r="Q11" s="113">
        <f>(STDEV(POWER(10,K11),POWER(10,L11),POWER(10,M11)))*(Calculation!I11/Calculation!K10)</f>
        <v>1109064829.011025</v>
      </c>
      <c r="R11" s="112">
        <f t="shared" si="4"/>
        <v>9.3831660506240233</v>
      </c>
      <c r="S11" s="112">
        <f>O11*(Calculation!I11/Calculation!K10)</f>
        <v>0.23232223348887682</v>
      </c>
      <c r="U11" s="62"/>
    </row>
    <row r="12" spans="1:21">
      <c r="A12" s="40">
        <v>8</v>
      </c>
      <c r="B12" s="54">
        <v>80</v>
      </c>
      <c r="C12" s="55">
        <f t="shared" si="3"/>
        <v>680</v>
      </c>
      <c r="D12" s="65">
        <f t="shared" si="0"/>
        <v>11.333333333333334</v>
      </c>
      <c r="E12" s="108">
        <v>19.773805618286133</v>
      </c>
      <c r="F12" s="108">
        <v>20.116336822509766</v>
      </c>
      <c r="G12" s="108">
        <v>19.669897079467773</v>
      </c>
      <c r="H12" s="108">
        <f>E12-$H$58+$H$74</f>
        <v>19.503724539641176</v>
      </c>
      <c r="I12" s="108">
        <f>F12-$H$58+$H$74</f>
        <v>19.846255743864809</v>
      </c>
      <c r="J12" s="108">
        <f>G12-$H$58+$H$74</f>
        <v>19.399816000822817</v>
      </c>
      <c r="K12" s="100">
        <f>((H12-'Calibration R. intestinalis '!$D$45)/('Calibration R. intestinalis '!$D$44))+$B$24</f>
        <v>9.6332204809870756</v>
      </c>
      <c r="L12" s="100">
        <f>((I12-'Calibration R. intestinalis '!$D$45)/('Calibration R. intestinalis '!$D$44))+$B$24</f>
        <v>9.5405868968067384</v>
      </c>
      <c r="M12" s="100">
        <f>((J12-'Calibration R. intestinalis '!$D$45)/('Calibration R. intestinalis '!$D$44))+$B$24</f>
        <v>9.6613213379571814</v>
      </c>
      <c r="N12" s="112">
        <f t="shared" si="1"/>
        <v>9.6117095719169985</v>
      </c>
      <c r="O12" s="112">
        <f t="shared" si="2"/>
        <v>6.3176267116246188E-2</v>
      </c>
      <c r="P12" s="89">
        <f>(AVERAGE(POWER(10,K12),POWER(10,L12),POWER(10,M12)))*(Calculation!I12/Calculation!K11)</f>
        <v>4249755354.0376592</v>
      </c>
      <c r="Q12" s="113">
        <f>(STDEV(POWER(10,K12),POWER(10,L12),POWER(10,M12)))*(Calculation!I12/Calculation!K11)</f>
        <v>596125758.67651629</v>
      </c>
      <c r="R12" s="112">
        <f t="shared" si="4"/>
        <v>9.6283639297092272</v>
      </c>
      <c r="S12" s="112">
        <f>O12*(Calculation!I12/Calculation!K11)</f>
        <v>6.519541231053895E-2</v>
      </c>
      <c r="U12" s="62"/>
    </row>
    <row r="13" spans="1:21">
      <c r="A13" s="40">
        <v>9</v>
      </c>
      <c r="B13" s="54">
        <v>80</v>
      </c>
      <c r="C13" s="55">
        <f t="shared" si="3"/>
        <v>760</v>
      </c>
      <c r="D13" s="65">
        <f t="shared" si="0"/>
        <v>12.666666666666666</v>
      </c>
      <c r="E13" s="108">
        <v>18.818300247192383</v>
      </c>
      <c r="F13" s="108">
        <v>18.684598922729492</v>
      </c>
      <c r="G13" s="108">
        <v>18.961772918701172</v>
      </c>
      <c r="H13" s="108">
        <f>E13-$H$58+$H$74</f>
        <v>18.548219168547426</v>
      </c>
      <c r="I13" s="108">
        <f>F13-$H$58+$H$74</f>
        <v>18.414517844084536</v>
      </c>
      <c r="J13" s="108">
        <f>G13-$H$58+$H$74</f>
        <v>18.691691840056215</v>
      </c>
      <c r="K13" s="100">
        <f>((H13-'Calibration R. intestinalis '!$D$45)/('Calibration R. intestinalis '!$D$44))+$B$24</f>
        <v>9.8916258062145825</v>
      </c>
      <c r="L13" s="100">
        <f>((I13-'Calibration R. intestinalis '!$D$45)/('Calibration R. intestinalis '!$D$44))+$B$24</f>
        <v>9.927783775888404</v>
      </c>
      <c r="M13" s="100">
        <f>((J13-'Calibration R. intestinalis '!$D$45)/('Calibration R. intestinalis '!$D$44))+$B$24</f>
        <v>9.8528252892692407</v>
      </c>
      <c r="N13" s="112">
        <f t="shared" si="1"/>
        <v>9.8907449571240758</v>
      </c>
      <c r="O13" s="112">
        <f t="shared" si="2"/>
        <v>3.7487005753980999E-2</v>
      </c>
      <c r="P13" s="89">
        <f>(AVERAGE(POWER(10,K13),POWER(10,L13),POWER(10,M13)))*(Calculation!I13/Calculation!K12)</f>
        <v>8066769942.2973566</v>
      </c>
      <c r="Q13" s="113">
        <f>(STDEV(POWER(10,K13),POWER(10,L13),POWER(10,M13)))*(Calculation!I13/Calculation!K12)</f>
        <v>694596082.09053409</v>
      </c>
      <c r="R13" s="112">
        <f t="shared" si="4"/>
        <v>9.9066996713949926</v>
      </c>
      <c r="S13" s="112">
        <f>O13*(Calculation!I13/Calculation!K12)</f>
        <v>3.8793470916737599E-2</v>
      </c>
      <c r="U13" s="62"/>
    </row>
    <row r="14" spans="1:21">
      <c r="A14" s="40">
        <v>10</v>
      </c>
      <c r="B14" s="54">
        <v>80</v>
      </c>
      <c r="C14" s="55">
        <f t="shared" si="3"/>
        <v>840</v>
      </c>
      <c r="D14" s="65">
        <f t="shared" si="0"/>
        <v>14</v>
      </c>
      <c r="E14" s="108">
        <v>18.688980102539062</v>
      </c>
      <c r="F14" s="108">
        <v>18.925195693969727</v>
      </c>
      <c r="G14" s="108">
        <v>18.624589920043945</v>
      </c>
      <c r="H14" s="108">
        <f>E14-$H$58+$H$74</f>
        <v>18.418899023894106</v>
      </c>
      <c r="I14" s="108">
        <f>F14-$H$58+$H$74</f>
        <v>18.65511461532477</v>
      </c>
      <c r="J14" s="108">
        <f>G14-$H$58+$H$74</f>
        <v>18.354508841398989</v>
      </c>
      <c r="K14" s="100">
        <f>((H14-'Calibration R. intestinalis '!$D$45)/('Calibration R. intestinalis '!$D$44))+$B$24</f>
        <v>9.9265989367155196</v>
      </c>
      <c r="L14" s="100">
        <f>((I14-'Calibration R. intestinalis '!$D$45)/('Calibration R. intestinalis '!$D$44))+$B$24</f>
        <v>9.8627171746930031</v>
      </c>
      <c r="M14" s="100">
        <f>((J14-'Calibration R. intestinalis '!$D$45)/('Calibration R. intestinalis '!$D$44))+$B$24</f>
        <v>9.9440125133970021</v>
      </c>
      <c r="N14" s="112">
        <f t="shared" si="1"/>
        <v>9.9111095416018422</v>
      </c>
      <c r="O14" s="112">
        <f t="shared" si="2"/>
        <v>4.2803902211015786E-2</v>
      </c>
      <c r="P14" s="89">
        <f>(AVERAGE(POWER(10,K14),POWER(10,L14),POWER(10,M14)))*(Calculation!I14/Calculation!K13)</f>
        <v>8476483596.474781</v>
      </c>
      <c r="Q14" s="113">
        <f>(STDEV(POWER(10,K14),POWER(10,L14),POWER(10,M14)))*(Calculation!I14/Calculation!K13)</f>
        <v>814860528.92548549</v>
      </c>
      <c r="R14" s="112">
        <f t="shared" si="4"/>
        <v>9.9282157259162087</v>
      </c>
      <c r="S14" s="112">
        <f>O14*(Calculation!I14/Calculation!K13)</f>
        <v>4.4381929569635645E-2</v>
      </c>
      <c r="U14" s="62"/>
    </row>
    <row r="15" spans="1:21">
      <c r="A15" s="40">
        <v>11</v>
      </c>
      <c r="B15" s="54">
        <v>80</v>
      </c>
      <c r="C15" s="55">
        <f t="shared" si="3"/>
        <v>920</v>
      </c>
      <c r="D15" s="65">
        <f t="shared" si="0"/>
        <v>15.333333333333334</v>
      </c>
      <c r="E15" s="108">
        <v>18.315130233764648</v>
      </c>
      <c r="F15" s="108">
        <v>18.508382797241211</v>
      </c>
      <c r="G15" s="108">
        <v>18.557149887084961</v>
      </c>
      <c r="H15" s="108">
        <f>E15-$H$58+$H$74</f>
        <v>18.045049155119692</v>
      </c>
      <c r="I15" s="108">
        <f>F15-$H$58+$H$74</f>
        <v>18.238301718596254</v>
      </c>
      <c r="J15" s="108">
        <f>G15-$H$58+$H$74</f>
        <v>18.287068808440004</v>
      </c>
      <c r="K15" s="100">
        <f>((H15-'Calibration R. intestinalis '!$D$45)/('Calibration R. intestinalis '!$D$44))+$B$24</f>
        <v>10.027702289819995</v>
      </c>
      <c r="L15" s="100">
        <f>((I15-'Calibration R. intestinalis '!$D$45)/('Calibration R. intestinalis '!$D$44))+$B$24</f>
        <v>9.9754393795036993</v>
      </c>
      <c r="M15" s="100">
        <f>((J15-'Calibration R. intestinalis '!$D$45)/('Calibration R. intestinalis '!$D$44))+$B$24</f>
        <v>9.9622508866990511</v>
      </c>
      <c r="N15" s="112">
        <f t="shared" si="1"/>
        <v>9.9884641853409164</v>
      </c>
      <c r="O15" s="112">
        <f t="shared" si="2"/>
        <v>3.4615108232503959E-2</v>
      </c>
      <c r="P15" s="89">
        <f>(AVERAGE(POWER(10,K15),POWER(10,L15),POWER(10,M15)))*(Calculation!I15/Calculation!K14)</f>
        <v>10139235551.221148</v>
      </c>
      <c r="Q15" s="113">
        <f>(STDEV(POWER(10,K15),POWER(10,L15),POWER(10,M15)))*(Calculation!I15/Calculation!K14)</f>
        <v>822909743.52878547</v>
      </c>
      <c r="R15" s="112">
        <f t="shared" si="4"/>
        <v>10.006005212551413</v>
      </c>
      <c r="S15" s="112">
        <f>O15*(Calculation!I15/Calculation!K14)</f>
        <v>3.5964641161740432E-2</v>
      </c>
      <c r="U15" s="62"/>
    </row>
    <row r="16" spans="1:21">
      <c r="A16" s="40">
        <v>12</v>
      </c>
      <c r="B16" s="54">
        <v>80</v>
      </c>
      <c r="C16" s="55">
        <f t="shared" si="3"/>
        <v>1000</v>
      </c>
      <c r="D16" s="65">
        <f t="shared" si="0"/>
        <v>16.666666666666668</v>
      </c>
      <c r="E16" s="108">
        <v>18.408920288085938</v>
      </c>
      <c r="F16" s="108">
        <v>18.524444580078125</v>
      </c>
      <c r="G16" s="108">
        <v>18.520294189453125</v>
      </c>
      <c r="H16" s="108">
        <f>E16-$H$58+$H$74</f>
        <v>18.138839209440981</v>
      </c>
      <c r="I16" s="108">
        <f>F16-$H$58+$H$74</f>
        <v>18.254363501433168</v>
      </c>
      <c r="J16" s="108">
        <f>G16-$H$58+$H$74</f>
        <v>18.250213110808168</v>
      </c>
      <c r="K16" s="100">
        <f>((H16-'Calibration R. intestinalis '!$D$45)/('Calibration R. intestinalis '!$D$44))+$B$24</f>
        <v>10.002337859411554</v>
      </c>
      <c r="L16" s="100">
        <f>((I16-'Calibration R. intestinalis '!$D$45)/('Calibration R. intestinalis '!$D$44))+$B$24</f>
        <v>9.9710956569634952</v>
      </c>
      <c r="M16" s="100">
        <f>((J16-'Calibration R. intestinalis '!$D$45)/('Calibration R. intestinalis '!$D$44))+$B$24</f>
        <v>9.9722180818830406</v>
      </c>
      <c r="N16" s="112">
        <f t="shared" si="1"/>
        <v>9.9818838660860294</v>
      </c>
      <c r="O16" s="112">
        <f t="shared" si="2"/>
        <v>1.7722565887744502E-2</v>
      </c>
      <c r="P16" s="89">
        <f>(AVERAGE(POWER(10,K16),POWER(10,L16),POWER(10,M16)))*(Calculation!I16/Calculation!K15)</f>
        <v>10056913138.755268</v>
      </c>
      <c r="Q16" s="113">
        <f>(STDEV(POWER(10,K16),POWER(10,L16),POWER(10,M16)))*(Calculation!I16/Calculation!K15)</f>
        <v>415095461.14792657</v>
      </c>
      <c r="R16" s="112">
        <f t="shared" si="4"/>
        <v>10.002464699156652</v>
      </c>
      <c r="S16" s="112">
        <f>O16*(Calculation!I16/Calculation!K15)</f>
        <v>1.8572249516171927E-2</v>
      </c>
      <c r="U16" s="62"/>
    </row>
    <row r="17" spans="1:21">
      <c r="A17" s="40">
        <v>13</v>
      </c>
      <c r="B17" s="54">
        <v>80</v>
      </c>
      <c r="C17" s="55">
        <f t="shared" si="3"/>
        <v>1080</v>
      </c>
      <c r="D17" s="65">
        <f t="shared" si="0"/>
        <v>18</v>
      </c>
      <c r="E17" s="108">
        <v>18.289106369018555</v>
      </c>
      <c r="F17" s="108">
        <v>18.42173957824707</v>
      </c>
      <c r="G17" s="108">
        <v>18.262760162353516</v>
      </c>
      <c r="H17" s="108">
        <f>E17-$H$58+$H$74</f>
        <v>18.019025290373598</v>
      </c>
      <c r="I17" s="108">
        <f>F17-$H$58+$H$74</f>
        <v>18.151658499602114</v>
      </c>
      <c r="J17" s="108">
        <f>G17-$H$58+$H$74</f>
        <v>17.992679083708559</v>
      </c>
      <c r="K17" s="100">
        <f>((H17-'Calibration R. intestinalis '!$D$45)/('Calibration R. intestinalis '!$D$44))+$B$24</f>
        <v>10.034740141659272</v>
      </c>
      <c r="L17" s="100">
        <f>((I17-'Calibration R. intestinalis '!$D$45)/('Calibration R. intestinalis '!$D$44))+$B$24</f>
        <v>9.9988710313397444</v>
      </c>
      <c r="M17" s="100">
        <f>((J17-'Calibration R. intestinalis '!$D$45)/('Calibration R. intestinalis '!$D$44))+$B$24</f>
        <v>10.041865167125112</v>
      </c>
      <c r="N17" s="112">
        <f t="shared" si="1"/>
        <v>10.025158780041375</v>
      </c>
      <c r="O17" s="112">
        <f t="shared" si="2"/>
        <v>2.3042912051698585E-2</v>
      </c>
      <c r="P17" s="89">
        <f>(AVERAGE(POWER(10,K17),POWER(10,L17),POWER(10,M17)))*(Calculation!I17/Calculation!K16)</f>
        <v>11127355912.027931</v>
      </c>
      <c r="Q17" s="113">
        <f>(STDEV(POWER(10,K17),POWER(10,L17),POWER(10,M17)))*(Calculation!I17/Calculation!K16)</f>
        <v>582064931.57172179</v>
      </c>
      <c r="R17" s="112">
        <f t="shared" si="4"/>
        <v>10.046391979317955</v>
      </c>
      <c r="S17" s="112">
        <f>O17*(Calculation!I17/Calculation!K16)</f>
        <v>2.417501954120874E-2</v>
      </c>
      <c r="U17" s="62"/>
    </row>
    <row r="18" spans="1:21">
      <c r="A18" s="40">
        <v>14</v>
      </c>
      <c r="B18" s="54">
        <v>380</v>
      </c>
      <c r="C18" s="55">
        <f t="shared" si="3"/>
        <v>1460</v>
      </c>
      <c r="D18" s="65">
        <f t="shared" si="0"/>
        <v>24.333333333333332</v>
      </c>
      <c r="E18" s="108">
        <v>19.934289932250977</v>
      </c>
      <c r="F18" s="108">
        <v>20.04585075378418</v>
      </c>
      <c r="G18" s="108">
        <v>20.058403015136719</v>
      </c>
      <c r="H18" s="108">
        <f>E18-$H$58+$H$74</f>
        <v>19.66420885360602</v>
      </c>
      <c r="I18" s="108">
        <f>F18-$H$58+$H$74</f>
        <v>19.775769675139223</v>
      </c>
      <c r="J18" s="108">
        <f>G18-$H$58+$H$74</f>
        <v>19.788321936491762</v>
      </c>
      <c r="K18" s="100">
        <f>((H18-'Calibration R. intestinalis '!$D$45)/('Calibration R. intestinalis '!$D$44))+$B$24</f>
        <v>9.5898193630043185</v>
      </c>
      <c r="L18" s="100">
        <f>((I18-'Calibration R. intestinalis '!$D$45)/('Calibration R. intestinalis '!$D$44))+$B$24</f>
        <v>9.5596490350888015</v>
      </c>
      <c r="M18" s="100">
        <f>((J18-'Calibration R. intestinalis '!$D$45)/('Calibration R. intestinalis '!$D$44))+$B$24</f>
        <v>9.5562544218555647</v>
      </c>
      <c r="N18" s="112">
        <f t="shared" si="1"/>
        <v>9.5685742733162282</v>
      </c>
      <c r="O18" s="112">
        <f t="shared" si="2"/>
        <v>1.8476910635765533E-2</v>
      </c>
      <c r="P18" s="89">
        <f>(AVERAGE(POWER(10,K18),POWER(10,L18),POWER(10,M18)))*(Calculation!I18/Calculation!K17)</f>
        <v>3892121244.2161131</v>
      </c>
      <c r="Q18" s="113">
        <f>(STDEV(POWER(10,K18),POWER(10,L18),POWER(10,M18)))*(Calculation!I18/Calculation!K17)</f>
        <v>167495210.99023053</v>
      </c>
      <c r="R18" s="112">
        <f t="shared" si="4"/>
        <v>9.5901863605978228</v>
      </c>
      <c r="S18" s="112">
        <f>O18*(Calculation!I18/Calculation!K17)</f>
        <v>1.9407848372261834E-2</v>
      </c>
      <c r="U18" s="62"/>
    </row>
    <row r="19" spans="1:21">
      <c r="A19" s="40">
        <v>15</v>
      </c>
      <c r="B19" s="54">
        <v>350</v>
      </c>
      <c r="C19" s="55">
        <f>C18+B19</f>
        <v>1810</v>
      </c>
      <c r="D19" s="65">
        <f t="shared" si="0"/>
        <v>30.166666666666668</v>
      </c>
      <c r="E19" s="108">
        <v>20.768230438232422</v>
      </c>
      <c r="F19" s="108">
        <v>20.951288223266602</v>
      </c>
      <c r="G19" s="108">
        <v>20.740331649780273</v>
      </c>
      <c r="H19" s="108">
        <f>E19-$H$58+$H$74</f>
        <v>20.498149359587465</v>
      </c>
      <c r="I19" s="108">
        <f>F19-$H$58+$H$74</f>
        <v>20.681207144621645</v>
      </c>
      <c r="J19" s="108">
        <f>G19-$H$58+$H$74</f>
        <v>20.470250571135317</v>
      </c>
      <c r="K19" s="100">
        <f>((H19-'Calibration R. intestinalis '!$D$45)/('Calibration R. intestinalis '!$D$44))+$B$24</f>
        <v>9.3642898430374615</v>
      </c>
      <c r="L19" s="100">
        <f>((I19-'Calibration R. intestinalis '!$D$45)/('Calibration R. intestinalis '!$D$44))+$B$24</f>
        <v>9.3147839920938527</v>
      </c>
      <c r="M19" s="100">
        <f>((J19-'Calibration R. intestinalis '!$D$45)/('Calibration R. intestinalis '!$D$44))+$B$24</f>
        <v>9.3718347462075808</v>
      </c>
      <c r="N19" s="112">
        <f t="shared" si="1"/>
        <v>9.3503028604462983</v>
      </c>
      <c r="O19" s="112">
        <f t="shared" si="2"/>
        <v>3.0990706635060677E-2</v>
      </c>
      <c r="P19" s="89">
        <f>(AVERAGE(POWER(10,K19),POWER(10,L19),POWER(10,M19)))*(Calculation!I19/Calculation!K18)</f>
        <v>2357101542.6690173</v>
      </c>
      <c r="Q19" s="113">
        <f>(STDEV(POWER(10,K19),POWER(10,L19),POWER(10,M19)))*(Calculation!I19/Calculation!K18)</f>
        <v>164833421.89083317</v>
      </c>
      <c r="R19" s="112">
        <f>LOG(P19)</f>
        <v>9.3723782921004499</v>
      </c>
      <c r="S19" s="112">
        <f>O19*(Calculation!I19/Calculation!K18)</f>
        <v>3.2552137485487534E-2</v>
      </c>
      <c r="U19" s="62"/>
    </row>
    <row r="20" spans="1:21">
      <c r="A20" s="40">
        <v>16</v>
      </c>
      <c r="B20" s="54">
        <v>1070</v>
      </c>
      <c r="C20" s="55">
        <f>C19+B20</f>
        <v>2880</v>
      </c>
      <c r="D20" s="65">
        <f t="shared" si="0"/>
        <v>48</v>
      </c>
      <c r="E20" s="108">
        <v>21.731632232666016</v>
      </c>
      <c r="F20" s="108">
        <v>22.281776428222656</v>
      </c>
      <c r="G20" s="108">
        <v>22.053251266479492</v>
      </c>
      <c r="H20" s="108">
        <f>E20-$H$58+$H$74</f>
        <v>21.461551154021059</v>
      </c>
      <c r="I20" s="108">
        <f>F20-$H$58+$H$74</f>
        <v>22.0116953495777</v>
      </c>
      <c r="J20" s="108">
        <f>G20-$H$58+$H$74</f>
        <v>21.783170187834536</v>
      </c>
      <c r="K20" s="100">
        <f>((H20-'Calibration R. intestinalis '!$D$45)/('Calibration R. intestinalis '!$D$44))+$B$24</f>
        <v>9.1037490218692767</v>
      </c>
      <c r="L20" s="100">
        <f>((I20-'Calibration R. intestinalis '!$D$45)/('Calibration R. intestinalis '!$D$44))+$B$24</f>
        <v>8.9549689165182098</v>
      </c>
      <c r="M20" s="100">
        <f>((J20-'Calibration R. intestinalis '!$D$45)/('Calibration R. intestinalis '!$D$44))+$B$24</f>
        <v>9.0167708911898075</v>
      </c>
      <c r="N20" s="112">
        <f t="shared" si="1"/>
        <v>9.0251629431924325</v>
      </c>
      <c r="O20" s="112">
        <f t="shared" si="2"/>
        <v>7.4744229474118587E-2</v>
      </c>
      <c r="P20" s="89">
        <f>(AVERAGE(POWER(10,K20),POWER(10,L20),POWER(10,M20)))*(Calculation!I20/Calculation!K19)</f>
        <v>1124162233.6138902</v>
      </c>
      <c r="Q20" s="113">
        <f>(STDEV(POWER(10,K20),POWER(10,L20),POWER(10,M20)))*(Calculation!I20/Calculation!K19)</f>
        <v>195473003.00413445</v>
      </c>
      <c r="R20" s="112">
        <f t="shared" si="4"/>
        <v>9.0508289910186566</v>
      </c>
      <c r="S20" s="112">
        <f>O20*(Calculation!I20/Calculation!K19)</f>
        <v>7.8510130883421653E-2</v>
      </c>
      <c r="U20" s="62"/>
    </row>
    <row r="24" spans="1:21">
      <c r="A24" s="90" t="s">
        <v>182</v>
      </c>
      <c r="B24" s="103">
        <f>LOG(B25)</f>
        <v>3.6532125137753435</v>
      </c>
    </row>
    <row r="25" spans="1:21">
      <c r="A25" s="88" t="s">
        <v>181</v>
      </c>
      <c r="B25" s="88">
        <f>20*1800/4/2</f>
        <v>4500</v>
      </c>
    </row>
    <row r="27" spans="1:21">
      <c r="E27" s="144" t="s">
        <v>247</v>
      </c>
      <c r="F27" s="145"/>
      <c r="G27" s="145"/>
      <c r="H27" s="145"/>
    </row>
    <row r="28" spans="1:21">
      <c r="A28" s="106" t="s">
        <v>223</v>
      </c>
      <c r="B28" s="106" t="s">
        <v>228</v>
      </c>
      <c r="E28" s="108">
        <v>15.713388442993164</v>
      </c>
      <c r="F28" s="108">
        <v>15.726656913757324</v>
      </c>
      <c r="G28" s="108">
        <v>15.612536430358887</v>
      </c>
      <c r="H28" s="110">
        <f>AVERAGE(E28:G28)</f>
        <v>15.684193929036459</v>
      </c>
    </row>
    <row r="29" spans="1:21">
      <c r="A29" s="106" t="s">
        <v>223</v>
      </c>
      <c r="B29" s="106" t="s">
        <v>230</v>
      </c>
      <c r="E29" s="111">
        <v>15.18875789642334</v>
      </c>
      <c r="F29" s="110">
        <v>15.280285835266113</v>
      </c>
      <c r="G29" s="110">
        <v>15.261421203613281</v>
      </c>
      <c r="H29" s="110">
        <f t="shared" ref="H29:H43" si="5">AVERAGE(E29:G29)</f>
        <v>15.243488311767578</v>
      </c>
    </row>
    <row r="30" spans="1:21">
      <c r="A30" s="106" t="s">
        <v>223</v>
      </c>
      <c r="B30" s="106" t="s">
        <v>229</v>
      </c>
      <c r="E30" s="111">
        <v>15.903929710388184</v>
      </c>
      <c r="F30" s="110">
        <v>15.71695613861084</v>
      </c>
      <c r="G30" s="110">
        <v>15.745060920715332</v>
      </c>
      <c r="H30" s="110">
        <f t="shared" si="5"/>
        <v>15.788648923238119</v>
      </c>
    </row>
    <row r="31" spans="1:21">
      <c r="A31" s="106" t="s">
        <v>223</v>
      </c>
      <c r="B31" s="106" t="s">
        <v>232</v>
      </c>
      <c r="E31" s="111">
        <v>15.95374870300293</v>
      </c>
      <c r="F31" s="110">
        <v>15.781205177307129</v>
      </c>
      <c r="G31" s="110">
        <v>15.694306373596191</v>
      </c>
      <c r="H31" s="110">
        <f t="shared" si="5"/>
        <v>15.80975341796875</v>
      </c>
    </row>
    <row r="32" spans="1:21">
      <c r="A32" s="106" t="s">
        <v>233</v>
      </c>
      <c r="B32" s="106" t="s">
        <v>234</v>
      </c>
      <c r="E32" s="111">
        <v>15.793012619018555</v>
      </c>
      <c r="F32" s="110">
        <v>15.662893295288086</v>
      </c>
      <c r="G32" s="110">
        <v>15.729142189025879</v>
      </c>
      <c r="H32" s="110">
        <f t="shared" si="5"/>
        <v>15.728349367777506</v>
      </c>
    </row>
    <row r="33" spans="1:8">
      <c r="A33" s="106" t="s">
        <v>233</v>
      </c>
      <c r="B33" s="106" t="s">
        <v>235</v>
      </c>
      <c r="E33" s="111">
        <v>15.790358543395996</v>
      </c>
      <c r="F33" s="110">
        <v>15.747311592102051</v>
      </c>
      <c r="G33" s="110">
        <v>15.724276542663574</v>
      </c>
      <c r="H33" s="110">
        <f t="shared" si="5"/>
        <v>15.753982226053873</v>
      </c>
    </row>
    <row r="34" spans="1:8">
      <c r="A34" s="106" t="s">
        <v>233</v>
      </c>
      <c r="B34" s="106" t="s">
        <v>235</v>
      </c>
      <c r="E34" s="111">
        <v>15.449001312255859</v>
      </c>
      <c r="F34" s="110">
        <v>15.556774139404297</v>
      </c>
      <c r="G34" s="110">
        <v>15.49962043762207</v>
      </c>
      <c r="H34" s="110">
        <f t="shared" si="5"/>
        <v>15.501798629760742</v>
      </c>
    </row>
    <row r="35" spans="1:8">
      <c r="A35" s="106" t="s">
        <v>233</v>
      </c>
      <c r="B35" s="106" t="s">
        <v>236</v>
      </c>
      <c r="E35" s="111">
        <v>15.347023010253906</v>
      </c>
      <c r="F35" s="110">
        <v>15.780600547790527</v>
      </c>
      <c r="G35" s="110">
        <v>15.718053817749023</v>
      </c>
      <c r="H35" s="110">
        <f t="shared" si="5"/>
        <v>15.615225791931152</v>
      </c>
    </row>
    <row r="36" spans="1:8">
      <c r="A36" s="106" t="s">
        <v>237</v>
      </c>
      <c r="B36" s="106" t="s">
        <v>236</v>
      </c>
      <c r="E36" s="111">
        <v>15.825298309326172</v>
      </c>
      <c r="F36" s="110">
        <v>15.804603576660156</v>
      </c>
      <c r="G36" s="110">
        <v>15.760408401489258</v>
      </c>
      <c r="H36" s="110">
        <f t="shared" si="5"/>
        <v>15.796770095825195</v>
      </c>
    </row>
    <row r="37" spans="1:8">
      <c r="A37" s="106" t="s">
        <v>237</v>
      </c>
      <c r="B37" s="106" t="s">
        <v>238</v>
      </c>
      <c r="E37" s="111">
        <v>15.800871849060059</v>
      </c>
      <c r="F37" s="110">
        <v>15.699575424194336</v>
      </c>
      <c r="G37" s="110">
        <v>15.968178749084473</v>
      </c>
      <c r="H37" s="110">
        <f>AVERAGE(E37:G37)</f>
        <v>15.822875340779623</v>
      </c>
    </row>
    <row r="38" spans="1:8">
      <c r="A38" s="106" t="s">
        <v>237</v>
      </c>
      <c r="B38" s="106" t="s">
        <v>238</v>
      </c>
      <c r="E38" s="111">
        <v>15.717584609985352</v>
      </c>
      <c r="F38" s="110">
        <v>15.693602561950684</v>
      </c>
      <c r="G38" s="110">
        <v>15.63984489440918</v>
      </c>
      <c r="H38" s="110">
        <f t="shared" si="5"/>
        <v>15.683677355448404</v>
      </c>
    </row>
    <row r="39" spans="1:8">
      <c r="A39" s="106" t="s">
        <v>237</v>
      </c>
      <c r="B39" s="106" t="s">
        <v>238</v>
      </c>
      <c r="E39" s="111">
        <v>15.61665153503418</v>
      </c>
      <c r="F39" s="110">
        <v>15.740999221801758</v>
      </c>
      <c r="G39" s="110">
        <v>15.586724281311035</v>
      </c>
      <c r="H39" s="110">
        <f t="shared" si="5"/>
        <v>15.648125012715658</v>
      </c>
    </row>
    <row r="40" spans="1:8">
      <c r="A40" s="106" t="s">
        <v>240</v>
      </c>
      <c r="B40" s="106" t="s">
        <v>239</v>
      </c>
      <c r="E40" s="111">
        <v>15.755837440490723</v>
      </c>
      <c r="F40" s="110">
        <v>15.457893371582031</v>
      </c>
      <c r="G40" s="110">
        <v>15.691001892089844</v>
      </c>
      <c r="H40" s="110">
        <f t="shared" si="5"/>
        <v>15.634910901387533</v>
      </c>
    </row>
    <row r="41" spans="1:8">
      <c r="A41" s="106" t="s">
        <v>240</v>
      </c>
      <c r="B41" s="106" t="s">
        <v>239</v>
      </c>
      <c r="E41" s="111">
        <v>15.560844421386719</v>
      </c>
      <c r="F41" s="110">
        <v>15.738679885864258</v>
      </c>
      <c r="G41" s="110">
        <v>15.730792999267578</v>
      </c>
      <c r="H41" s="110">
        <f t="shared" si="5"/>
        <v>15.676772435506185</v>
      </c>
    </row>
    <row r="42" spans="1:8">
      <c r="A42" s="106" t="s">
        <v>240</v>
      </c>
      <c r="B42" s="106" t="s">
        <v>241</v>
      </c>
      <c r="E42" s="111">
        <v>15.789995193481445</v>
      </c>
      <c r="F42" s="110">
        <v>15.670146942138672</v>
      </c>
      <c r="G42" s="110">
        <v>15.804409980773926</v>
      </c>
      <c r="H42" s="110">
        <f t="shared" si="5"/>
        <v>15.754850705464682</v>
      </c>
    </row>
    <row r="43" spans="1:8">
      <c r="A43" s="106" t="s">
        <v>240</v>
      </c>
      <c r="B43" s="106" t="s">
        <v>242</v>
      </c>
      <c r="E43" s="111">
        <v>15.759750366210938</v>
      </c>
      <c r="F43" s="110">
        <v>15.668698310852051</v>
      </c>
      <c r="G43" s="110">
        <v>15.640106201171875</v>
      </c>
      <c r="H43" s="110">
        <f t="shared" si="5"/>
        <v>15.689518292744955</v>
      </c>
    </row>
    <row r="44" spans="1:8">
      <c r="A44" s="106" t="s">
        <v>244</v>
      </c>
      <c r="B44" s="106" t="s">
        <v>243</v>
      </c>
      <c r="E44" s="111">
        <v>15.258575439453125</v>
      </c>
      <c r="F44" s="110">
        <v>15.478802680969238</v>
      </c>
      <c r="G44" s="110">
        <v>15.974754333496094</v>
      </c>
      <c r="H44" s="110">
        <f t="shared" ref="H44:H69" si="6">AVERAGE(E44:G44)</f>
        <v>15.570710817972818</v>
      </c>
    </row>
    <row r="45" spans="1:8">
      <c r="A45" s="106" t="s">
        <v>244</v>
      </c>
      <c r="B45" s="106" t="s">
        <v>245</v>
      </c>
      <c r="E45" s="111">
        <v>15.35291576385498</v>
      </c>
      <c r="F45" s="110">
        <v>15.170954704284668</v>
      </c>
      <c r="G45" s="110">
        <v>15.236812591552734</v>
      </c>
      <c r="H45" s="110">
        <f t="shared" si="6"/>
        <v>15.253561019897461</v>
      </c>
    </row>
    <row r="46" spans="1:8">
      <c r="A46" s="106" t="s">
        <v>244</v>
      </c>
      <c r="B46" s="106" t="s">
        <v>246</v>
      </c>
      <c r="E46" s="111">
        <v>15.810567855834961</v>
      </c>
      <c r="F46" s="110">
        <v>15.790656089782715</v>
      </c>
      <c r="G46" s="110">
        <v>15.956247329711914</v>
      </c>
      <c r="H46" s="110">
        <f t="shared" si="6"/>
        <v>15.852490425109863</v>
      </c>
    </row>
    <row r="47" spans="1:8">
      <c r="A47" s="106" t="s">
        <v>244</v>
      </c>
      <c r="B47" s="106" t="s">
        <v>248</v>
      </c>
      <c r="E47" s="111">
        <v>15.760116577148438</v>
      </c>
      <c r="F47" s="110">
        <v>15.89314079284668</v>
      </c>
      <c r="G47" s="110">
        <v>15.903885841369629</v>
      </c>
      <c r="H47" s="110">
        <f t="shared" si="6"/>
        <v>15.852381070454916</v>
      </c>
    </row>
    <row r="48" spans="1:8">
      <c r="A48" s="106" t="s">
        <v>249</v>
      </c>
      <c r="B48" s="106" t="s">
        <v>250</v>
      </c>
      <c r="E48" s="111">
        <v>15.956473350524902</v>
      </c>
      <c r="F48" s="110">
        <v>15.595272064208984</v>
      </c>
      <c r="G48" s="110">
        <v>15.919502258300781</v>
      </c>
      <c r="H48" s="110">
        <f t="shared" si="6"/>
        <v>15.823749224344889</v>
      </c>
    </row>
    <row r="49" spans="1:8">
      <c r="A49" s="106" t="s">
        <v>249</v>
      </c>
      <c r="B49" s="106" t="s">
        <v>251</v>
      </c>
      <c r="E49" s="111">
        <v>15.711461067199707</v>
      </c>
      <c r="F49" s="110">
        <v>15.73438835144043</v>
      </c>
      <c r="G49" s="110">
        <v>15.689187049865723</v>
      </c>
      <c r="H49" s="110">
        <f t="shared" si="6"/>
        <v>15.711678822835287</v>
      </c>
    </row>
    <row r="50" spans="1:8">
      <c r="A50" s="106" t="s">
        <v>249</v>
      </c>
      <c r="B50" s="106" t="s">
        <v>252</v>
      </c>
      <c r="E50" s="111">
        <v>15.574808120727539</v>
      </c>
      <c r="F50" s="110">
        <v>15.501856803894043</v>
      </c>
      <c r="G50" s="110">
        <v>15.596255302429199</v>
      </c>
      <c r="H50" s="110">
        <f t="shared" si="6"/>
        <v>15.557640075683594</v>
      </c>
    </row>
    <row r="51" spans="1:8">
      <c r="A51" s="106" t="s">
        <v>249</v>
      </c>
      <c r="B51" s="106" t="s">
        <v>254</v>
      </c>
      <c r="E51" s="111">
        <v>15.60640811920166</v>
      </c>
      <c r="F51" s="110">
        <v>15.595258712768555</v>
      </c>
      <c r="G51" s="110">
        <v>15.58064079284668</v>
      </c>
      <c r="H51" s="110">
        <f t="shared" si="6"/>
        <v>15.594102541605631</v>
      </c>
    </row>
    <row r="52" spans="1:8">
      <c r="A52" s="106" t="s">
        <v>253</v>
      </c>
      <c r="B52" s="106" t="s">
        <v>255</v>
      </c>
      <c r="E52" s="111">
        <v>15.40764331817627</v>
      </c>
      <c r="F52" s="110">
        <v>15.702505111694336</v>
      </c>
      <c r="G52" s="110">
        <v>15.805522918701172</v>
      </c>
      <c r="H52" s="110">
        <f t="shared" si="6"/>
        <v>15.638557116190592</v>
      </c>
    </row>
    <row r="53" spans="1:8">
      <c r="A53" s="62" t="s">
        <v>253</v>
      </c>
      <c r="B53" s="62" t="s">
        <v>256</v>
      </c>
      <c r="C53" s="62"/>
      <c r="D53" s="62"/>
      <c r="E53" s="111">
        <v>15.5</v>
      </c>
      <c r="F53" s="110">
        <v>15.5</v>
      </c>
      <c r="G53" s="110">
        <v>15.4</v>
      </c>
      <c r="H53" s="110">
        <f t="shared" si="6"/>
        <v>15.466666666666667</v>
      </c>
    </row>
    <row r="54" spans="1:8">
      <c r="A54" s="62" t="s">
        <v>253</v>
      </c>
      <c r="B54" s="62" t="s">
        <v>256</v>
      </c>
      <c r="C54" s="62"/>
      <c r="D54" s="62"/>
      <c r="E54" s="116">
        <v>15.8</v>
      </c>
      <c r="F54" s="117">
        <v>15.4</v>
      </c>
      <c r="G54" s="117">
        <v>15.4</v>
      </c>
      <c r="H54" s="110">
        <f t="shared" si="6"/>
        <v>15.533333333333333</v>
      </c>
    </row>
    <row r="55" spans="1:8">
      <c r="A55" s="62" t="s">
        <v>253</v>
      </c>
      <c r="B55" s="62" t="s">
        <v>257</v>
      </c>
      <c r="C55" s="62"/>
      <c r="D55" s="62"/>
      <c r="E55" s="116">
        <v>15.6</v>
      </c>
      <c r="F55" s="117">
        <v>15.5</v>
      </c>
      <c r="G55" s="117">
        <v>15.6</v>
      </c>
      <c r="H55" s="110">
        <f t="shared" si="6"/>
        <v>15.566666666666668</v>
      </c>
    </row>
    <row r="56" spans="1:8">
      <c r="A56" s="62" t="s">
        <v>258</v>
      </c>
      <c r="B56" s="62" t="s">
        <v>259</v>
      </c>
      <c r="C56" s="62"/>
      <c r="D56" s="62"/>
      <c r="E56" s="116">
        <v>15.6</v>
      </c>
      <c r="F56" s="117">
        <v>15.6</v>
      </c>
      <c r="G56" s="117">
        <v>15.8</v>
      </c>
      <c r="H56" s="110">
        <f t="shared" si="6"/>
        <v>15.666666666666666</v>
      </c>
    </row>
    <row r="57" spans="1:8">
      <c r="A57" s="62" t="s">
        <v>258</v>
      </c>
      <c r="B57" s="62" t="s">
        <v>259</v>
      </c>
      <c r="C57" s="62"/>
      <c r="D57" s="62"/>
      <c r="E57" s="116">
        <v>15.577789306640625</v>
      </c>
      <c r="F57" s="117">
        <v>15.603015899658203</v>
      </c>
      <c r="G57" s="117">
        <v>15.626909255981445</v>
      </c>
      <c r="H57" s="110">
        <f t="shared" si="6"/>
        <v>15.602571487426758</v>
      </c>
    </row>
    <row r="58" spans="1:8">
      <c r="A58" s="106" t="s">
        <v>258</v>
      </c>
      <c r="B58" s="106" t="s">
        <v>260</v>
      </c>
      <c r="E58" s="116">
        <v>15.925136566162109</v>
      </c>
      <c r="F58" s="117"/>
      <c r="G58" s="117">
        <v>15.940312385559082</v>
      </c>
      <c r="H58" s="110">
        <f t="shared" si="6"/>
        <v>15.932724475860596</v>
      </c>
    </row>
    <row r="59" spans="1:8">
      <c r="A59" s="106" t="s">
        <v>258</v>
      </c>
      <c r="B59" s="106" t="s">
        <v>260</v>
      </c>
      <c r="E59" s="111">
        <v>15.2</v>
      </c>
      <c r="F59" s="110">
        <v>15.3</v>
      </c>
      <c r="G59" s="110">
        <v>15.4</v>
      </c>
      <c r="H59" s="110">
        <f t="shared" si="6"/>
        <v>15.299999999999999</v>
      </c>
    </row>
    <row r="60" spans="1:8">
      <c r="A60" s="106" t="s">
        <v>261</v>
      </c>
      <c r="B60" s="106" t="s">
        <v>262</v>
      </c>
      <c r="E60" s="111">
        <v>15.989936828613281</v>
      </c>
      <c r="F60" s="110">
        <v>15.856328964233398</v>
      </c>
      <c r="G60" s="110">
        <v>15.836997985839844</v>
      </c>
      <c r="H60" s="110">
        <f t="shared" si="6"/>
        <v>15.894421259562174</v>
      </c>
    </row>
    <row r="61" spans="1:8">
      <c r="A61" s="106" t="s">
        <v>261</v>
      </c>
      <c r="B61" s="106" t="s">
        <v>263</v>
      </c>
      <c r="E61" s="111">
        <v>15.699069023132324</v>
      </c>
      <c r="F61" s="110">
        <v>15.817172050476074</v>
      </c>
      <c r="G61" s="110">
        <v>16.075807571411133</v>
      </c>
      <c r="H61" s="110">
        <f t="shared" si="6"/>
        <v>15.86401621500651</v>
      </c>
    </row>
    <row r="62" spans="1:8">
      <c r="A62" s="106" t="s">
        <v>261</v>
      </c>
      <c r="B62" s="106" t="s">
        <v>264</v>
      </c>
      <c r="E62" s="111">
        <v>14.193151473999023</v>
      </c>
      <c r="F62" s="110">
        <v>14.592436790466309</v>
      </c>
      <c r="G62" s="110">
        <v>14.826726913452148</v>
      </c>
      <c r="H62" s="110">
        <f t="shared" si="6"/>
        <v>14.53743839263916</v>
      </c>
    </row>
    <row r="63" spans="1:8">
      <c r="A63" s="106" t="s">
        <v>265</v>
      </c>
      <c r="B63" s="106" t="s">
        <v>264</v>
      </c>
      <c r="E63" s="111">
        <v>15.753643035888672</v>
      </c>
      <c r="F63" s="110">
        <v>15.53950309753418</v>
      </c>
      <c r="G63" s="110">
        <v>16.160148620605469</v>
      </c>
      <c r="H63" s="110">
        <f t="shared" si="6"/>
        <v>15.81776491800944</v>
      </c>
    </row>
    <row r="64" spans="1:8">
      <c r="A64" s="106" t="s">
        <v>265</v>
      </c>
      <c r="B64" s="106" t="s">
        <v>266</v>
      </c>
      <c r="E64" s="111">
        <v>16.152790069580078</v>
      </c>
      <c r="F64" s="110">
        <v>15.918967247009277</v>
      </c>
      <c r="G64" s="110">
        <v>16.004350662231445</v>
      </c>
      <c r="H64" s="110">
        <f t="shared" si="6"/>
        <v>16.025369326273601</v>
      </c>
    </row>
    <row r="65" spans="1:8">
      <c r="A65" s="106" t="s">
        <v>265</v>
      </c>
      <c r="B65" s="106" t="s">
        <v>267</v>
      </c>
      <c r="E65" s="111">
        <v>15.725796699523926</v>
      </c>
      <c r="F65" s="110">
        <v>15.72511100769043</v>
      </c>
      <c r="G65" s="110">
        <v>15.700724601745605</v>
      </c>
      <c r="H65" s="110">
        <f t="shared" si="6"/>
        <v>15.71721076965332</v>
      </c>
    </row>
    <row r="66" spans="1:8">
      <c r="A66" s="106" t="s">
        <v>265</v>
      </c>
      <c r="B66" s="106" t="s">
        <v>268</v>
      </c>
      <c r="E66" s="111">
        <v>15.868610382080078</v>
      </c>
      <c r="F66" s="110">
        <v>15.950244903564453</v>
      </c>
      <c r="G66" s="110">
        <v>15.73750114440918</v>
      </c>
      <c r="H66" s="110">
        <f t="shared" si="6"/>
        <v>15.852118810017904</v>
      </c>
    </row>
    <row r="67" spans="1:8">
      <c r="A67" s="106" t="s">
        <v>265</v>
      </c>
      <c r="B67" s="106" t="s">
        <v>268</v>
      </c>
      <c r="E67" s="111">
        <v>15.411773681640625</v>
      </c>
      <c r="F67" s="110">
        <v>15.347482681274414</v>
      </c>
      <c r="G67" s="110">
        <v>15.357060432434082</v>
      </c>
      <c r="H67" s="110">
        <f t="shared" si="6"/>
        <v>15.372105598449707</v>
      </c>
    </row>
    <row r="68" spans="1:8">
      <c r="A68" s="106" t="s">
        <v>223</v>
      </c>
      <c r="B68" s="106" t="s">
        <v>269</v>
      </c>
      <c r="E68" s="111">
        <v>15.701089859008789</v>
      </c>
      <c r="F68" s="110">
        <v>15.69521427154541</v>
      </c>
      <c r="G68" s="110">
        <v>15.858868598937988</v>
      </c>
      <c r="H68" s="110">
        <f t="shared" si="6"/>
        <v>15.751724243164062</v>
      </c>
    </row>
    <row r="69" spans="1:8">
      <c r="A69" s="106" t="s">
        <v>223</v>
      </c>
      <c r="B69" s="106" t="s">
        <v>270</v>
      </c>
      <c r="E69" s="111">
        <v>15.664003372192383</v>
      </c>
      <c r="F69" s="110">
        <v>15.706714630126953</v>
      </c>
      <c r="G69" s="110">
        <v>15.883712768554688</v>
      </c>
      <c r="H69" s="110">
        <f t="shared" si="6"/>
        <v>15.751476923624674</v>
      </c>
    </row>
    <row r="70" spans="1:8">
      <c r="A70" s="106" t="s">
        <v>223</v>
      </c>
      <c r="B70" s="106" t="s">
        <v>270</v>
      </c>
      <c r="E70" s="111">
        <v>15.815454483032227</v>
      </c>
      <c r="F70" s="110">
        <v>15.873584747314453</v>
      </c>
      <c r="G70" s="110">
        <v>15.955685615539551</v>
      </c>
      <c r="H70" s="110">
        <f>AVERAGE(E70:G70)</f>
        <v>15.881574948628744</v>
      </c>
    </row>
    <row r="71" spans="1:8">
      <c r="A71" s="106" t="s">
        <v>223</v>
      </c>
      <c r="B71" s="106" t="s">
        <v>271</v>
      </c>
      <c r="E71" s="111">
        <v>15.894612312316895</v>
      </c>
      <c r="F71" s="110">
        <v>15.946266174316406</v>
      </c>
      <c r="G71" s="110">
        <v>15.963062286376953</v>
      </c>
      <c r="H71" s="110">
        <f>AVERAGE(E71:G71)</f>
        <v>15.934646924336752</v>
      </c>
    </row>
    <row r="72" spans="1:8">
      <c r="A72" s="106"/>
      <c r="B72" s="106"/>
      <c r="E72"/>
    </row>
    <row r="73" spans="1:8">
      <c r="A73" s="106"/>
      <c r="B73" s="106"/>
      <c r="E73"/>
    </row>
    <row r="74" spans="1:8">
      <c r="F74" s="106" t="s">
        <v>225</v>
      </c>
      <c r="H74" s="114">
        <f>AVERAGE(H28:H71)</f>
        <v>15.662643397215641</v>
      </c>
    </row>
  </sheetData>
  <mergeCells count="20">
    <mergeCell ref="A2:A3"/>
    <mergeCell ref="B2:B3"/>
    <mergeCell ref="C2:C3"/>
    <mergeCell ref="D2:D3"/>
    <mergeCell ref="E2:E3"/>
    <mergeCell ref="E27:H27"/>
    <mergeCell ref="R2:R3"/>
    <mergeCell ref="S2:S3"/>
    <mergeCell ref="H2:H3"/>
    <mergeCell ref="I2:I3"/>
    <mergeCell ref="J2:J3"/>
    <mergeCell ref="O2:O3"/>
    <mergeCell ref="N2:N3"/>
    <mergeCell ref="Q2:Q3"/>
    <mergeCell ref="F2:F3"/>
    <mergeCell ref="G2:G3"/>
    <mergeCell ref="K2:K3"/>
    <mergeCell ref="L2:L3"/>
    <mergeCell ref="M2:M3"/>
    <mergeCell ref="P2:P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4" sqref="A4:D20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28" t="s">
        <v>4</v>
      </c>
      <c r="B1" s="128" t="s">
        <v>104</v>
      </c>
      <c r="C1" s="128" t="s">
        <v>104</v>
      </c>
      <c r="D1" s="128" t="s">
        <v>5</v>
      </c>
      <c r="E1" s="128" t="s">
        <v>19</v>
      </c>
      <c r="F1" s="128" t="s">
        <v>24</v>
      </c>
      <c r="G1" s="124" t="s">
        <v>25</v>
      </c>
      <c r="H1" s="121" t="s">
        <v>26</v>
      </c>
      <c r="I1" s="4" t="s">
        <v>27</v>
      </c>
      <c r="J1" s="56" t="s">
        <v>27</v>
      </c>
    </row>
    <row r="2" spans="1:10">
      <c r="A2" s="129"/>
      <c r="B2" s="129"/>
      <c r="C2" s="129"/>
      <c r="D2" s="129"/>
      <c r="E2" s="129"/>
      <c r="F2" s="129"/>
      <c r="G2" s="124"/>
      <c r="H2" s="121"/>
      <c r="I2" s="5" t="s">
        <v>28</v>
      </c>
      <c r="J2" s="57" t="s">
        <v>23</v>
      </c>
    </row>
    <row r="3" spans="1:10">
      <c r="A3" s="52" t="s">
        <v>6</v>
      </c>
      <c r="B3" s="52">
        <v>-10</v>
      </c>
      <c r="C3" s="53">
        <v>-10</v>
      </c>
      <c r="D3" s="65">
        <f>C3/60</f>
        <v>-0.16666666666666666</v>
      </c>
      <c r="E3" s="40">
        <v>1</v>
      </c>
      <c r="F3" s="50">
        <v>0.108</v>
      </c>
      <c r="G3" s="50">
        <v>0.108</v>
      </c>
      <c r="H3" s="50">
        <v>0.108</v>
      </c>
      <c r="I3" s="51">
        <f>E3*(AVERAGE(F3:H3)*1.6007-0.0118)</f>
        <v>0.16107559999999999</v>
      </c>
      <c r="J3" s="58">
        <f>E3*(STDEV(F3:H3)*1.6007)</f>
        <v>0</v>
      </c>
    </row>
    <row r="4" spans="1:10">
      <c r="A4" s="40">
        <v>0</v>
      </c>
      <c r="B4" s="54">
        <v>10</v>
      </c>
      <c r="C4" s="55">
        <v>10</v>
      </c>
      <c r="D4" s="65">
        <f t="shared" ref="D4:D20" si="0">C4/60</f>
        <v>0.16666666666666666</v>
      </c>
      <c r="E4" s="40">
        <v>1</v>
      </c>
      <c r="F4" s="50">
        <v>0.22900000000000001</v>
      </c>
      <c r="G4" s="50">
        <v>0.22900000000000001</v>
      </c>
      <c r="H4" s="50">
        <v>0.22900000000000001</v>
      </c>
      <c r="I4" s="51">
        <f>E4*(AVERAGE(F4:H4)*1.6007-0.0118)</f>
        <v>0.35476030000000003</v>
      </c>
      <c r="J4" s="58">
        <f t="shared" ref="J4:J19" si="1">E4*(STDEV(F4:H4)*1.6007)</f>
        <v>0</v>
      </c>
    </row>
    <row r="5" spans="1:10">
      <c r="A5" s="40">
        <v>1</v>
      </c>
      <c r="B5" s="54">
        <v>110</v>
      </c>
      <c r="C5" s="55">
        <f>C4+B5</f>
        <v>120</v>
      </c>
      <c r="D5" s="65">
        <f t="shared" si="0"/>
        <v>2</v>
      </c>
      <c r="E5" s="40">
        <v>2</v>
      </c>
      <c r="F5" s="50">
        <v>0.23599999999999999</v>
      </c>
      <c r="G5" s="50">
        <v>0.23300000000000001</v>
      </c>
      <c r="H5" s="50">
        <v>0.24199999999999999</v>
      </c>
      <c r="I5" s="51">
        <f t="shared" ref="I5:I19" si="2">E5*(AVERAGE(F5:H5)*1.6007-0.0118)</f>
        <v>0.7351318</v>
      </c>
      <c r="J5" s="58">
        <f t="shared" si="1"/>
        <v>1.4670657829831599E-2</v>
      </c>
    </row>
    <row r="6" spans="1:10">
      <c r="A6" s="40">
        <v>2</v>
      </c>
      <c r="B6" s="54">
        <v>80</v>
      </c>
      <c r="C6" s="55">
        <f t="shared" ref="C6:C18" si="3">C5+B6</f>
        <v>200</v>
      </c>
      <c r="D6" s="65">
        <f t="shared" si="0"/>
        <v>3.3333333333333335</v>
      </c>
      <c r="E6" s="40">
        <v>10</v>
      </c>
      <c r="F6" s="50">
        <v>7.9000000000000001E-2</v>
      </c>
      <c r="G6" s="50">
        <v>8.3000000000000004E-2</v>
      </c>
      <c r="H6" s="50">
        <v>8.3000000000000004E-2</v>
      </c>
      <c r="I6" s="51">
        <f t="shared" si="2"/>
        <v>1.1892383333333334</v>
      </c>
      <c r="J6" s="58">
        <f t="shared" si="1"/>
        <v>3.6966583035673392E-2</v>
      </c>
    </row>
    <row r="7" spans="1:10">
      <c r="A7" s="40">
        <v>3</v>
      </c>
      <c r="B7" s="54">
        <v>80</v>
      </c>
      <c r="C7" s="55">
        <f>C6+B7</f>
        <v>280</v>
      </c>
      <c r="D7" s="65">
        <f t="shared" si="0"/>
        <v>4.666666666666667</v>
      </c>
      <c r="E7" s="40">
        <v>10</v>
      </c>
      <c r="F7" s="50">
        <v>0.151</v>
      </c>
      <c r="G7" s="50">
        <v>0.153</v>
      </c>
      <c r="H7" s="50">
        <v>0.14699999999999999</v>
      </c>
      <c r="I7" s="51">
        <f t="shared" si="2"/>
        <v>2.2883856666666662</v>
      </c>
      <c r="J7" s="58">
        <f t="shared" si="1"/>
        <v>4.8902192766105468E-2</v>
      </c>
    </row>
    <row r="8" spans="1:10">
      <c r="A8" s="40">
        <v>4</v>
      </c>
      <c r="B8" s="54">
        <v>80</v>
      </c>
      <c r="C8" s="55">
        <f t="shared" si="3"/>
        <v>360</v>
      </c>
      <c r="D8" s="65">
        <f t="shared" si="0"/>
        <v>6</v>
      </c>
      <c r="E8" s="40">
        <v>20</v>
      </c>
      <c r="F8" s="50">
        <v>9.7000000000000003E-2</v>
      </c>
      <c r="G8" s="50">
        <v>0.10299999999999999</v>
      </c>
      <c r="H8" s="50">
        <v>0.10100000000000001</v>
      </c>
      <c r="I8" s="51">
        <f t="shared" si="2"/>
        <v>2.976071333333334</v>
      </c>
      <c r="J8" s="58">
        <f t="shared" si="1"/>
        <v>9.7804385532210714E-2</v>
      </c>
    </row>
    <row r="9" spans="1:10">
      <c r="A9" s="40">
        <v>5</v>
      </c>
      <c r="B9" s="54">
        <v>80</v>
      </c>
      <c r="C9" s="55">
        <f t="shared" si="3"/>
        <v>440</v>
      </c>
      <c r="D9" s="65">
        <f t="shared" si="0"/>
        <v>7.333333333333333</v>
      </c>
      <c r="E9" s="40">
        <v>20</v>
      </c>
      <c r="F9" s="50">
        <v>0.11899999999999999</v>
      </c>
      <c r="G9" s="50">
        <v>0.122</v>
      </c>
      <c r="H9" s="50">
        <v>0.12</v>
      </c>
      <c r="I9" s="51">
        <f t="shared" si="2"/>
        <v>3.6163513333333333</v>
      </c>
      <c r="J9" s="58">
        <f t="shared" si="1"/>
        <v>4.8902192766105468E-2</v>
      </c>
    </row>
    <row r="10" spans="1:10">
      <c r="A10" s="40">
        <v>6</v>
      </c>
      <c r="B10" s="54">
        <v>80</v>
      </c>
      <c r="C10" s="55">
        <f t="shared" si="3"/>
        <v>520</v>
      </c>
      <c r="D10" s="65">
        <f t="shared" si="0"/>
        <v>8.6666666666666661</v>
      </c>
      <c r="E10" s="40">
        <v>20</v>
      </c>
      <c r="F10" s="50">
        <v>0.15</v>
      </c>
      <c r="G10" s="50">
        <v>0.159</v>
      </c>
      <c r="H10" s="50">
        <v>0.16</v>
      </c>
      <c r="I10" s="51">
        <f t="shared" si="2"/>
        <v>4.7688553333333337</v>
      </c>
      <c r="J10" s="58">
        <f t="shared" si="1"/>
        <v>0.17631936350081742</v>
      </c>
    </row>
    <row r="11" spans="1:10">
      <c r="A11" s="40">
        <v>7</v>
      </c>
      <c r="B11" s="54">
        <v>80</v>
      </c>
      <c r="C11" s="55">
        <f t="shared" si="3"/>
        <v>600</v>
      </c>
      <c r="D11" s="65">
        <f t="shared" si="0"/>
        <v>10</v>
      </c>
      <c r="E11" s="40">
        <v>20</v>
      </c>
      <c r="F11" s="50">
        <v>0.17299999999999999</v>
      </c>
      <c r="G11" s="50">
        <v>0.185</v>
      </c>
      <c r="H11" s="50">
        <v>0.17399999999999999</v>
      </c>
      <c r="I11" s="51">
        <f t="shared" si="2"/>
        <v>5.4411493333333336</v>
      </c>
      <c r="J11" s="58">
        <f t="shared" si="1"/>
        <v>0.21315971638499948</v>
      </c>
    </row>
    <row r="12" spans="1:10">
      <c r="A12" s="40">
        <v>8</v>
      </c>
      <c r="B12" s="54">
        <v>80</v>
      </c>
      <c r="C12" s="55">
        <f t="shared" si="3"/>
        <v>680</v>
      </c>
      <c r="D12" s="65">
        <f t="shared" si="0"/>
        <v>11.333333333333334</v>
      </c>
      <c r="E12" s="40">
        <v>20</v>
      </c>
      <c r="F12" s="50">
        <v>0.217</v>
      </c>
      <c r="G12" s="50">
        <v>0.20499999999999999</v>
      </c>
      <c r="H12" s="50">
        <v>0.214</v>
      </c>
      <c r="I12" s="51">
        <f t="shared" si="2"/>
        <v>6.5509680000000001</v>
      </c>
      <c r="J12" s="58">
        <f t="shared" si="1"/>
        <v>0.19992736592072649</v>
      </c>
    </row>
    <row r="13" spans="1:10">
      <c r="A13" s="40">
        <v>9</v>
      </c>
      <c r="B13" s="54">
        <v>80</v>
      </c>
      <c r="C13" s="55">
        <f t="shared" si="3"/>
        <v>760</v>
      </c>
      <c r="D13" s="65">
        <f t="shared" si="0"/>
        <v>12.666666666666666</v>
      </c>
      <c r="E13" s="40">
        <v>20</v>
      </c>
      <c r="F13" s="50">
        <v>0.23799999999999999</v>
      </c>
      <c r="G13" s="50">
        <v>0.24199999999999999</v>
      </c>
      <c r="H13" s="50">
        <v>0.245</v>
      </c>
      <c r="I13" s="51">
        <f t="shared" si="2"/>
        <v>7.5007166666666674</v>
      </c>
      <c r="J13" s="58">
        <f t="shared" si="1"/>
        <v>0.11242947308127597</v>
      </c>
    </row>
    <row r="14" spans="1:10">
      <c r="A14" s="40">
        <v>10</v>
      </c>
      <c r="B14" s="54">
        <v>80</v>
      </c>
      <c r="C14" s="55">
        <f t="shared" si="3"/>
        <v>840</v>
      </c>
      <c r="D14" s="65">
        <f t="shared" si="0"/>
        <v>14</v>
      </c>
      <c r="E14" s="40">
        <v>20</v>
      </c>
      <c r="F14" s="50">
        <v>0.29499999999999998</v>
      </c>
      <c r="G14" s="50">
        <v>0.26600000000000001</v>
      </c>
      <c r="H14" s="50">
        <v>0.27200000000000002</v>
      </c>
      <c r="I14" s="51">
        <f t="shared" si="2"/>
        <v>8.6532206666666678</v>
      </c>
      <c r="J14" s="58">
        <f t="shared" si="1"/>
        <v>0.49006871143680736</v>
      </c>
    </row>
    <row r="15" spans="1:10">
      <c r="A15" s="40">
        <v>11</v>
      </c>
      <c r="B15" s="54">
        <v>80</v>
      </c>
      <c r="C15" s="55">
        <f t="shared" si="3"/>
        <v>920</v>
      </c>
      <c r="D15" s="65">
        <f t="shared" si="0"/>
        <v>15.333333333333334</v>
      </c>
      <c r="E15" s="40">
        <v>20</v>
      </c>
      <c r="F15" s="50">
        <v>0.31900000000000001</v>
      </c>
      <c r="G15" s="50">
        <v>0.27100000000000002</v>
      </c>
      <c r="H15" s="50">
        <v>0.28399999999999997</v>
      </c>
      <c r="I15" s="51">
        <f t="shared" si="2"/>
        <v>9.0907453333333361</v>
      </c>
      <c r="J15" s="58">
        <f t="shared" si="1"/>
        <v>0.79478153526697726</v>
      </c>
    </row>
    <row r="16" spans="1:10">
      <c r="A16" s="40">
        <v>12</v>
      </c>
      <c r="B16" s="54">
        <v>80</v>
      </c>
      <c r="C16" s="55">
        <f t="shared" si="3"/>
        <v>1000</v>
      </c>
      <c r="D16" s="65">
        <f t="shared" si="0"/>
        <v>16.666666666666668</v>
      </c>
      <c r="E16" s="40">
        <v>20</v>
      </c>
      <c r="F16" s="50">
        <v>0.24199999999999999</v>
      </c>
      <c r="G16" s="50">
        <v>0.248</v>
      </c>
      <c r="H16" s="50">
        <v>0.247</v>
      </c>
      <c r="I16" s="51">
        <f t="shared" si="2"/>
        <v>7.6287726666666682</v>
      </c>
      <c r="J16" s="58">
        <f t="shared" si="1"/>
        <v>0.10291061182080959</v>
      </c>
    </row>
    <row r="17" spans="1:10">
      <c r="A17" s="40">
        <v>13</v>
      </c>
      <c r="B17" s="54">
        <v>80</v>
      </c>
      <c r="C17" s="55">
        <f t="shared" si="3"/>
        <v>1080</v>
      </c>
      <c r="D17" s="65">
        <f t="shared" si="0"/>
        <v>18</v>
      </c>
      <c r="E17" s="40">
        <v>20</v>
      </c>
      <c r="F17" s="50">
        <v>0.221</v>
      </c>
      <c r="G17" s="50">
        <v>0.22500000000000001</v>
      </c>
      <c r="H17" s="50">
        <v>0.23499999999999999</v>
      </c>
      <c r="I17" s="51">
        <f t="shared" si="2"/>
        <v>7.0311780000000015</v>
      </c>
      <c r="J17" s="58">
        <f t="shared" si="1"/>
        <v>0.230856237065408</v>
      </c>
    </row>
    <row r="18" spans="1:10">
      <c r="A18" s="40">
        <v>14</v>
      </c>
      <c r="B18" s="54">
        <v>380</v>
      </c>
      <c r="C18" s="55">
        <f t="shared" si="3"/>
        <v>1460</v>
      </c>
      <c r="D18" s="65">
        <f t="shared" si="0"/>
        <v>24.333333333333332</v>
      </c>
      <c r="E18" s="40">
        <v>20</v>
      </c>
      <c r="F18" s="50">
        <v>0.09</v>
      </c>
      <c r="G18" s="50">
        <v>9.5000000000000001E-2</v>
      </c>
      <c r="H18" s="50">
        <v>9.2999999999999999E-2</v>
      </c>
      <c r="I18" s="51">
        <f t="shared" si="2"/>
        <v>2.7306306666666669</v>
      </c>
      <c r="J18" s="58">
        <f t="shared" si="1"/>
        <v>8.0566799870252656E-2</v>
      </c>
    </row>
    <row r="19" spans="1:10">
      <c r="A19" s="40">
        <v>15</v>
      </c>
      <c r="B19" s="54">
        <v>350</v>
      </c>
      <c r="C19" s="55">
        <f>C18+B19</f>
        <v>1810</v>
      </c>
      <c r="D19" s="65">
        <f t="shared" si="0"/>
        <v>30.166666666666668</v>
      </c>
      <c r="E19" s="40">
        <v>20</v>
      </c>
      <c r="F19" s="50">
        <v>9.6000000000000002E-2</v>
      </c>
      <c r="G19" s="50">
        <v>0.10199999999999999</v>
      </c>
      <c r="H19" s="50">
        <v>9.7000000000000003E-2</v>
      </c>
      <c r="I19" s="51">
        <f t="shared" si="2"/>
        <v>2.9120433333333335</v>
      </c>
      <c r="J19" s="58">
        <f t="shared" si="1"/>
        <v>0.10291061182080935</v>
      </c>
    </row>
    <row r="20" spans="1:10">
      <c r="A20" s="40">
        <v>16</v>
      </c>
      <c r="B20" s="54">
        <v>1070</v>
      </c>
      <c r="C20" s="55">
        <f>C19+B20</f>
        <v>2880</v>
      </c>
      <c r="D20" s="65">
        <f t="shared" si="0"/>
        <v>48</v>
      </c>
      <c r="E20" s="40">
        <v>10</v>
      </c>
      <c r="F20" s="50">
        <v>0.158</v>
      </c>
      <c r="G20" s="50">
        <v>0.161</v>
      </c>
      <c r="H20" s="50">
        <v>0.154</v>
      </c>
      <c r="I20" s="51">
        <f t="shared" ref="I20" si="4">E20*(AVERAGE(F20:H20)*1.6007-0.0118)</f>
        <v>2.4057703333333333</v>
      </c>
      <c r="J20" s="58">
        <f t="shared" ref="J20" si="5">E20*(STDEV(F20:H20)*1.6007)</f>
        <v>5.6214736540637987E-2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3" sqref="D3:D20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28" t="s">
        <v>4</v>
      </c>
      <c r="B1" s="128" t="s">
        <v>104</v>
      </c>
      <c r="C1" s="128" t="s">
        <v>104</v>
      </c>
      <c r="D1" s="128" t="s">
        <v>5</v>
      </c>
      <c r="E1" s="4" t="s">
        <v>29</v>
      </c>
      <c r="F1" s="4" t="s">
        <v>2</v>
      </c>
      <c r="G1" s="4" t="s">
        <v>32</v>
      </c>
    </row>
    <row r="2" spans="1:7">
      <c r="A2" s="129"/>
      <c r="B2" s="129"/>
      <c r="C2" s="129"/>
      <c r="D2" s="129"/>
      <c r="E2" s="5" t="s">
        <v>30</v>
      </c>
      <c r="F2" s="5" t="s">
        <v>31</v>
      </c>
      <c r="G2" s="5" t="s">
        <v>33</v>
      </c>
    </row>
    <row r="3" spans="1:7">
      <c r="A3" s="52" t="s">
        <v>6</v>
      </c>
      <c r="B3" s="52">
        <v>-10</v>
      </c>
      <c r="C3" s="53">
        <v>-10</v>
      </c>
      <c r="D3" s="65">
        <f>C3/60</f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40">
        <v>0</v>
      </c>
      <c r="B4" s="54">
        <v>10</v>
      </c>
      <c r="C4" s="55">
        <v>10</v>
      </c>
      <c r="D4" s="65">
        <f t="shared" ref="D4:D20" si="0">C4/60</f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40">
        <v>1</v>
      </c>
      <c r="B5" s="54">
        <v>110</v>
      </c>
      <c r="C5" s="55">
        <f>C4+B5</f>
        <v>120</v>
      </c>
      <c r="D5" s="65">
        <f t="shared" si="0"/>
        <v>2</v>
      </c>
      <c r="E5" s="1"/>
      <c r="F5" s="1"/>
      <c r="G5" s="1" t="e">
        <f>(F5-$C$22)/E5*1000*Calculation!I6/Calculation!K5</f>
        <v>#DIV/0!</v>
      </c>
    </row>
    <row r="6" spans="1:7">
      <c r="A6" s="40">
        <v>2</v>
      </c>
      <c r="B6" s="54">
        <v>80</v>
      </c>
      <c r="C6" s="55">
        <f t="shared" ref="C6:C18" si="1">C5+B6</f>
        <v>200</v>
      </c>
      <c r="D6" s="65">
        <f t="shared" si="0"/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40">
        <v>3</v>
      </c>
      <c r="B7" s="54">
        <v>80</v>
      </c>
      <c r="C7" s="55">
        <f>C6+B7</f>
        <v>280</v>
      </c>
      <c r="D7" s="65">
        <f t="shared" si="0"/>
        <v>4.666666666666667</v>
      </c>
      <c r="E7" s="1"/>
      <c r="F7" s="1"/>
      <c r="G7" s="1" t="e">
        <f>(F7-$C$22)/E7*1000*Calculation!I8/Calculation!K7</f>
        <v>#DIV/0!</v>
      </c>
    </row>
    <row r="8" spans="1:7">
      <c r="A8" s="40">
        <v>4</v>
      </c>
      <c r="B8" s="54">
        <v>80</v>
      </c>
      <c r="C8" s="55">
        <f t="shared" si="1"/>
        <v>360</v>
      </c>
      <c r="D8" s="65">
        <f t="shared" si="0"/>
        <v>6</v>
      </c>
      <c r="E8" s="1"/>
      <c r="F8" s="1"/>
      <c r="G8" s="1" t="e">
        <f>(F8-$C$22)/E8*1000*Calculation!I9/Calculation!K8</f>
        <v>#DIV/0!</v>
      </c>
    </row>
    <row r="9" spans="1:7">
      <c r="A9" s="40">
        <v>5</v>
      </c>
      <c r="B9" s="54">
        <v>80</v>
      </c>
      <c r="C9" s="55">
        <f t="shared" si="1"/>
        <v>440</v>
      </c>
      <c r="D9" s="65">
        <f t="shared" si="0"/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40">
        <v>6</v>
      </c>
      <c r="B10" s="54">
        <v>80</v>
      </c>
      <c r="C10" s="55">
        <f t="shared" si="1"/>
        <v>520</v>
      </c>
      <c r="D10" s="65">
        <f t="shared" si="0"/>
        <v>8.6666666666666661</v>
      </c>
      <c r="E10" s="1"/>
      <c r="F10" s="1"/>
      <c r="G10" s="1" t="e">
        <f>(F10-$C$22)/E10*1000*Calculation!I11/Calculation!K10</f>
        <v>#DIV/0!</v>
      </c>
    </row>
    <row r="11" spans="1:7">
      <c r="A11" s="40">
        <v>7</v>
      </c>
      <c r="B11" s="54">
        <v>80</v>
      </c>
      <c r="C11" s="55">
        <f t="shared" si="1"/>
        <v>600</v>
      </c>
      <c r="D11" s="65">
        <f t="shared" si="0"/>
        <v>10</v>
      </c>
      <c r="E11" s="1"/>
      <c r="F11" s="1"/>
      <c r="G11" s="1" t="e">
        <f>(F11-$C$22)/E11*1000*Calculation!I12/Calculation!K11</f>
        <v>#DIV/0!</v>
      </c>
    </row>
    <row r="12" spans="1:7">
      <c r="A12" s="40">
        <v>8</v>
      </c>
      <c r="B12" s="54">
        <v>80</v>
      </c>
      <c r="C12" s="55">
        <f t="shared" si="1"/>
        <v>680</v>
      </c>
      <c r="D12" s="65">
        <f t="shared" si="0"/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40">
        <v>9</v>
      </c>
      <c r="B13" s="54">
        <v>80</v>
      </c>
      <c r="C13" s="55">
        <f t="shared" si="1"/>
        <v>760</v>
      </c>
      <c r="D13" s="65">
        <f t="shared" si="0"/>
        <v>12.666666666666666</v>
      </c>
      <c r="E13" s="37"/>
      <c r="F13" s="37"/>
      <c r="G13" s="37" t="e">
        <f>(F13-$C$22)/E13*1000*Calculation!I14/Calculation!K13</f>
        <v>#DIV/0!</v>
      </c>
    </row>
    <row r="14" spans="1:7">
      <c r="A14" s="40">
        <v>10</v>
      </c>
      <c r="B14" s="54">
        <v>80</v>
      </c>
      <c r="C14" s="55">
        <f t="shared" si="1"/>
        <v>840</v>
      </c>
      <c r="D14" s="65">
        <f t="shared" si="0"/>
        <v>14</v>
      </c>
      <c r="E14" s="37"/>
      <c r="F14" s="37"/>
      <c r="G14" s="37" t="e">
        <f>(F14-$C$22)/E14*1000*Calculation!I15/Calculation!K14</f>
        <v>#DIV/0!</v>
      </c>
    </row>
    <row r="15" spans="1:7">
      <c r="A15" s="40">
        <v>11</v>
      </c>
      <c r="B15" s="54">
        <v>80</v>
      </c>
      <c r="C15" s="55">
        <f t="shared" si="1"/>
        <v>920</v>
      </c>
      <c r="D15" s="65">
        <f t="shared" si="0"/>
        <v>15.333333333333334</v>
      </c>
      <c r="E15" s="37"/>
      <c r="F15" s="37"/>
      <c r="G15" s="37" t="e">
        <f>(F15-$C$22)/E15*1000*Calculation!I16/Calculation!K15</f>
        <v>#DIV/0!</v>
      </c>
    </row>
    <row r="16" spans="1:7">
      <c r="A16" s="40">
        <v>12</v>
      </c>
      <c r="B16" s="54">
        <v>80</v>
      </c>
      <c r="C16" s="55">
        <f t="shared" si="1"/>
        <v>1000</v>
      </c>
      <c r="D16" s="65">
        <f t="shared" si="0"/>
        <v>16.666666666666668</v>
      </c>
      <c r="E16" s="37"/>
      <c r="F16" s="37"/>
      <c r="G16" s="37" t="e">
        <f>(F16-$C$22)/E16*1000*Calculation!I17/Calculation!K16</f>
        <v>#DIV/0!</v>
      </c>
    </row>
    <row r="17" spans="1:7" ht="15" customHeight="1">
      <c r="A17" s="40">
        <v>13</v>
      </c>
      <c r="B17" s="54">
        <v>80</v>
      </c>
      <c r="C17" s="55">
        <f t="shared" si="1"/>
        <v>1080</v>
      </c>
      <c r="D17" s="65">
        <f t="shared" si="0"/>
        <v>18</v>
      </c>
      <c r="E17" s="37"/>
      <c r="F17" s="37"/>
      <c r="G17" s="37" t="e">
        <f>(F17-$C$22)/E17*1000*Calculation!I18/Calculation!K17</f>
        <v>#DIV/0!</v>
      </c>
    </row>
    <row r="18" spans="1:7">
      <c r="A18" s="40">
        <v>14</v>
      </c>
      <c r="B18" s="54">
        <v>380</v>
      </c>
      <c r="C18" s="55">
        <f t="shared" si="1"/>
        <v>1460</v>
      </c>
      <c r="D18" s="65">
        <f t="shared" si="0"/>
        <v>24.333333333333332</v>
      </c>
      <c r="E18" s="37"/>
      <c r="F18" s="37"/>
      <c r="G18" s="37" t="e">
        <f>(F18-$C$22)/E18*1000*Calculation!I19/Calculation!K18</f>
        <v>#DIV/0!</v>
      </c>
    </row>
    <row r="19" spans="1:7">
      <c r="A19" s="40">
        <v>15</v>
      </c>
      <c r="B19" s="54">
        <v>350</v>
      </c>
      <c r="C19" s="55">
        <f>C18+B19</f>
        <v>1810</v>
      </c>
      <c r="D19" s="65">
        <f t="shared" si="0"/>
        <v>30.166666666666668</v>
      </c>
      <c r="E19" s="40"/>
      <c r="F19" s="40"/>
      <c r="G19" s="40" t="e">
        <f>(F19-$C$22)/E19*1000*Calculation!I21/Calculation!K19</f>
        <v>#DIV/0!</v>
      </c>
    </row>
    <row r="20" spans="1:7">
      <c r="A20" s="40">
        <v>16</v>
      </c>
      <c r="B20" s="54">
        <v>1070</v>
      </c>
      <c r="C20" s="55">
        <f>C19+B20</f>
        <v>2880</v>
      </c>
      <c r="D20" s="65">
        <f t="shared" si="0"/>
        <v>48</v>
      </c>
      <c r="E20" s="40"/>
      <c r="F20" s="40"/>
      <c r="G20" s="40" t="e">
        <f>(F20-$C$22)/E20*1000*Calculation!I21/Calculation!K20</f>
        <v>#DIV/0!</v>
      </c>
    </row>
    <row r="21" spans="1:7">
      <c r="A21" s="64"/>
      <c r="B21" s="55"/>
      <c r="C21" s="55"/>
      <c r="D21" s="66"/>
    </row>
    <row r="22" spans="1:7">
      <c r="A22" s="148" t="s">
        <v>3</v>
      </c>
      <c r="B22" s="149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topLeftCell="A68" workbookViewId="0">
      <selection activeCell="B5" sqref="B5:B101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</cols>
  <sheetData>
    <row r="1" spans="1:10">
      <c r="A1" s="23" t="s">
        <v>49</v>
      </c>
      <c r="B1" s="12">
        <v>70.099999999999994</v>
      </c>
      <c r="C1" s="26" t="s">
        <v>50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24" t="s">
        <v>5</v>
      </c>
      <c r="B3" s="124" t="s">
        <v>36</v>
      </c>
      <c r="C3" s="124"/>
      <c r="D3" s="124" t="s">
        <v>51</v>
      </c>
      <c r="E3" s="124"/>
      <c r="F3" s="124"/>
      <c r="G3" s="23" t="s">
        <v>52</v>
      </c>
    </row>
    <row r="4" spans="1:10">
      <c r="A4" s="124"/>
      <c r="B4" s="23" t="s">
        <v>53</v>
      </c>
      <c r="C4" s="23" t="s">
        <v>54</v>
      </c>
      <c r="D4" s="23" t="s">
        <v>55</v>
      </c>
      <c r="E4" s="23" t="s">
        <v>56</v>
      </c>
      <c r="F4" s="23" t="s">
        <v>57</v>
      </c>
      <c r="G4" s="23" t="s">
        <v>58</v>
      </c>
    </row>
    <row r="5" spans="1:10">
      <c r="A5" s="12">
        <v>0</v>
      </c>
      <c r="B5" s="40">
        <v>0.74</v>
      </c>
      <c r="C5" s="12">
        <f t="shared" ref="C5:C36" si="0">B5/1000</f>
        <v>7.3999999999999999E-4</v>
      </c>
      <c r="D5" s="12">
        <f>C5/1000*$B$1</f>
        <v>5.1873999999999998E-5</v>
      </c>
      <c r="E5" s="12">
        <f>D5/22.4</f>
        <v>2.3158035714285714E-6</v>
      </c>
      <c r="F5" s="12">
        <f>E5/Calculation!K$4*1000</f>
        <v>1.5807156437439224E-6</v>
      </c>
      <c r="G5" s="12">
        <f>(0+F5)/2*30</f>
        <v>2.3710734656158836E-5</v>
      </c>
      <c r="I5" s="77">
        <v>-0.16666666666666666</v>
      </c>
      <c r="J5" t="s">
        <v>146</v>
      </c>
    </row>
    <row r="6" spans="1:10">
      <c r="A6" s="12">
        <v>0.5</v>
      </c>
      <c r="B6" s="40">
        <v>1780.92</v>
      </c>
      <c r="C6" s="12">
        <f t="shared" si="0"/>
        <v>1.7809200000000001</v>
      </c>
      <c r="D6" s="12">
        <f>C6/1000*$B$1</f>
        <v>0.124842492</v>
      </c>
      <c r="E6" s="12">
        <f>D6/22.4</f>
        <v>5.5733255357142859E-3</v>
      </c>
      <c r="F6" s="12">
        <f>E6/Calculation!K$4*1000</f>
        <v>3.8042271679140896E-3</v>
      </c>
      <c r="G6" s="12">
        <f>G5+(F6+F5)/2*30</f>
        <v>5.7110828988023665E-2</v>
      </c>
      <c r="I6" s="77">
        <v>0.16666666666666666</v>
      </c>
      <c r="J6" t="s">
        <v>147</v>
      </c>
    </row>
    <row r="7" spans="1:10">
      <c r="A7" s="12">
        <v>1</v>
      </c>
      <c r="B7" s="40">
        <v>4417.57</v>
      </c>
      <c r="C7" s="12">
        <f t="shared" si="0"/>
        <v>4.4175699999999996</v>
      </c>
      <c r="D7" s="12">
        <f t="shared" ref="D7:D69" si="1">C7/1000*$B$1</f>
        <v>0.30967165699999993</v>
      </c>
      <c r="E7" s="12">
        <f t="shared" ref="E7:E69" si="2">D7/22.4</f>
        <v>1.3824627544642856E-2</v>
      </c>
      <c r="F7" s="12">
        <f>E7/Calculation!K$4*1000</f>
        <v>9.4363810896403218E-3</v>
      </c>
      <c r="G7" s="12">
        <f t="shared" ref="G7:G70" si="3">G6+(F7+F6)/2*30</f>
        <v>0.25571995285133986</v>
      </c>
      <c r="I7" s="77">
        <v>2</v>
      </c>
      <c r="J7" t="s">
        <v>148</v>
      </c>
    </row>
    <row r="8" spans="1:10">
      <c r="A8" s="12">
        <v>1.5</v>
      </c>
      <c r="B8" s="40">
        <v>7977.94</v>
      </c>
      <c r="C8" s="12">
        <f t="shared" si="0"/>
        <v>7.9779399999999994</v>
      </c>
      <c r="D8" s="12">
        <f t="shared" si="1"/>
        <v>0.55925359399999985</v>
      </c>
      <c r="E8" s="12">
        <f t="shared" si="2"/>
        <v>2.4966678303571424E-2</v>
      </c>
      <c r="F8" s="12">
        <f>E8/Calculation!K$4*1000</f>
        <v>1.7041695355203224E-2</v>
      </c>
      <c r="G8" s="12">
        <f t="shared" si="3"/>
        <v>0.65289109952399305</v>
      </c>
      <c r="I8" s="77">
        <v>3.3333333333333335</v>
      </c>
      <c r="J8" t="s">
        <v>149</v>
      </c>
    </row>
    <row r="9" spans="1:10">
      <c r="A9" s="12">
        <v>2</v>
      </c>
      <c r="B9" s="40">
        <v>11771.09</v>
      </c>
      <c r="C9" s="12">
        <f t="shared" si="0"/>
        <v>11.771090000000001</v>
      </c>
      <c r="D9" s="12">
        <f t="shared" si="1"/>
        <v>0.825153409</v>
      </c>
      <c r="E9" s="12">
        <f t="shared" si="2"/>
        <v>3.6837205758928571E-2</v>
      </c>
      <c r="F9" s="12">
        <f>E9/Calculation!K$5*1000</f>
        <v>2.6011905244634585E-2</v>
      </c>
      <c r="G9" s="12">
        <f t="shared" si="3"/>
        <v>1.2986951085215601</v>
      </c>
      <c r="I9" s="77">
        <v>4.666666666666667</v>
      </c>
      <c r="J9" t="s">
        <v>150</v>
      </c>
    </row>
    <row r="10" spans="1:10">
      <c r="A10" s="12">
        <v>2.5</v>
      </c>
      <c r="B10" s="40">
        <v>16961.63</v>
      </c>
      <c r="C10" s="12">
        <f t="shared" si="0"/>
        <v>16.96163</v>
      </c>
      <c r="D10" s="12">
        <f t="shared" si="1"/>
        <v>1.1890102629999999</v>
      </c>
      <c r="E10" s="12">
        <f t="shared" si="2"/>
        <v>5.3080815312500002E-2</v>
      </c>
      <c r="F10" s="12">
        <f>E10/Calculation!K$5*1000</f>
        <v>3.7482026928224263E-2</v>
      </c>
      <c r="G10" s="12">
        <f t="shared" si="3"/>
        <v>2.2511040911144429</v>
      </c>
      <c r="I10" s="77">
        <v>6</v>
      </c>
      <c r="J10" t="s">
        <v>151</v>
      </c>
    </row>
    <row r="11" spans="1:10">
      <c r="A11" s="12">
        <v>3</v>
      </c>
      <c r="B11" s="40">
        <v>21380.68</v>
      </c>
      <c r="C11" s="12">
        <f t="shared" si="0"/>
        <v>21.380680000000002</v>
      </c>
      <c r="D11" s="12">
        <f t="shared" si="1"/>
        <v>1.498785668</v>
      </c>
      <c r="E11" s="12">
        <f t="shared" si="2"/>
        <v>6.6910074464285721E-2</v>
      </c>
      <c r="F11" s="12">
        <f>E11/Calculation!K$5*1000</f>
        <v>4.7247300141775639E-2</v>
      </c>
      <c r="G11" s="12">
        <f t="shared" si="3"/>
        <v>3.5220439971644417</v>
      </c>
      <c r="I11" s="77">
        <v>7.333333333333333</v>
      </c>
      <c r="J11" t="s">
        <v>152</v>
      </c>
    </row>
    <row r="12" spans="1:10">
      <c r="A12" s="12">
        <v>3.5</v>
      </c>
      <c r="B12" s="40">
        <v>19375.11</v>
      </c>
      <c r="C12" s="12">
        <f t="shared" si="0"/>
        <v>19.375109999999999</v>
      </c>
      <c r="D12" s="12">
        <f t="shared" si="1"/>
        <v>1.358195211</v>
      </c>
      <c r="E12" s="12">
        <f t="shared" si="2"/>
        <v>6.0633714776785717E-2</v>
      </c>
      <c r="F12" s="12">
        <f>E12/Calculation!K$6*1000</f>
        <v>4.4504211599440367E-2</v>
      </c>
      <c r="G12" s="12">
        <f t="shared" si="3"/>
        <v>4.8983166732826824</v>
      </c>
      <c r="I12" s="77">
        <v>8.6666666666666661</v>
      </c>
      <c r="J12" t="s">
        <v>153</v>
      </c>
    </row>
    <row r="13" spans="1:10">
      <c r="A13" s="12">
        <v>4</v>
      </c>
      <c r="B13" s="40">
        <v>25264.720000000001</v>
      </c>
      <c r="C13" s="12">
        <f t="shared" si="0"/>
        <v>25.264720000000001</v>
      </c>
      <c r="D13" s="12">
        <f t="shared" si="1"/>
        <v>1.7710568719999999</v>
      </c>
      <c r="E13" s="12">
        <f t="shared" si="2"/>
        <v>7.9065038928571432E-2</v>
      </c>
      <c r="F13" s="12">
        <f>E13/Calculation!K$6*1000</f>
        <v>5.8032519293083396E-2</v>
      </c>
      <c r="G13" s="12">
        <f t="shared" si="3"/>
        <v>6.4363676366705391</v>
      </c>
      <c r="I13" s="77">
        <v>10</v>
      </c>
      <c r="J13" t="s">
        <v>154</v>
      </c>
    </row>
    <row r="14" spans="1:10">
      <c r="A14" s="12">
        <v>4.5</v>
      </c>
      <c r="B14" s="40">
        <v>31453.61</v>
      </c>
      <c r="C14" s="12">
        <f t="shared" si="0"/>
        <v>31.453610000000001</v>
      </c>
      <c r="D14" s="12">
        <f t="shared" si="1"/>
        <v>2.2048980609999997</v>
      </c>
      <c r="E14" s="12">
        <f t="shared" si="2"/>
        <v>9.8432949151785715E-2</v>
      </c>
      <c r="F14" s="12">
        <f>E14/Calculation!K$6*1000</f>
        <v>7.2248266719841775E-2</v>
      </c>
      <c r="G14" s="12">
        <f t="shared" si="3"/>
        <v>8.3905794268644165</v>
      </c>
      <c r="I14" s="77">
        <v>11.333333333333334</v>
      </c>
      <c r="J14" t="s">
        <v>155</v>
      </c>
    </row>
    <row r="15" spans="1:10">
      <c r="A15" s="12">
        <v>5</v>
      </c>
      <c r="B15" s="40">
        <v>30877.95</v>
      </c>
      <c r="C15" s="12">
        <f t="shared" si="0"/>
        <v>30.877950000000002</v>
      </c>
      <c r="D15" s="12">
        <f t="shared" si="1"/>
        <v>2.1645442949999998</v>
      </c>
      <c r="E15" s="12">
        <f t="shared" si="2"/>
        <v>9.6631441741071425E-2</v>
      </c>
      <c r="F15" s="12">
        <f>E15/Calculation!K$7*1000</f>
        <v>7.4162154817518852E-2</v>
      </c>
      <c r="G15" s="12">
        <f t="shared" si="3"/>
        <v>10.586735749924825</v>
      </c>
      <c r="I15" s="77">
        <v>12.666666666666666</v>
      </c>
      <c r="J15" t="s">
        <v>156</v>
      </c>
    </row>
    <row r="16" spans="1:10">
      <c r="A16" s="12">
        <v>5.5</v>
      </c>
      <c r="B16" s="40">
        <v>28199.17</v>
      </c>
      <c r="C16" s="12">
        <f t="shared" si="0"/>
        <v>28.199169999999999</v>
      </c>
      <c r="D16" s="12">
        <f t="shared" si="1"/>
        <v>1.9767618169999999</v>
      </c>
      <c r="E16" s="12">
        <f t="shared" si="2"/>
        <v>8.824829540178572E-2</v>
      </c>
      <c r="F16" s="12">
        <f>E16/Calculation!K$7*1000</f>
        <v>6.7728304866920677E-2</v>
      </c>
      <c r="G16" s="12">
        <f t="shared" si="3"/>
        <v>12.715092645191419</v>
      </c>
      <c r="I16" s="77">
        <v>14</v>
      </c>
      <c r="J16" t="s">
        <v>157</v>
      </c>
    </row>
    <row r="17" spans="1:10">
      <c r="A17" s="12">
        <v>6</v>
      </c>
      <c r="B17" s="40">
        <v>32180.02</v>
      </c>
      <c r="C17" s="12">
        <f t="shared" si="0"/>
        <v>32.180019999999999</v>
      </c>
      <c r="D17" s="12">
        <f t="shared" si="1"/>
        <v>2.2558194019999998</v>
      </c>
      <c r="E17" s="12">
        <f t="shared" si="2"/>
        <v>0.10070622330357143</v>
      </c>
      <c r="F17" s="12">
        <f>E17/Calculation!K$8*1000</f>
        <v>8.0393194603059492E-2</v>
      </c>
      <c r="G17" s="12">
        <f t="shared" si="3"/>
        <v>14.936915137241121</v>
      </c>
      <c r="I17" s="77">
        <v>15.333333333333334</v>
      </c>
      <c r="J17" t="s">
        <v>158</v>
      </c>
    </row>
    <row r="18" spans="1:10">
      <c r="A18" s="12">
        <v>6.5</v>
      </c>
      <c r="B18" s="40">
        <v>31015.4</v>
      </c>
      <c r="C18" s="12">
        <f t="shared" si="0"/>
        <v>31.015400000000003</v>
      </c>
      <c r="D18" s="12">
        <f t="shared" si="1"/>
        <v>2.1741795399999999</v>
      </c>
      <c r="E18" s="12">
        <f t="shared" si="2"/>
        <v>9.7061586607142855E-2</v>
      </c>
      <c r="F18" s="12">
        <f>E18/Calculation!K$8*1000</f>
        <v>7.7483702244179206E-2</v>
      </c>
      <c r="G18" s="12">
        <f t="shared" si="3"/>
        <v>17.305068589949702</v>
      </c>
      <c r="I18" s="77">
        <v>16.666666666666668</v>
      </c>
      <c r="J18" t="s">
        <v>159</v>
      </c>
    </row>
    <row r="19" spans="1:10">
      <c r="A19" s="12">
        <v>7</v>
      </c>
      <c r="B19" s="40">
        <v>31991.58</v>
      </c>
      <c r="C19" s="12">
        <f t="shared" si="0"/>
        <v>31.991580000000003</v>
      </c>
      <c r="D19" s="12">
        <f t="shared" si="1"/>
        <v>2.2426097580000004</v>
      </c>
      <c r="E19" s="12">
        <f t="shared" si="2"/>
        <v>0.10011650705357145</v>
      </c>
      <c r="F19" s="12">
        <f>E19/Calculation!K$8*1000</f>
        <v>7.9922427537314975E-2</v>
      </c>
      <c r="G19" s="12">
        <f t="shared" si="3"/>
        <v>19.666160536672116</v>
      </c>
      <c r="I19" s="77">
        <v>18</v>
      </c>
      <c r="J19" t="s">
        <v>160</v>
      </c>
    </row>
    <row r="20" spans="1:10">
      <c r="A20" s="12">
        <v>7.5</v>
      </c>
      <c r="B20" s="40">
        <v>30339.24</v>
      </c>
      <c r="C20" s="12">
        <f t="shared" si="0"/>
        <v>30.33924</v>
      </c>
      <c r="D20" s="12">
        <f t="shared" si="1"/>
        <v>2.1267807239999996</v>
      </c>
      <c r="E20" s="12">
        <f t="shared" si="2"/>
        <v>9.4945568035714273E-2</v>
      </c>
      <c r="F20" s="12">
        <f>E20/Calculation!K$9*1000</f>
        <v>7.9214264989965477E-2</v>
      </c>
      <c r="G20" s="12">
        <f t="shared" si="3"/>
        <v>22.053210924581322</v>
      </c>
      <c r="I20" s="77">
        <v>24</v>
      </c>
      <c r="J20" t="s">
        <v>161</v>
      </c>
    </row>
    <row r="21" spans="1:10">
      <c r="A21" s="12">
        <v>8</v>
      </c>
      <c r="B21" s="40">
        <v>35875.620000000003</v>
      </c>
      <c r="C21" s="12">
        <f t="shared" si="0"/>
        <v>35.875620000000005</v>
      </c>
      <c r="D21" s="12">
        <f t="shared" si="1"/>
        <v>2.5148809619999999</v>
      </c>
      <c r="E21" s="12">
        <f t="shared" si="2"/>
        <v>0.11227147151785714</v>
      </c>
      <c r="F21" s="12">
        <f>E21/Calculation!K$9*1000</f>
        <v>9.3669481152438422E-2</v>
      </c>
      <c r="G21" s="12">
        <f t="shared" si="3"/>
        <v>24.646467116717382</v>
      </c>
      <c r="I21" s="77">
        <v>30</v>
      </c>
      <c r="J21" t="s">
        <v>162</v>
      </c>
    </row>
    <row r="22" spans="1:10">
      <c r="A22" s="12">
        <v>8.5</v>
      </c>
      <c r="B22" s="40">
        <v>28199.91</v>
      </c>
      <c r="C22" s="12">
        <f t="shared" si="0"/>
        <v>28.199909999999999</v>
      </c>
      <c r="D22" s="12">
        <f t="shared" si="1"/>
        <v>1.9768136909999998</v>
      </c>
      <c r="E22" s="12">
        <f t="shared" si="2"/>
        <v>8.8250611205357141E-2</v>
      </c>
      <c r="F22" s="12">
        <f>E22/Calculation!K$9*1000</f>
        <v>7.3628579471113245E-2</v>
      </c>
      <c r="G22" s="12">
        <f t="shared" si="3"/>
        <v>27.155938026070658</v>
      </c>
      <c r="I22" s="77">
        <v>48</v>
      </c>
      <c r="J22" t="s">
        <v>163</v>
      </c>
    </row>
    <row r="23" spans="1:10">
      <c r="A23" s="12">
        <v>9</v>
      </c>
      <c r="B23" s="40">
        <v>34190.76</v>
      </c>
      <c r="C23" s="12">
        <f t="shared" si="0"/>
        <v>34.190760000000004</v>
      </c>
      <c r="D23" s="12">
        <f t="shared" si="1"/>
        <v>2.3967722760000005</v>
      </c>
      <c r="E23" s="12">
        <f t="shared" si="2"/>
        <v>0.1069987623214286</v>
      </c>
      <c r="F23" s="12">
        <f>E23/Calculation!K$10*1000</f>
        <v>9.4033530840324037E-2</v>
      </c>
      <c r="G23" s="12">
        <f t="shared" si="3"/>
        <v>29.670869680742218</v>
      </c>
    </row>
    <row r="24" spans="1:10">
      <c r="A24" s="12">
        <v>9.5</v>
      </c>
      <c r="B24" s="40">
        <v>35798.76</v>
      </c>
      <c r="C24" s="12">
        <f t="shared" si="0"/>
        <v>35.798760000000001</v>
      </c>
      <c r="D24" s="12">
        <f t="shared" si="1"/>
        <v>2.5094930759999996</v>
      </c>
      <c r="E24" s="12">
        <f t="shared" si="2"/>
        <v>0.11203094089285713</v>
      </c>
      <c r="F24" s="12">
        <f>E24/Calculation!K$10*1000</f>
        <v>9.8455951330282135E-2</v>
      </c>
      <c r="G24" s="12">
        <f t="shared" si="3"/>
        <v>32.558211913301314</v>
      </c>
    </row>
    <row r="25" spans="1:10">
      <c r="A25" s="12">
        <v>10</v>
      </c>
      <c r="B25" s="40">
        <v>30218.05</v>
      </c>
      <c r="C25" s="12">
        <f t="shared" si="0"/>
        <v>30.218049999999998</v>
      </c>
      <c r="D25" s="12">
        <f t="shared" si="1"/>
        <v>2.1182853049999997</v>
      </c>
      <c r="E25" s="12">
        <f t="shared" si="2"/>
        <v>9.4566308258928561E-2</v>
      </c>
      <c r="F25" s="12">
        <f>E25/Calculation!K$11*1000</f>
        <v>8.6514800458671853E-2</v>
      </c>
      <c r="G25" s="12">
        <f t="shared" si="3"/>
        <v>35.332773190135626</v>
      </c>
    </row>
    <row r="26" spans="1:10">
      <c r="A26" s="12">
        <v>10.5</v>
      </c>
      <c r="B26" s="40">
        <v>30693.94</v>
      </c>
      <c r="C26" s="12">
        <f t="shared" si="0"/>
        <v>30.693939999999998</v>
      </c>
      <c r="D26" s="12">
        <f t="shared" si="1"/>
        <v>2.1516451939999999</v>
      </c>
      <c r="E26" s="12">
        <f t="shared" si="2"/>
        <v>9.6055589017857143E-2</v>
      </c>
      <c r="F26" s="12">
        <f>E26/Calculation!K$11*1000</f>
        <v>8.7877281770016497E-2</v>
      </c>
      <c r="G26" s="12">
        <f t="shared" si="3"/>
        <v>37.948654423565948</v>
      </c>
    </row>
    <row r="27" spans="1:10">
      <c r="A27" s="12">
        <v>11</v>
      </c>
      <c r="B27" s="40">
        <v>26090.89</v>
      </c>
      <c r="C27" s="12">
        <f t="shared" si="0"/>
        <v>26.090889999999998</v>
      </c>
      <c r="D27" s="12">
        <f t="shared" si="1"/>
        <v>1.8289713889999997</v>
      </c>
      <c r="E27" s="12">
        <f t="shared" si="2"/>
        <v>8.1650508437499991E-2</v>
      </c>
      <c r="F27" s="12">
        <f>E27/Calculation!K$11*1000</f>
        <v>7.469866990554179E-2</v>
      </c>
      <c r="G27" s="12">
        <f t="shared" si="3"/>
        <v>40.387293698699324</v>
      </c>
    </row>
    <row r="28" spans="1:10">
      <c r="A28" s="12">
        <v>11.5</v>
      </c>
      <c r="B28" s="40">
        <v>35904.44</v>
      </c>
      <c r="C28" s="12">
        <f t="shared" si="0"/>
        <v>35.904440000000001</v>
      </c>
      <c r="D28" s="12">
        <f t="shared" si="1"/>
        <v>2.516901244</v>
      </c>
      <c r="E28" s="12">
        <f t="shared" si="2"/>
        <v>0.11236166267857144</v>
      </c>
      <c r="F28" s="12">
        <f>E28/Calculation!K$12*1000</f>
        <v>0.10826591764023487</v>
      </c>
      <c r="G28" s="12">
        <f t="shared" si="3"/>
        <v>43.131762511885974</v>
      </c>
    </row>
    <row r="29" spans="1:10">
      <c r="A29" s="12">
        <v>12</v>
      </c>
      <c r="B29" s="40">
        <v>35197.980000000003</v>
      </c>
      <c r="C29" s="12">
        <f t="shared" si="0"/>
        <v>35.197980000000001</v>
      </c>
      <c r="D29" s="12">
        <f t="shared" si="1"/>
        <v>2.4673783980000001</v>
      </c>
      <c r="E29" s="12">
        <f t="shared" si="2"/>
        <v>0.11015082133928573</v>
      </c>
      <c r="F29" s="12">
        <f>E29/Calculation!K$12*1000</f>
        <v>0.10613566466383084</v>
      </c>
      <c r="G29" s="12">
        <f t="shared" si="3"/>
        <v>46.347786246446958</v>
      </c>
    </row>
    <row r="30" spans="1:10">
      <c r="A30" s="12">
        <v>12.5</v>
      </c>
      <c r="B30" s="40">
        <v>36156.42</v>
      </c>
      <c r="C30" s="12">
        <f t="shared" si="0"/>
        <v>36.156419999999997</v>
      </c>
      <c r="D30" s="12">
        <f t="shared" si="1"/>
        <v>2.5345650419999992</v>
      </c>
      <c r="E30" s="12">
        <f t="shared" si="2"/>
        <v>0.11315022508928568</v>
      </c>
      <c r="F30" s="12">
        <f>E30/Calculation!K$12*1000</f>
        <v>0.10902573581110692</v>
      </c>
      <c r="G30" s="12">
        <f t="shared" si="3"/>
        <v>49.575207253571023</v>
      </c>
    </row>
    <row r="31" spans="1:10">
      <c r="A31" s="12">
        <v>13</v>
      </c>
      <c r="B31" s="40">
        <v>34947.47</v>
      </c>
      <c r="C31" s="12">
        <f t="shared" si="0"/>
        <v>34.947470000000003</v>
      </c>
      <c r="D31" s="12">
        <f t="shared" si="1"/>
        <v>2.4498176469999997</v>
      </c>
      <c r="E31" s="12">
        <f t="shared" si="2"/>
        <v>0.10936685924107142</v>
      </c>
      <c r="F31" s="12">
        <f>E31/Calculation!K$13*1000</f>
        <v>0.11020294038179811</v>
      </c>
      <c r="G31" s="12">
        <f t="shared" si="3"/>
        <v>52.863637396464597</v>
      </c>
    </row>
    <row r="32" spans="1:10">
      <c r="A32" s="12">
        <v>13.5</v>
      </c>
      <c r="B32" s="40">
        <v>36700.31</v>
      </c>
      <c r="C32" s="12">
        <f t="shared" si="0"/>
        <v>36.700309999999995</v>
      </c>
      <c r="D32" s="12">
        <f t="shared" si="1"/>
        <v>2.5726917309999995</v>
      </c>
      <c r="E32" s="12">
        <f t="shared" si="2"/>
        <v>0.11485230941964285</v>
      </c>
      <c r="F32" s="12">
        <f>E32/Calculation!K$13*1000</f>
        <v>0.11573032539761845</v>
      </c>
      <c r="G32" s="12">
        <f t="shared" si="3"/>
        <v>56.252636383155846</v>
      </c>
    </row>
    <row r="33" spans="1:7">
      <c r="A33" s="12">
        <v>14</v>
      </c>
      <c r="B33" s="40">
        <v>35740.379999999997</v>
      </c>
      <c r="C33" s="12">
        <f t="shared" si="0"/>
        <v>35.740379999999995</v>
      </c>
      <c r="D33" s="12">
        <f t="shared" si="1"/>
        <v>2.5054006379999993</v>
      </c>
      <c r="E33" s="12">
        <f t="shared" si="2"/>
        <v>0.11184824276785713</v>
      </c>
      <c r="F33" s="12">
        <f>E33/Calculation!K$14*1000</f>
        <v>0.11858045904784724</v>
      </c>
      <c r="G33" s="12">
        <f t="shared" si="3"/>
        <v>59.767298149837828</v>
      </c>
    </row>
    <row r="34" spans="1:7">
      <c r="A34" s="12">
        <v>14.5</v>
      </c>
      <c r="B34" s="40">
        <v>34682.910000000003</v>
      </c>
      <c r="C34" s="12">
        <f t="shared" si="0"/>
        <v>34.682910000000007</v>
      </c>
      <c r="D34" s="12">
        <f t="shared" si="1"/>
        <v>2.431271991</v>
      </c>
      <c r="E34" s="12">
        <f t="shared" si="2"/>
        <v>0.10853892816964286</v>
      </c>
      <c r="F34" s="12">
        <f>E34/Calculation!K$14*1000</f>
        <v>0.11507195471663066</v>
      </c>
      <c r="G34" s="12">
        <f t="shared" si="3"/>
        <v>63.272084356304994</v>
      </c>
    </row>
    <row r="35" spans="1:7">
      <c r="A35" s="12">
        <v>15</v>
      </c>
      <c r="B35" s="40">
        <v>35378.29</v>
      </c>
      <c r="C35" s="12">
        <f t="shared" si="0"/>
        <v>35.37829</v>
      </c>
      <c r="D35" s="12">
        <f t="shared" si="1"/>
        <v>2.4800181289999998</v>
      </c>
      <c r="E35" s="12">
        <f t="shared" si="2"/>
        <v>0.11071509504464286</v>
      </c>
      <c r="F35" s="12">
        <f>E35/Calculation!K$14*1000</f>
        <v>0.11737910644844471</v>
      </c>
      <c r="G35" s="12">
        <f t="shared" si="3"/>
        <v>66.758850273781121</v>
      </c>
    </row>
    <row r="36" spans="1:7">
      <c r="A36" s="12">
        <v>15.5</v>
      </c>
      <c r="B36" s="40">
        <v>23393.64</v>
      </c>
      <c r="C36" s="12">
        <f t="shared" si="0"/>
        <v>23.393639999999998</v>
      </c>
      <c r="D36" s="12">
        <f t="shared" si="1"/>
        <v>1.6398941639999995</v>
      </c>
      <c r="E36" s="12">
        <f t="shared" si="2"/>
        <v>7.3209560892857128E-2</v>
      </c>
      <c r="F36" s="12">
        <f>E36/Calculation!K$15*1000</f>
        <v>8.1965268026743754E-2</v>
      </c>
      <c r="G36" s="12">
        <f t="shared" si="3"/>
        <v>69.74901589090895</v>
      </c>
    </row>
    <row r="37" spans="1:7">
      <c r="A37" s="12">
        <v>16</v>
      </c>
      <c r="B37" s="40">
        <v>7541.21</v>
      </c>
      <c r="C37" s="12">
        <f t="shared" ref="C37:C68" si="4">B37/1000</f>
        <v>7.5412100000000004</v>
      </c>
      <c r="D37" s="12">
        <f t="shared" si="1"/>
        <v>0.52863882100000004</v>
      </c>
      <c r="E37" s="12">
        <f t="shared" si="2"/>
        <v>2.3599947366071433E-2</v>
      </c>
      <c r="F37" s="12">
        <f>E37/Calculation!K$15*1000</f>
        <v>2.642245067018046E-2</v>
      </c>
      <c r="G37" s="12">
        <f t="shared" si="3"/>
        <v>71.374831671362813</v>
      </c>
    </row>
    <row r="38" spans="1:7">
      <c r="A38" s="12">
        <v>16.5</v>
      </c>
      <c r="B38" s="40">
        <v>2627.78</v>
      </c>
      <c r="C38" s="12">
        <f t="shared" si="4"/>
        <v>2.62778</v>
      </c>
      <c r="D38" s="12">
        <f t="shared" si="1"/>
        <v>0.184207378</v>
      </c>
      <c r="E38" s="12">
        <f t="shared" si="2"/>
        <v>8.2235436607142869E-3</v>
      </c>
      <c r="F38" s="12">
        <f>E38/Calculation!K$15*1000</f>
        <v>9.2070619200482155E-3</v>
      </c>
      <c r="G38" s="12">
        <f t="shared" si="3"/>
        <v>71.909274360216244</v>
      </c>
    </row>
    <row r="39" spans="1:7">
      <c r="A39" s="12">
        <v>17</v>
      </c>
      <c r="B39" s="40">
        <v>823.95</v>
      </c>
      <c r="C39" s="12">
        <f t="shared" si="4"/>
        <v>0.82395000000000007</v>
      </c>
      <c r="D39" s="12">
        <f t="shared" si="1"/>
        <v>5.7758894999999998E-2</v>
      </c>
      <c r="E39" s="12">
        <f t="shared" si="2"/>
        <v>2.5785220982142859E-3</v>
      </c>
      <c r="F39" s="12">
        <f>E39/Calculation!K$16*1000</f>
        <v>3.0601876930673694E-3</v>
      </c>
      <c r="G39" s="12">
        <f t="shared" si="3"/>
        <v>72.093283104412976</v>
      </c>
    </row>
    <row r="40" spans="1:7">
      <c r="A40" s="12">
        <v>17.5</v>
      </c>
      <c r="B40" s="40">
        <v>354.71</v>
      </c>
      <c r="C40" s="12">
        <f t="shared" si="4"/>
        <v>0.35470999999999997</v>
      </c>
      <c r="D40" s="12">
        <f t="shared" si="1"/>
        <v>2.4865170999999995E-2</v>
      </c>
      <c r="E40" s="12">
        <f t="shared" si="2"/>
        <v>1.1100522767857142E-3</v>
      </c>
      <c r="F40" s="12">
        <f>E40/Calculation!K$16*1000</f>
        <v>1.3174090376939455E-3</v>
      </c>
      <c r="G40" s="12">
        <f t="shared" si="3"/>
        <v>72.158947055374398</v>
      </c>
    </row>
    <row r="41" spans="1:7">
      <c r="A41" s="12">
        <v>18</v>
      </c>
      <c r="B41" s="40">
        <v>0.74</v>
      </c>
      <c r="C41" s="12">
        <f t="shared" si="4"/>
        <v>7.3999999999999999E-4</v>
      </c>
      <c r="D41" s="12">
        <f t="shared" si="1"/>
        <v>5.1873999999999998E-5</v>
      </c>
      <c r="E41" s="12">
        <f t="shared" si="2"/>
        <v>2.3158035714285714E-6</v>
      </c>
      <c r="F41" s="12">
        <f>E41/Calculation!K$17*1000</f>
        <v>2.9027239277663626E-6</v>
      </c>
      <c r="G41" s="12">
        <f t="shared" si="3"/>
        <v>72.178751731798727</v>
      </c>
    </row>
    <row r="42" spans="1:7">
      <c r="A42" s="12">
        <v>18.5</v>
      </c>
      <c r="B42" s="40">
        <v>113.8</v>
      </c>
      <c r="C42" s="12">
        <f t="shared" si="4"/>
        <v>0.1138</v>
      </c>
      <c r="D42" s="12">
        <f t="shared" si="1"/>
        <v>7.9773799999999992E-3</v>
      </c>
      <c r="E42" s="12">
        <f t="shared" si="2"/>
        <v>3.5613303571428571E-4</v>
      </c>
      <c r="F42" s="12">
        <f>E42/Calculation!K$17*1000</f>
        <v>4.4639186889163792E-4</v>
      </c>
      <c r="G42" s="12">
        <f t="shared" si="3"/>
        <v>72.185491150691021</v>
      </c>
    </row>
    <row r="43" spans="1:7">
      <c r="A43" s="12">
        <v>19</v>
      </c>
      <c r="B43" s="40">
        <v>106.41</v>
      </c>
      <c r="C43" s="12">
        <f t="shared" si="4"/>
        <v>0.10640999999999999</v>
      </c>
      <c r="D43" s="12">
        <f t="shared" si="1"/>
        <v>7.4593409999999987E-3</v>
      </c>
      <c r="E43" s="12">
        <f t="shared" si="2"/>
        <v>3.330062946428571E-4</v>
      </c>
      <c r="F43" s="12">
        <f>E43/Calculation!K$17*1000</f>
        <v>4.174038556129981E-4</v>
      </c>
      <c r="G43" s="12">
        <f t="shared" si="3"/>
        <v>72.198448086558585</v>
      </c>
    </row>
    <row r="44" spans="1:7">
      <c r="A44" s="12">
        <v>19.5</v>
      </c>
      <c r="B44" s="40">
        <v>109.37</v>
      </c>
      <c r="C44" s="12">
        <f t="shared" si="4"/>
        <v>0.10937000000000001</v>
      </c>
      <c r="D44" s="12">
        <f t="shared" si="1"/>
        <v>7.6668370000000001E-3</v>
      </c>
      <c r="E44" s="12">
        <f t="shared" si="2"/>
        <v>3.4226950892857146E-4</v>
      </c>
      <c r="F44" s="12">
        <f>E44/Calculation!K$17*1000</f>
        <v>4.2901475132406364E-4</v>
      </c>
      <c r="G44" s="12">
        <f t="shared" si="3"/>
        <v>72.211144365662648</v>
      </c>
    </row>
    <row r="45" spans="1:7">
      <c r="A45" s="12">
        <v>20</v>
      </c>
      <c r="B45" s="40">
        <v>167.01</v>
      </c>
      <c r="C45" s="12">
        <f t="shared" si="4"/>
        <v>0.16700999999999999</v>
      </c>
      <c r="D45" s="12">
        <f t="shared" si="1"/>
        <v>1.1707400999999997E-2</v>
      </c>
      <c r="E45" s="12">
        <f t="shared" si="2"/>
        <v>5.2265183035714281E-4</v>
      </c>
      <c r="F45" s="12">
        <f>E45/Calculation!K$17*1000</f>
        <v>6.5511340969764888E-4</v>
      </c>
      <c r="G45" s="12">
        <f t="shared" si="3"/>
        <v>72.227406288077972</v>
      </c>
    </row>
    <row r="46" spans="1:7">
      <c r="A46" s="12">
        <v>20.5</v>
      </c>
      <c r="B46" s="40">
        <v>127.1</v>
      </c>
      <c r="C46" s="12">
        <f t="shared" si="4"/>
        <v>0.12709999999999999</v>
      </c>
      <c r="D46" s="12">
        <f t="shared" si="1"/>
        <v>8.9097099999999995E-3</v>
      </c>
      <c r="E46" s="12">
        <f t="shared" si="2"/>
        <v>3.9775491071428572E-4</v>
      </c>
      <c r="F46" s="12">
        <f>E46/Calculation!K$17*1000</f>
        <v>4.9856244759338469E-4</v>
      </c>
      <c r="G46" s="12">
        <f t="shared" si="3"/>
        <v>72.244711425937339</v>
      </c>
    </row>
    <row r="47" spans="1:7">
      <c r="A47" s="12">
        <v>21</v>
      </c>
      <c r="B47" s="40">
        <v>189.18</v>
      </c>
      <c r="C47" s="12">
        <f t="shared" si="4"/>
        <v>0.18918000000000001</v>
      </c>
      <c r="D47" s="12">
        <f t="shared" si="1"/>
        <v>1.3261517999999998E-2</v>
      </c>
      <c r="E47" s="12">
        <f t="shared" si="2"/>
        <v>5.9203205357142847E-4</v>
      </c>
      <c r="F47" s="12">
        <f>E47/Calculation!K$17*1000</f>
        <v>7.4207744953356809E-4</v>
      </c>
      <c r="G47" s="12">
        <f t="shared" si="3"/>
        <v>72.263321024394244</v>
      </c>
    </row>
    <row r="48" spans="1:7">
      <c r="A48" s="12">
        <v>21.5</v>
      </c>
      <c r="B48" s="40">
        <v>257.16000000000003</v>
      </c>
      <c r="C48" s="12">
        <f t="shared" si="4"/>
        <v>0.25716</v>
      </c>
      <c r="D48" s="12">
        <f t="shared" si="1"/>
        <v>1.8026915999999997E-2</v>
      </c>
      <c r="E48" s="12">
        <f t="shared" si="2"/>
        <v>8.0477303571428564E-4</v>
      </c>
      <c r="F48" s="12">
        <f>E48/Calculation!K$17*1000</f>
        <v>1.0087357908978348E-3</v>
      </c>
      <c r="G48" s="12">
        <f t="shared" si="3"/>
        <v>72.289583223000719</v>
      </c>
    </row>
    <row r="49" spans="1:7">
      <c r="A49" s="12">
        <v>22</v>
      </c>
      <c r="B49" s="40">
        <v>291.14999999999998</v>
      </c>
      <c r="C49" s="12">
        <f t="shared" si="4"/>
        <v>0.29114999999999996</v>
      </c>
      <c r="D49" s="12">
        <f t="shared" si="1"/>
        <v>2.0409614999999996E-2</v>
      </c>
      <c r="E49" s="12">
        <f t="shared" si="2"/>
        <v>9.1114352678571412E-4</v>
      </c>
      <c r="F49" s="12">
        <f>E49/Calculation!K$17*1000</f>
        <v>1.1420649615799679E-3</v>
      </c>
      <c r="G49" s="12">
        <f t="shared" si="3"/>
        <v>72.321845234287892</v>
      </c>
    </row>
    <row r="50" spans="1:7">
      <c r="A50" s="12">
        <v>22.5</v>
      </c>
      <c r="B50" s="40">
        <v>316.27999999999997</v>
      </c>
      <c r="C50" s="12">
        <f t="shared" si="4"/>
        <v>0.31627999999999995</v>
      </c>
      <c r="D50" s="12">
        <f t="shared" si="1"/>
        <v>2.2171227999999994E-2</v>
      </c>
      <c r="E50" s="12">
        <f t="shared" si="2"/>
        <v>9.8978696428571409E-4</v>
      </c>
      <c r="F50" s="12">
        <f>E50/Calculation!K$17*1000</f>
        <v>1.2406398971269528E-3</v>
      </c>
      <c r="G50" s="12">
        <f t="shared" si="3"/>
        <v>72.357585807168491</v>
      </c>
    </row>
    <row r="51" spans="1:7">
      <c r="A51" s="12">
        <v>23</v>
      </c>
      <c r="B51" s="40">
        <v>299.27999999999997</v>
      </c>
      <c r="C51" s="12">
        <f t="shared" si="4"/>
        <v>0.29927999999999999</v>
      </c>
      <c r="D51" s="12">
        <f t="shared" si="1"/>
        <v>2.0979527999999997E-2</v>
      </c>
      <c r="E51" s="12">
        <f t="shared" si="2"/>
        <v>9.3658607142857139E-4</v>
      </c>
      <c r="F51" s="12">
        <f>E51/Calculation!K$17*1000</f>
        <v>1.1739556987863742E-3</v>
      </c>
      <c r="G51" s="12">
        <f t="shared" si="3"/>
        <v>72.393804741107189</v>
      </c>
    </row>
    <row r="52" spans="1:7">
      <c r="A52" s="12">
        <v>23.5</v>
      </c>
      <c r="B52" s="40">
        <v>260.86</v>
      </c>
      <c r="C52" s="12">
        <f t="shared" si="4"/>
        <v>0.26086000000000004</v>
      </c>
      <c r="D52" s="12">
        <f t="shared" si="1"/>
        <v>1.8286285999999999E-2</v>
      </c>
      <c r="E52" s="12">
        <f t="shared" si="2"/>
        <v>8.1635205357142855E-4</v>
      </c>
      <c r="F52" s="12">
        <f>E52/Calculation!K$17*1000</f>
        <v>1.0232494105366667E-3</v>
      </c>
      <c r="G52" s="12">
        <f t="shared" si="3"/>
        <v>72.426762817747033</v>
      </c>
    </row>
    <row r="53" spans="1:7">
      <c r="A53" s="12">
        <v>24</v>
      </c>
      <c r="B53" s="40">
        <v>278.58999999999997</v>
      </c>
      <c r="C53" s="12">
        <f t="shared" si="4"/>
        <v>0.27858999999999995</v>
      </c>
      <c r="D53" s="12">
        <f t="shared" si="1"/>
        <v>1.9529158999999994E-2</v>
      </c>
      <c r="E53" s="12">
        <f t="shared" si="2"/>
        <v>8.718374553571426E-4</v>
      </c>
      <c r="F53" s="12">
        <f>E53/Calculation!K$18*1000</f>
        <v>1.1606641007647876E-3</v>
      </c>
      <c r="G53" s="12">
        <f t="shared" si="3"/>
        <v>72.459521520416558</v>
      </c>
    </row>
    <row r="54" spans="1:7">
      <c r="A54" s="12">
        <v>24.5</v>
      </c>
      <c r="B54" s="40">
        <v>257.89999999999998</v>
      </c>
      <c r="C54" s="12">
        <f t="shared" si="4"/>
        <v>0.25789999999999996</v>
      </c>
      <c r="D54" s="12">
        <f t="shared" si="1"/>
        <v>1.8078789999999997E-2</v>
      </c>
      <c r="E54" s="12">
        <f t="shared" si="2"/>
        <v>8.0708883928571425E-4</v>
      </c>
      <c r="F54" s="12">
        <f>E54/Calculation!K$18*1000</f>
        <v>1.0744652413483572E-3</v>
      </c>
      <c r="G54" s="12">
        <f t="shared" si="3"/>
        <v>72.493048460548252</v>
      </c>
    </row>
    <row r="55" spans="1:7">
      <c r="A55" s="12">
        <v>25</v>
      </c>
      <c r="B55" s="40">
        <v>252.73</v>
      </c>
      <c r="C55" s="12">
        <f t="shared" si="4"/>
        <v>0.25273000000000001</v>
      </c>
      <c r="D55" s="12">
        <f t="shared" si="1"/>
        <v>1.7716372999999997E-2</v>
      </c>
      <c r="E55" s="12">
        <f t="shared" si="2"/>
        <v>7.9090950892857139E-4</v>
      </c>
      <c r="F55" s="12">
        <f>E55/Calculation!K$18*1000</f>
        <v>1.0529259420161703E-3</v>
      </c>
      <c r="G55" s="12">
        <f t="shared" si="3"/>
        <v>72.524959328298721</v>
      </c>
    </row>
    <row r="56" spans="1:7">
      <c r="A56" s="12">
        <v>25.5</v>
      </c>
      <c r="B56" s="40">
        <v>283.77</v>
      </c>
      <c r="C56" s="12">
        <f t="shared" si="4"/>
        <v>0.28376999999999997</v>
      </c>
      <c r="D56" s="12">
        <f t="shared" si="1"/>
        <v>1.9892276999999996E-2</v>
      </c>
      <c r="E56" s="12">
        <f t="shared" si="2"/>
        <v>8.8804808035714271E-4</v>
      </c>
      <c r="F56" s="12">
        <f>E56/Calculation!K$18*1000</f>
        <v>1.182245062184658E-3</v>
      </c>
      <c r="G56" s="12">
        <f t="shared" si="3"/>
        <v>72.558486893361732</v>
      </c>
    </row>
    <row r="57" spans="1:7">
      <c r="A57" s="12">
        <v>26</v>
      </c>
      <c r="B57" s="40">
        <v>305.2</v>
      </c>
      <c r="C57" s="12">
        <f t="shared" si="4"/>
        <v>0.30519999999999997</v>
      </c>
      <c r="D57" s="12">
        <f t="shared" si="1"/>
        <v>2.1394519999999997E-2</v>
      </c>
      <c r="E57" s="12">
        <f t="shared" si="2"/>
        <v>9.5511249999999989E-4</v>
      </c>
      <c r="F57" s="12">
        <f>E57/Calculation!K$18*1000</f>
        <v>1.2715269160896417E-3</v>
      </c>
      <c r="G57" s="12">
        <f t="shared" si="3"/>
        <v>72.595293473035852</v>
      </c>
    </row>
    <row r="58" spans="1:7">
      <c r="A58" s="12">
        <v>26.5</v>
      </c>
      <c r="B58" s="40">
        <v>312.58999999999997</v>
      </c>
      <c r="C58" s="12">
        <f t="shared" si="4"/>
        <v>0.31258999999999998</v>
      </c>
      <c r="D58" s="12">
        <f t="shared" si="1"/>
        <v>2.1912558999999995E-2</v>
      </c>
      <c r="E58" s="12">
        <f t="shared" si="2"/>
        <v>9.7823924107142833E-4</v>
      </c>
      <c r="F58" s="12">
        <f>E58/Calculation!K$18*1000</f>
        <v>1.3023151988874871E-3</v>
      </c>
      <c r="G58" s="12">
        <f t="shared" si="3"/>
        <v>72.633901104760511</v>
      </c>
    </row>
    <row r="59" spans="1:7">
      <c r="A59" s="12">
        <v>27</v>
      </c>
      <c r="B59" s="40">
        <v>256.42</v>
      </c>
      <c r="C59" s="12">
        <f t="shared" si="4"/>
        <v>0.25642000000000004</v>
      </c>
      <c r="D59" s="12">
        <f t="shared" si="1"/>
        <v>1.7975042E-2</v>
      </c>
      <c r="E59" s="12">
        <f t="shared" si="2"/>
        <v>8.0245723214285715E-4</v>
      </c>
      <c r="F59" s="12">
        <f>E59/Calculation!K$18*1000</f>
        <v>1.0682992523712515E-3</v>
      </c>
      <c r="G59" s="12">
        <f t="shared" si="3"/>
        <v>72.669460321529385</v>
      </c>
    </row>
    <row r="60" spans="1:7">
      <c r="A60" s="12">
        <v>27.5</v>
      </c>
      <c r="B60" s="40">
        <v>223.17</v>
      </c>
      <c r="C60" s="12">
        <f t="shared" si="4"/>
        <v>0.22316999999999998</v>
      </c>
      <c r="D60" s="12">
        <f t="shared" si="1"/>
        <v>1.5644216999999998E-2</v>
      </c>
      <c r="E60" s="12">
        <f t="shared" si="2"/>
        <v>6.9840254464285717E-4</v>
      </c>
      <c r="F60" s="12">
        <f>E60/Calculation!K$18*1000</f>
        <v>9.2977281082478832E-4</v>
      </c>
      <c r="G60" s="12">
        <f t="shared" si="3"/>
        <v>72.69943140247733</v>
      </c>
    </row>
    <row r="61" spans="1:7">
      <c r="A61" s="12">
        <v>28</v>
      </c>
      <c r="B61" s="40">
        <v>199.52</v>
      </c>
      <c r="C61" s="12">
        <f t="shared" si="4"/>
        <v>0.19952</v>
      </c>
      <c r="D61" s="12">
        <f t="shared" si="1"/>
        <v>1.3986352000000001E-2</v>
      </c>
      <c r="E61" s="12">
        <f t="shared" si="2"/>
        <v>6.243907142857144E-4</v>
      </c>
      <c r="F61" s="12">
        <f>E61/Calculation!K$18*1000</f>
        <v>8.312419734541461E-4</v>
      </c>
      <c r="G61" s="12">
        <f t="shared" si="3"/>
        <v>72.725846624241512</v>
      </c>
    </row>
    <row r="62" spans="1:7">
      <c r="A62" s="12">
        <v>28.5</v>
      </c>
      <c r="B62" s="40">
        <v>153.71</v>
      </c>
      <c r="C62" s="12">
        <f t="shared" si="4"/>
        <v>0.15371000000000001</v>
      </c>
      <c r="D62" s="12">
        <f t="shared" si="1"/>
        <v>1.0775071000000001E-2</v>
      </c>
      <c r="E62" s="12">
        <f t="shared" si="2"/>
        <v>4.810299553571429E-4</v>
      </c>
      <c r="F62" s="12">
        <f>E62/Calculation!K$18*1000</f>
        <v>6.4038794977765027E-4</v>
      </c>
      <c r="G62" s="12">
        <f t="shared" si="3"/>
        <v>72.747921073089984</v>
      </c>
    </row>
    <row r="63" spans="1:7">
      <c r="A63" s="12">
        <v>29</v>
      </c>
      <c r="B63" s="40">
        <v>118.24</v>
      </c>
      <c r="C63" s="12">
        <f t="shared" si="4"/>
        <v>0.11824</v>
      </c>
      <c r="D63" s="12">
        <f t="shared" si="1"/>
        <v>8.2886239999999996E-3</v>
      </c>
      <c r="E63" s="12">
        <f t="shared" si="2"/>
        <v>3.7002785714285717E-4</v>
      </c>
      <c r="F63" s="12">
        <f>E63/Calculation!K$18*1000</f>
        <v>4.9261252476552836E-4</v>
      </c>
      <c r="G63" s="12">
        <f t="shared" si="3"/>
        <v>72.764916080208138</v>
      </c>
    </row>
    <row r="64" spans="1:7">
      <c r="A64" s="12">
        <v>29.5</v>
      </c>
      <c r="B64" s="40">
        <v>122.67</v>
      </c>
      <c r="C64" s="12">
        <f t="shared" si="4"/>
        <v>0.12267</v>
      </c>
      <c r="D64" s="12">
        <f t="shared" si="1"/>
        <v>8.5991669999999978E-3</v>
      </c>
      <c r="E64" s="12">
        <f t="shared" si="2"/>
        <v>3.8389138392857136E-4</v>
      </c>
      <c r="F64" s="12">
        <f>E64/Calculation!K$18*1000</f>
        <v>5.1106882960916234E-4</v>
      </c>
      <c r="G64" s="12">
        <f t="shared" si="3"/>
        <v>72.779971300523755</v>
      </c>
    </row>
    <row r="65" spans="1:7">
      <c r="A65" s="12">
        <v>30</v>
      </c>
      <c r="B65" s="40">
        <v>114.54</v>
      </c>
      <c r="C65" s="12">
        <f t="shared" si="4"/>
        <v>0.11454</v>
      </c>
      <c r="D65" s="12">
        <f t="shared" si="1"/>
        <v>8.0292539999999996E-3</v>
      </c>
      <c r="E65" s="12">
        <f t="shared" si="2"/>
        <v>3.5844883928571431E-4</v>
      </c>
      <c r="F65" s="12">
        <f>E65/Calculation!K$18*1000</f>
        <v>4.7719755232276397E-4</v>
      </c>
      <c r="G65" s="12">
        <f t="shared" si="3"/>
        <v>72.79479529625273</v>
      </c>
    </row>
    <row r="66" spans="1:7">
      <c r="A66" s="12">
        <v>30.5</v>
      </c>
      <c r="B66" s="40">
        <v>48.77</v>
      </c>
      <c r="C66" s="12">
        <f t="shared" si="4"/>
        <v>4.8770000000000001E-2</v>
      </c>
      <c r="D66" s="12">
        <f t="shared" si="1"/>
        <v>3.418777E-3</v>
      </c>
      <c r="E66" s="12">
        <f t="shared" si="2"/>
        <v>1.5262397321428572E-4</v>
      </c>
      <c r="F66" s="12">
        <f>E66/Calculation!K$19*1000</f>
        <v>2.1900786241342617E-4</v>
      </c>
      <c r="G66" s="12">
        <f t="shared" si="3"/>
        <v>72.805238377473771</v>
      </c>
    </row>
    <row r="67" spans="1:7">
      <c r="A67" s="12">
        <v>31</v>
      </c>
      <c r="B67" s="40">
        <v>82.76</v>
      </c>
      <c r="C67" s="12">
        <f t="shared" si="4"/>
        <v>8.276E-2</v>
      </c>
      <c r="D67" s="12">
        <f t="shared" si="1"/>
        <v>5.8014759999999999E-3</v>
      </c>
      <c r="E67" s="12">
        <f t="shared" si="2"/>
        <v>2.5899446428571428E-4</v>
      </c>
      <c r="F67" s="12">
        <f>E67/Calculation!K$19*1000</f>
        <v>3.7164426272985748E-4</v>
      </c>
      <c r="G67" s="12">
        <f t="shared" si="3"/>
        <v>72.81409815935092</v>
      </c>
    </row>
    <row r="68" spans="1:7">
      <c r="A68" s="12">
        <v>31.5</v>
      </c>
      <c r="B68" s="40">
        <v>67.989999999999995</v>
      </c>
      <c r="C68" s="12">
        <f t="shared" si="4"/>
        <v>6.7989999999999995E-2</v>
      </c>
      <c r="D68" s="12">
        <f t="shared" si="1"/>
        <v>4.7660989999999993E-3</v>
      </c>
      <c r="E68" s="12">
        <f t="shared" si="2"/>
        <v>2.1277227678571426E-4</v>
      </c>
      <c r="F68" s="12">
        <f>E68/Calculation!K$19*1000</f>
        <v>3.0531770689950469E-4</v>
      </c>
      <c r="G68" s="12">
        <f t="shared" si="3"/>
        <v>72.824252588895362</v>
      </c>
    </row>
    <row r="69" spans="1:7">
      <c r="A69" s="12">
        <v>32</v>
      </c>
      <c r="B69" s="40">
        <v>67.989999999999995</v>
      </c>
      <c r="C69" s="12">
        <f t="shared" ref="C69:C100" si="5">B69/1000</f>
        <v>6.7989999999999995E-2</v>
      </c>
      <c r="D69" s="12">
        <f t="shared" si="1"/>
        <v>4.7660989999999993E-3</v>
      </c>
      <c r="E69" s="12">
        <f t="shared" si="2"/>
        <v>2.1277227678571426E-4</v>
      </c>
      <c r="F69" s="12">
        <f>E69/Calculation!K$19*1000</f>
        <v>3.0531770689950469E-4</v>
      </c>
      <c r="G69" s="12">
        <f t="shared" si="3"/>
        <v>72.833412120102352</v>
      </c>
    </row>
    <row r="70" spans="1:7">
      <c r="A70" s="12">
        <v>32.5</v>
      </c>
      <c r="B70" s="40">
        <v>86.46</v>
      </c>
      <c r="C70" s="12">
        <f t="shared" si="5"/>
        <v>8.6459999999999995E-2</v>
      </c>
      <c r="D70" s="12">
        <f t="shared" ref="D70:D101" si="6">C70/1000*$B$1</f>
        <v>6.0608459999999991E-3</v>
      </c>
      <c r="E70" s="12">
        <f t="shared" ref="E70:E101" si="7">D70/22.4</f>
        <v>2.7057348214285713E-4</v>
      </c>
      <c r="F70" s="12">
        <f>E70/Calculation!K$19*1000</f>
        <v>3.8825958138742725E-4</v>
      </c>
      <c r="G70" s="12">
        <f t="shared" si="3"/>
        <v>72.843815779426663</v>
      </c>
    </row>
    <row r="71" spans="1:7">
      <c r="A71" s="12">
        <v>33</v>
      </c>
      <c r="B71" s="40">
        <v>50.99</v>
      </c>
      <c r="C71" s="12">
        <f t="shared" si="5"/>
        <v>5.0990000000000001E-2</v>
      </c>
      <c r="D71" s="12">
        <f t="shared" si="6"/>
        <v>3.5743989999999994E-3</v>
      </c>
      <c r="E71" s="12">
        <f t="shared" si="7"/>
        <v>1.5957138392857142E-4</v>
      </c>
      <c r="F71" s="12">
        <f>E71/Calculation!K$19*1000</f>
        <v>2.2897705360796803E-4</v>
      </c>
      <c r="G71" s="12">
        <f t="shared" ref="G71:G101" si="8">G70+(F71+F70)/2*30</f>
        <v>72.853074328951593</v>
      </c>
    </row>
    <row r="72" spans="1:7">
      <c r="A72" s="12">
        <v>33.5</v>
      </c>
      <c r="B72" s="40">
        <v>93.11</v>
      </c>
      <c r="C72" s="12">
        <f t="shared" si="5"/>
        <v>9.3109999999999998E-2</v>
      </c>
      <c r="D72" s="12">
        <f t="shared" si="6"/>
        <v>6.5270109999999992E-3</v>
      </c>
      <c r="E72" s="12">
        <f t="shared" si="7"/>
        <v>2.9138441964285714E-4</v>
      </c>
      <c r="F72" s="12">
        <f>E72/Calculation!K$19*1000</f>
        <v>4.1812224870441068E-4</v>
      </c>
      <c r="G72" s="12">
        <f t="shared" si="8"/>
        <v>72.862780818486272</v>
      </c>
    </row>
    <row r="73" spans="1:7">
      <c r="A73" s="12">
        <v>34</v>
      </c>
      <c r="B73" s="40">
        <v>70.2</v>
      </c>
      <c r="C73" s="12">
        <f t="shared" si="5"/>
        <v>7.0199999999999999E-2</v>
      </c>
      <c r="D73" s="12">
        <f t="shared" si="6"/>
        <v>4.9210199999999999E-3</v>
      </c>
      <c r="E73" s="12">
        <f t="shared" si="7"/>
        <v>2.1968839285714287E-4</v>
      </c>
      <c r="F73" s="12">
        <f>E73/Calculation!K$19*1000</f>
        <v>3.1524199182740451E-4</v>
      </c>
      <c r="G73" s="12">
        <f t="shared" si="8"/>
        <v>72.873781282094242</v>
      </c>
    </row>
    <row r="74" spans="1:7">
      <c r="A74" s="12">
        <v>34.5</v>
      </c>
      <c r="B74" s="40">
        <v>72.42</v>
      </c>
      <c r="C74" s="12">
        <f t="shared" si="5"/>
        <v>7.2419999999999998E-2</v>
      </c>
      <c r="D74" s="12">
        <f t="shared" si="6"/>
        <v>5.0766419999999993E-3</v>
      </c>
      <c r="E74" s="12">
        <f t="shared" si="7"/>
        <v>2.2663580357142854E-4</v>
      </c>
      <c r="F74" s="12">
        <f>E74/Calculation!K$19*1000</f>
        <v>3.2521118302194629E-4</v>
      </c>
      <c r="G74" s="12">
        <f t="shared" si="8"/>
        <v>72.88338807971698</v>
      </c>
    </row>
    <row r="75" spans="1:7">
      <c r="A75" s="12">
        <v>35</v>
      </c>
      <c r="B75" s="40">
        <v>71.680000000000007</v>
      </c>
      <c r="C75" s="12">
        <f t="shared" si="5"/>
        <v>7.1680000000000008E-2</v>
      </c>
      <c r="D75" s="12">
        <f t="shared" si="6"/>
        <v>5.0247679999999998E-3</v>
      </c>
      <c r="E75" s="12">
        <f t="shared" si="7"/>
        <v>2.2431999999999999E-4</v>
      </c>
      <c r="F75" s="12">
        <f>E75/Calculation!K$19*1000</f>
        <v>3.218881192904324E-4</v>
      </c>
      <c r="G75" s="12">
        <f t="shared" si="8"/>
        <v>72.893094569251659</v>
      </c>
    </row>
    <row r="76" spans="1:7">
      <c r="A76" s="12">
        <v>35.5</v>
      </c>
      <c r="B76" s="40">
        <v>62.81</v>
      </c>
      <c r="C76" s="12">
        <f t="shared" si="5"/>
        <v>6.2810000000000005E-2</v>
      </c>
      <c r="D76" s="12">
        <f t="shared" si="6"/>
        <v>4.4029810000000003E-3</v>
      </c>
      <c r="E76" s="12">
        <f t="shared" si="7"/>
        <v>1.9656165178571431E-4</v>
      </c>
      <c r="F76" s="12">
        <f>E76/Calculation!K$19*1000</f>
        <v>2.8205626077890708E-4</v>
      </c>
      <c r="G76" s="12">
        <f t="shared" si="8"/>
        <v>72.902153734952705</v>
      </c>
    </row>
    <row r="77" spans="1:7">
      <c r="A77" s="12">
        <v>36</v>
      </c>
      <c r="B77" s="40">
        <v>50.99</v>
      </c>
      <c r="C77" s="12">
        <f t="shared" si="5"/>
        <v>5.0990000000000001E-2</v>
      </c>
      <c r="D77" s="12">
        <f t="shared" si="6"/>
        <v>3.5743989999999994E-3</v>
      </c>
      <c r="E77" s="12">
        <f t="shared" si="7"/>
        <v>1.5957138392857142E-4</v>
      </c>
      <c r="F77" s="12">
        <f>E77/Calculation!K$19*1000</f>
        <v>2.2897705360796803E-4</v>
      </c>
      <c r="G77" s="12">
        <f t="shared" si="8"/>
        <v>72.909819234668504</v>
      </c>
    </row>
    <row r="78" spans="1:7">
      <c r="A78" s="12">
        <v>36.5</v>
      </c>
      <c r="B78" s="40">
        <v>87.94</v>
      </c>
      <c r="C78" s="12">
        <f t="shared" si="5"/>
        <v>8.7940000000000004E-2</v>
      </c>
      <c r="D78" s="12">
        <f t="shared" si="6"/>
        <v>6.1645939999999998E-3</v>
      </c>
      <c r="E78" s="12">
        <f t="shared" si="7"/>
        <v>2.7520508928571428E-4</v>
      </c>
      <c r="F78" s="12">
        <f>E78/Calculation!K$19*1000</f>
        <v>3.9490570885045514E-4</v>
      </c>
      <c r="G78" s="12">
        <f t="shared" si="8"/>
        <v>72.919177476105375</v>
      </c>
    </row>
    <row r="79" spans="1:7">
      <c r="A79" s="12">
        <v>37</v>
      </c>
      <c r="B79" s="40">
        <v>46.56</v>
      </c>
      <c r="C79" s="12">
        <f t="shared" si="5"/>
        <v>4.6560000000000004E-2</v>
      </c>
      <c r="D79" s="12">
        <f t="shared" si="6"/>
        <v>3.2638559999999999E-3</v>
      </c>
      <c r="E79" s="12">
        <f t="shared" si="7"/>
        <v>1.4570785714285715E-4</v>
      </c>
      <c r="F79" s="12">
        <f>E79/Calculation!K$19*1000</f>
        <v>2.090835774855264E-4</v>
      </c>
      <c r="G79" s="12">
        <f t="shared" si="8"/>
        <v>72.928237315400409</v>
      </c>
    </row>
    <row r="80" spans="1:7">
      <c r="A80" s="12">
        <v>37.5</v>
      </c>
      <c r="B80" s="40">
        <v>101.98</v>
      </c>
      <c r="C80" s="12">
        <f t="shared" si="5"/>
        <v>0.10198</v>
      </c>
      <c r="D80" s="12">
        <f t="shared" si="6"/>
        <v>7.1487979999999987E-3</v>
      </c>
      <c r="E80" s="12">
        <f t="shared" si="7"/>
        <v>3.1914276785714285E-4</v>
      </c>
      <c r="F80" s="12">
        <f>E80/Calculation!K$19*1000</f>
        <v>4.5795410721593605E-4</v>
      </c>
      <c r="G80" s="12">
        <f t="shared" si="8"/>
        <v>72.938242880670927</v>
      </c>
    </row>
    <row r="81" spans="1:7">
      <c r="A81" s="12">
        <v>38</v>
      </c>
      <c r="B81" s="40">
        <v>84.24</v>
      </c>
      <c r="C81" s="12">
        <f t="shared" si="5"/>
        <v>8.4239999999999995E-2</v>
      </c>
      <c r="D81" s="12">
        <f t="shared" si="6"/>
        <v>5.9052239999999988E-3</v>
      </c>
      <c r="E81" s="12">
        <f t="shared" si="7"/>
        <v>2.6362607142857138E-4</v>
      </c>
      <c r="F81" s="12">
        <f>E81/Calculation!K$19*1000</f>
        <v>3.7829039019288531E-4</v>
      </c>
      <c r="G81" s="12">
        <f t="shared" si="8"/>
        <v>72.950786548132058</v>
      </c>
    </row>
    <row r="82" spans="1:7">
      <c r="A82" s="12">
        <v>38.5</v>
      </c>
      <c r="B82" s="40">
        <v>47.29</v>
      </c>
      <c r="C82" s="12">
        <f t="shared" si="5"/>
        <v>4.7289999999999999E-2</v>
      </c>
      <c r="D82" s="12">
        <f t="shared" si="6"/>
        <v>3.3150289999999993E-3</v>
      </c>
      <c r="E82" s="12">
        <f t="shared" si="7"/>
        <v>1.4799236607142854E-4</v>
      </c>
      <c r="F82" s="12">
        <f>E82/Calculation!K$19*1000</f>
        <v>2.1236173495039822E-4</v>
      </c>
      <c r="G82" s="12">
        <f t="shared" si="8"/>
        <v>72.959646330009207</v>
      </c>
    </row>
    <row r="83" spans="1:7">
      <c r="A83" s="12">
        <v>39</v>
      </c>
      <c r="B83" s="40">
        <v>77.59</v>
      </c>
      <c r="C83" s="12">
        <f t="shared" si="5"/>
        <v>7.7590000000000006E-2</v>
      </c>
      <c r="D83" s="12">
        <f t="shared" si="6"/>
        <v>5.4390590000000004E-3</v>
      </c>
      <c r="E83" s="12">
        <f t="shared" si="7"/>
        <v>2.4281513392857145E-4</v>
      </c>
      <c r="F83" s="12">
        <f>E83/Calculation!K$19*1000</f>
        <v>3.4842772287590194E-4</v>
      </c>
      <c r="G83" s="12">
        <f t="shared" si="8"/>
        <v>72.968058171876606</v>
      </c>
    </row>
    <row r="84" spans="1:7">
      <c r="A84" s="12">
        <v>39.5</v>
      </c>
      <c r="B84" s="40">
        <v>65.77</v>
      </c>
      <c r="C84" s="12">
        <f t="shared" si="5"/>
        <v>6.5769999999999995E-2</v>
      </c>
      <c r="D84" s="12">
        <f t="shared" si="6"/>
        <v>4.6104769999999991E-3</v>
      </c>
      <c r="E84" s="12">
        <f t="shared" si="7"/>
        <v>2.0582486607142854E-4</v>
      </c>
      <c r="F84" s="12">
        <f>E84/Calculation!K$19*1000</f>
        <v>2.9534851570496286E-4</v>
      </c>
      <c r="G84" s="12">
        <f t="shared" si="8"/>
        <v>72.977714815455315</v>
      </c>
    </row>
    <row r="85" spans="1:7">
      <c r="A85" s="12">
        <v>40</v>
      </c>
      <c r="B85" s="40">
        <v>69.459999999999994</v>
      </c>
      <c r="C85" s="12">
        <f t="shared" si="5"/>
        <v>6.9459999999999994E-2</v>
      </c>
      <c r="D85" s="12">
        <f t="shared" si="6"/>
        <v>4.8691459999999987E-3</v>
      </c>
      <c r="E85" s="12">
        <f t="shared" si="7"/>
        <v>2.1737258928571424E-4</v>
      </c>
      <c r="F85" s="12">
        <f>E85/Calculation!K$19*1000</f>
        <v>3.1191892809589045E-4</v>
      </c>
      <c r="G85" s="12">
        <f t="shared" si="8"/>
        <v>72.986823827112332</v>
      </c>
    </row>
    <row r="86" spans="1:7">
      <c r="A86" s="12">
        <v>40.5</v>
      </c>
      <c r="B86" s="40">
        <v>38.43</v>
      </c>
      <c r="C86" s="12">
        <f t="shared" si="5"/>
        <v>3.8429999999999999E-2</v>
      </c>
      <c r="D86" s="12">
        <f t="shared" si="6"/>
        <v>2.6939429999999994E-3</v>
      </c>
      <c r="E86" s="12">
        <f t="shared" si="7"/>
        <v>1.2026531249999999E-4</v>
      </c>
      <c r="F86" s="12">
        <f>E86/Calculation!K$19*1000</f>
        <v>1.72574782705515E-4</v>
      </c>
      <c r="G86" s="12">
        <f t="shared" si="8"/>
        <v>72.994091232774352</v>
      </c>
    </row>
    <row r="87" spans="1:7">
      <c r="A87" s="12">
        <v>41</v>
      </c>
      <c r="B87" s="40">
        <v>70.2</v>
      </c>
      <c r="C87" s="12">
        <f t="shared" si="5"/>
        <v>7.0199999999999999E-2</v>
      </c>
      <c r="D87" s="12">
        <f t="shared" si="6"/>
        <v>4.9210199999999999E-3</v>
      </c>
      <c r="E87" s="12">
        <f t="shared" si="7"/>
        <v>2.1968839285714287E-4</v>
      </c>
      <c r="F87" s="12">
        <f>E87/Calculation!K$19*1000</f>
        <v>3.1524199182740451E-4</v>
      </c>
      <c r="G87" s="12">
        <f t="shared" si="8"/>
        <v>73.001408484392343</v>
      </c>
    </row>
    <row r="88" spans="1:7">
      <c r="A88" s="12">
        <v>41.5</v>
      </c>
      <c r="B88" s="40">
        <v>67.989999999999995</v>
      </c>
      <c r="C88" s="12">
        <f t="shared" si="5"/>
        <v>6.7989999999999995E-2</v>
      </c>
      <c r="D88" s="12">
        <f t="shared" si="6"/>
        <v>4.7660989999999993E-3</v>
      </c>
      <c r="E88" s="12">
        <f t="shared" si="7"/>
        <v>2.1277227678571426E-4</v>
      </c>
      <c r="F88" s="12">
        <f>E88/Calculation!K$19*1000</f>
        <v>3.0531770689950469E-4</v>
      </c>
      <c r="G88" s="12">
        <f t="shared" si="8"/>
        <v>73.010716879873243</v>
      </c>
    </row>
    <row r="89" spans="1:7">
      <c r="A89" s="12">
        <v>42</v>
      </c>
      <c r="B89" s="40">
        <v>36.950000000000003</v>
      </c>
      <c r="C89" s="12">
        <f t="shared" si="5"/>
        <v>3.6950000000000004E-2</v>
      </c>
      <c r="D89" s="12">
        <f t="shared" si="6"/>
        <v>2.590195E-3</v>
      </c>
      <c r="E89" s="12">
        <f t="shared" si="7"/>
        <v>1.1563370535714286E-4</v>
      </c>
      <c r="F89" s="12">
        <f>E89/Calculation!K$19*1000</f>
        <v>1.6592865524248714E-4</v>
      </c>
      <c r="G89" s="12">
        <f t="shared" si="8"/>
        <v>73.017785575305368</v>
      </c>
    </row>
    <row r="90" spans="1:7">
      <c r="A90" s="12">
        <v>42.5</v>
      </c>
      <c r="B90" s="40">
        <v>45.82</v>
      </c>
      <c r="C90" s="12">
        <f t="shared" si="5"/>
        <v>4.582E-2</v>
      </c>
      <c r="D90" s="12">
        <f t="shared" si="6"/>
        <v>3.2119819999999995E-3</v>
      </c>
      <c r="E90" s="12">
        <f t="shared" si="7"/>
        <v>1.4339205357142857E-4</v>
      </c>
      <c r="F90" s="12">
        <f>E90/Calculation!K$19*1000</f>
        <v>2.0576051375401243E-4</v>
      </c>
      <c r="G90" s="12">
        <f t="shared" si="8"/>
        <v>73.023360912840317</v>
      </c>
    </row>
    <row r="91" spans="1:7">
      <c r="A91" s="12">
        <v>43</v>
      </c>
      <c r="B91" s="40">
        <v>45.08</v>
      </c>
      <c r="C91" s="12">
        <f t="shared" si="5"/>
        <v>4.5079999999999995E-2</v>
      </c>
      <c r="D91" s="12">
        <f t="shared" si="6"/>
        <v>3.1601079999999996E-3</v>
      </c>
      <c r="E91" s="12">
        <f t="shared" si="7"/>
        <v>1.4107624999999999E-4</v>
      </c>
      <c r="F91" s="12">
        <f>E91/Calculation!K$19*1000</f>
        <v>2.0243745002249849E-4</v>
      </c>
      <c r="G91" s="12">
        <f t="shared" si="8"/>
        <v>73.029483882296958</v>
      </c>
    </row>
    <row r="92" spans="1:7">
      <c r="A92" s="12">
        <v>43.5</v>
      </c>
      <c r="B92" s="40">
        <v>44.34</v>
      </c>
      <c r="C92" s="12">
        <f t="shared" si="5"/>
        <v>4.4340000000000004E-2</v>
      </c>
      <c r="D92" s="12">
        <f t="shared" si="6"/>
        <v>3.1082340000000001E-3</v>
      </c>
      <c r="E92" s="12">
        <f t="shared" si="7"/>
        <v>1.3876044642857144E-4</v>
      </c>
      <c r="F92" s="12">
        <f>E92/Calculation!K$19*1000</f>
        <v>1.9911438629098457E-4</v>
      </c>
      <c r="G92" s="12">
        <f t="shared" si="8"/>
        <v>73.035507159841657</v>
      </c>
    </row>
    <row r="93" spans="1:7">
      <c r="A93" s="12">
        <v>44</v>
      </c>
      <c r="B93" s="40">
        <v>65.03</v>
      </c>
      <c r="C93" s="12">
        <f t="shared" si="5"/>
        <v>6.5030000000000004E-2</v>
      </c>
      <c r="D93" s="12">
        <f t="shared" si="6"/>
        <v>4.5586029999999996E-3</v>
      </c>
      <c r="E93" s="12">
        <f t="shared" si="7"/>
        <v>2.0350906249999999E-4</v>
      </c>
      <c r="F93" s="12">
        <f>E93/Calculation!K$19*1000</f>
        <v>2.9202545197344886E-4</v>
      </c>
      <c r="G93" s="12">
        <f t="shared" si="8"/>
        <v>73.042874257415619</v>
      </c>
    </row>
    <row r="94" spans="1:7">
      <c r="A94" s="12">
        <v>44.5</v>
      </c>
      <c r="B94" s="40">
        <v>55.42</v>
      </c>
      <c r="C94" s="12">
        <f t="shared" si="5"/>
        <v>5.5420000000000004E-2</v>
      </c>
      <c r="D94" s="12">
        <f t="shared" si="6"/>
        <v>3.8849419999999997E-3</v>
      </c>
      <c r="E94" s="12">
        <f t="shared" si="7"/>
        <v>1.734349107142857E-4</v>
      </c>
      <c r="F94" s="12">
        <f>E94/Calculation!K$19*1000</f>
        <v>2.4887052973040965E-4</v>
      </c>
      <c r="G94" s="12">
        <f t="shared" si="8"/>
        <v>73.050987697141181</v>
      </c>
    </row>
    <row r="95" spans="1:7">
      <c r="A95" s="12">
        <v>45</v>
      </c>
      <c r="B95" s="40">
        <v>33.99</v>
      </c>
      <c r="C95" s="12">
        <f t="shared" si="5"/>
        <v>3.3989999999999999E-2</v>
      </c>
      <c r="D95" s="12">
        <f t="shared" si="6"/>
        <v>2.3826989999999998E-3</v>
      </c>
      <c r="E95" s="12">
        <f t="shared" si="7"/>
        <v>1.0637049107142857E-4</v>
      </c>
      <c r="F95" s="12">
        <f>E95/Calculation!K$19*1000</f>
        <v>1.5263640031643134E-4</v>
      </c>
      <c r="G95" s="12">
        <f t="shared" si="8"/>
        <v>73.057010301091879</v>
      </c>
    </row>
    <row r="96" spans="1:7">
      <c r="A96" s="12">
        <v>45.5</v>
      </c>
      <c r="B96" s="40">
        <v>69.459999999999994</v>
      </c>
      <c r="C96" s="12">
        <f t="shared" si="5"/>
        <v>6.9459999999999994E-2</v>
      </c>
      <c r="D96" s="12">
        <f t="shared" si="6"/>
        <v>4.8691459999999987E-3</v>
      </c>
      <c r="E96" s="12">
        <f t="shared" si="7"/>
        <v>2.1737258928571424E-4</v>
      </c>
      <c r="F96" s="12">
        <f>E96/Calculation!K$19*1000</f>
        <v>3.1191892809589045E-4</v>
      </c>
      <c r="G96" s="12">
        <f t="shared" si="8"/>
        <v>73.06397863101806</v>
      </c>
    </row>
    <row r="97" spans="1:7">
      <c r="A97" s="12">
        <v>46</v>
      </c>
      <c r="B97" s="40">
        <v>69.459999999999994</v>
      </c>
      <c r="C97" s="12">
        <f t="shared" si="5"/>
        <v>6.9459999999999994E-2</v>
      </c>
      <c r="D97" s="12">
        <f t="shared" si="6"/>
        <v>4.8691459999999987E-3</v>
      </c>
      <c r="E97" s="12">
        <f t="shared" si="7"/>
        <v>2.1737258928571424E-4</v>
      </c>
      <c r="F97" s="12">
        <f>E97/Calculation!K$19*1000</f>
        <v>3.1191892809589045E-4</v>
      </c>
      <c r="G97" s="12">
        <f t="shared" si="8"/>
        <v>73.073336198860943</v>
      </c>
    </row>
    <row r="98" spans="1:7">
      <c r="A98" s="12">
        <v>46.5</v>
      </c>
      <c r="B98" s="40">
        <v>56.9</v>
      </c>
      <c r="C98" s="12">
        <f t="shared" si="5"/>
        <v>5.6899999999999999E-2</v>
      </c>
      <c r="D98" s="12">
        <f t="shared" si="6"/>
        <v>3.9886899999999996E-3</v>
      </c>
      <c r="E98" s="12">
        <f t="shared" si="7"/>
        <v>1.7806651785714285E-4</v>
      </c>
      <c r="F98" s="12">
        <f>E98/Calculation!K$19*1000</f>
        <v>2.5551665719343754E-4</v>
      </c>
      <c r="G98" s="12">
        <f t="shared" si="8"/>
        <v>73.081847732640284</v>
      </c>
    </row>
    <row r="99" spans="1:7">
      <c r="A99" s="12">
        <v>47</v>
      </c>
      <c r="B99" s="40">
        <v>65.03</v>
      </c>
      <c r="C99" s="12">
        <f t="shared" si="5"/>
        <v>6.5030000000000004E-2</v>
      </c>
      <c r="D99" s="12">
        <f t="shared" si="6"/>
        <v>4.5586029999999996E-3</v>
      </c>
      <c r="E99" s="12">
        <f t="shared" si="7"/>
        <v>2.0350906249999999E-4</v>
      </c>
      <c r="F99" s="12">
        <f>E99/Calculation!K$19*1000</f>
        <v>2.9202545197344886E-4</v>
      </c>
      <c r="G99" s="12">
        <f t="shared" si="8"/>
        <v>73.090060864277788</v>
      </c>
    </row>
    <row r="100" spans="1:7">
      <c r="A100" s="12">
        <v>47.5</v>
      </c>
      <c r="B100" s="40">
        <v>55.42</v>
      </c>
      <c r="C100" s="12">
        <f t="shared" si="5"/>
        <v>5.5420000000000004E-2</v>
      </c>
      <c r="D100" s="12">
        <f t="shared" si="6"/>
        <v>3.8849419999999997E-3</v>
      </c>
      <c r="E100" s="12">
        <f t="shared" si="7"/>
        <v>1.734349107142857E-4</v>
      </c>
      <c r="F100" s="12">
        <f>E100/Calculation!K$19*1000</f>
        <v>2.4887052973040965E-4</v>
      </c>
      <c r="G100" s="12">
        <f t="shared" si="8"/>
        <v>73.098174304003351</v>
      </c>
    </row>
    <row r="101" spans="1:7">
      <c r="A101" s="12">
        <v>48</v>
      </c>
      <c r="B101" s="40">
        <v>84.98</v>
      </c>
      <c r="C101" s="12">
        <f t="shared" ref="C101" si="9">B101/1000</f>
        <v>8.498E-2</v>
      </c>
      <c r="D101" s="12">
        <f t="shared" si="6"/>
        <v>5.9570980000000001E-3</v>
      </c>
      <c r="E101" s="12">
        <f t="shared" si="7"/>
        <v>2.6594187500000003E-4</v>
      </c>
      <c r="F101" s="12">
        <f>E101/Calculation!K$20*1000</f>
        <v>4.3921548470544084E-4</v>
      </c>
      <c r="G101" s="12">
        <f t="shared" si="8"/>
        <v>73.108495594219889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C5" evalError="1"/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Fermentation</vt:lpstr>
      <vt:lpstr>Calculation</vt:lpstr>
      <vt:lpstr>Plate Count</vt:lpstr>
      <vt:lpstr>Flow cytometer</vt:lpstr>
      <vt:lpstr>Calibration R. intestinalis </vt:lpstr>
      <vt:lpstr>Determination cell counts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Lefeber</dc:creator>
  <cp:keywords/>
  <dc:description/>
  <cp:lastModifiedBy>Kevin D'hoe</cp:lastModifiedBy>
  <cp:lastPrinted>2009-02-16T08:48:51Z</cp:lastPrinted>
  <dcterms:created xsi:type="dcterms:W3CDTF">2009-02-15T16:08:16Z</dcterms:created>
  <dcterms:modified xsi:type="dcterms:W3CDTF">2016-04-13T16:14:47Z</dcterms:modified>
  <cp:category/>
</cp:coreProperties>
</file>