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240" windowWidth="25280" windowHeight="15780" tabRatio="930" firstSheet="7" activeTab="18"/>
  </bookViews>
  <sheets>
    <sheet name="Fermentation" sheetId="1" r:id="rId1"/>
    <sheet name="Calculation" sheetId="2" r:id="rId2"/>
    <sheet name="Plate Count" sheetId="3" r:id="rId3"/>
    <sheet name="Flow cytometer" sheetId="22" r:id="rId4"/>
    <sheet name="Calibration R. intestinalis " sheetId="26" r:id="rId5"/>
    <sheet name="Determination cell counts RI" sheetId="27" r:id="rId6"/>
    <sheet name="OD600nm" sheetId="4" r:id="rId7"/>
    <sheet name="CDM" sheetId="5" r:id="rId8"/>
    <sheet name="H2" sheetId="17" r:id="rId9"/>
    <sheet name="CO2" sheetId="7" r:id="rId10"/>
    <sheet name="Metabolites" sheetId="8" r:id="rId11"/>
    <sheet name="D-Fructose" sheetId="19" r:id="rId12"/>
    <sheet name="Formic acid" sheetId="18" r:id="rId13"/>
    <sheet name="Acetic acid" sheetId="15" r:id="rId14"/>
    <sheet name="Propionic acid" sheetId="20" r:id="rId15"/>
    <sheet name="Butyric acid" sheetId="21" r:id="rId16"/>
    <sheet name="Lactic acid" sheetId="14" r:id="rId17"/>
    <sheet name="Ethanol" sheetId="16" r:id="rId18"/>
    <sheet name="Graph" sheetId="13" r:id="rId19"/>
    <sheet name="Graph (2)" sheetId="25" r:id="rId20"/>
    <sheet name="Carbon recovery" sheetId="23" r:id="rId21"/>
  </sheets>
  <definedNames>
    <definedName name="_2012_05_10_FPRAU_fruc1" localSheetId="9">'CO2'!$I$5:$I$293</definedName>
    <definedName name="_2012_06_08_BIF_REC_OLI_1" localSheetId="9">'CO2'!$N$5:$N$201</definedName>
    <definedName name="_2012_06_08_BIF_REC_OLI_1" localSheetId="8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1" i="27" l="1"/>
  <c r="H69" i="27"/>
  <c r="H68" i="27"/>
  <c r="H67" i="27"/>
  <c r="H66" i="27"/>
  <c r="H65" i="27"/>
  <c r="H64" i="27"/>
  <c r="H63" i="27"/>
  <c r="H62" i="27"/>
  <c r="H61" i="27"/>
  <c r="H60" i="27"/>
  <c r="H59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I11" i="27"/>
  <c r="J11" i="27"/>
  <c r="H11" i="27"/>
  <c r="H5" i="27"/>
  <c r="I5" i="27"/>
  <c r="J5" i="27"/>
  <c r="H6" i="27"/>
  <c r="I6" i="27"/>
  <c r="J6" i="27"/>
  <c r="H7" i="27"/>
  <c r="I7" i="27"/>
  <c r="J7" i="27"/>
  <c r="H8" i="27"/>
  <c r="I8" i="27"/>
  <c r="J8" i="27"/>
  <c r="H9" i="27"/>
  <c r="I9" i="27"/>
  <c r="J9" i="27"/>
  <c r="H10" i="27"/>
  <c r="I10" i="27"/>
  <c r="J10" i="27"/>
  <c r="H12" i="27"/>
  <c r="I12" i="27"/>
  <c r="J12" i="27"/>
  <c r="H13" i="27"/>
  <c r="I13" i="27"/>
  <c r="J13" i="27"/>
  <c r="H14" i="27"/>
  <c r="I14" i="27"/>
  <c r="J14" i="27"/>
  <c r="H15" i="27"/>
  <c r="I15" i="27"/>
  <c r="J15" i="27"/>
  <c r="H16" i="27"/>
  <c r="I16" i="27"/>
  <c r="J16" i="27"/>
  <c r="H17" i="27"/>
  <c r="I17" i="27"/>
  <c r="J17" i="27"/>
  <c r="H18" i="27"/>
  <c r="I18" i="27"/>
  <c r="J18" i="27"/>
  <c r="H19" i="27"/>
  <c r="I19" i="27"/>
  <c r="J19" i="27"/>
  <c r="I4" i="27"/>
  <c r="J4" i="27"/>
  <c r="H4" i="27"/>
  <c r="B23" i="27"/>
  <c r="B22" i="27"/>
  <c r="K4" i="27"/>
  <c r="L4" i="27"/>
  <c r="M4" i="27"/>
  <c r="P4" i="27"/>
  <c r="R4" i="27"/>
  <c r="K5" i="27"/>
  <c r="L5" i="27"/>
  <c r="M5" i="27"/>
  <c r="O5" i="27"/>
  <c r="S5" i="27"/>
  <c r="K6" i="27"/>
  <c r="L6" i="27"/>
  <c r="M6" i="27"/>
  <c r="O6" i="27"/>
  <c r="S6" i="27"/>
  <c r="K7" i="27"/>
  <c r="L7" i="27"/>
  <c r="M7" i="27"/>
  <c r="O7" i="27"/>
  <c r="S7" i="27"/>
  <c r="K8" i="27"/>
  <c r="L8" i="27"/>
  <c r="M8" i="27"/>
  <c r="O8" i="27"/>
  <c r="S8" i="27"/>
  <c r="K9" i="27"/>
  <c r="L9" i="27"/>
  <c r="M9" i="27"/>
  <c r="O9" i="27"/>
  <c r="S9" i="27"/>
  <c r="K10" i="27"/>
  <c r="L10" i="27"/>
  <c r="M10" i="27"/>
  <c r="O10" i="27"/>
  <c r="S10" i="27"/>
  <c r="K11" i="27"/>
  <c r="L11" i="27"/>
  <c r="M11" i="27"/>
  <c r="O11" i="27"/>
  <c r="S11" i="27"/>
  <c r="K12" i="27"/>
  <c r="L12" i="27"/>
  <c r="M12" i="27"/>
  <c r="O12" i="27"/>
  <c r="S12" i="27"/>
  <c r="K13" i="27"/>
  <c r="L13" i="27"/>
  <c r="M13" i="27"/>
  <c r="O13" i="27"/>
  <c r="S13" i="27"/>
  <c r="K14" i="27"/>
  <c r="L14" i="27"/>
  <c r="M14" i="27"/>
  <c r="O14" i="27"/>
  <c r="S14" i="27"/>
  <c r="K15" i="27"/>
  <c r="L15" i="27"/>
  <c r="M15" i="27"/>
  <c r="O15" i="27"/>
  <c r="S15" i="27"/>
  <c r="K16" i="27"/>
  <c r="L16" i="27"/>
  <c r="M16" i="27"/>
  <c r="O16" i="27"/>
  <c r="S16" i="27"/>
  <c r="K17" i="27"/>
  <c r="L17" i="27"/>
  <c r="M17" i="27"/>
  <c r="O17" i="27"/>
  <c r="S17" i="27"/>
  <c r="K18" i="27"/>
  <c r="L18" i="27"/>
  <c r="M18" i="27"/>
  <c r="O18" i="27"/>
  <c r="S18" i="27"/>
  <c r="K19" i="27"/>
  <c r="L19" i="27"/>
  <c r="M19" i="27"/>
  <c r="O19" i="27"/>
  <c r="S19" i="27"/>
  <c r="O4" i="27"/>
  <c r="S4" i="27"/>
  <c r="Q5" i="27"/>
  <c r="Q6" i="27"/>
  <c r="Q7" i="27"/>
  <c r="Q8" i="27"/>
  <c r="Q9" i="27"/>
  <c r="Q10" i="27"/>
  <c r="Q11" i="27"/>
  <c r="Q12" i="27"/>
  <c r="Q13" i="27"/>
  <c r="Q14" i="27"/>
  <c r="Q15" i="27"/>
  <c r="Q16" i="27"/>
  <c r="Q17" i="27"/>
  <c r="Q18" i="27"/>
  <c r="Q19" i="27"/>
  <c r="Q4" i="27"/>
  <c r="P5" i="27"/>
  <c r="P6" i="27"/>
  <c r="P7" i="27"/>
  <c r="P8" i="27"/>
  <c r="P9" i="27"/>
  <c r="P10" i="27"/>
  <c r="P11" i="27"/>
  <c r="P12" i="27"/>
  <c r="P13" i="27"/>
  <c r="P14" i="27"/>
  <c r="P15" i="27"/>
  <c r="P16" i="27"/>
  <c r="P17" i="27"/>
  <c r="P18" i="27"/>
  <c r="P19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R19" i="27"/>
  <c r="N19" i="27"/>
  <c r="R18" i="27"/>
  <c r="N18" i="27"/>
  <c r="R17" i="27"/>
  <c r="N17" i="27"/>
  <c r="R16" i="27"/>
  <c r="N16" i="27"/>
  <c r="R15" i="27"/>
  <c r="N15" i="27"/>
  <c r="R14" i="27"/>
  <c r="N14" i="27"/>
  <c r="R13" i="27"/>
  <c r="N13" i="27"/>
  <c r="R12" i="27"/>
  <c r="N12" i="27"/>
  <c r="R11" i="27"/>
  <c r="N11" i="27"/>
  <c r="R10" i="27"/>
  <c r="N10" i="27"/>
  <c r="R9" i="27"/>
  <c r="N9" i="27"/>
  <c r="R8" i="27"/>
  <c r="N8" i="27"/>
  <c r="R7" i="27"/>
  <c r="N7" i="27"/>
  <c r="R6" i="27"/>
  <c r="N6" i="27"/>
  <c r="R5" i="27"/>
  <c r="N5" i="27"/>
  <c r="N4" i="27"/>
  <c r="D48" i="26"/>
  <c r="F40" i="26"/>
  <c r="G38" i="26"/>
  <c r="H38" i="26"/>
  <c r="I38" i="26"/>
  <c r="J38" i="26"/>
  <c r="K38" i="26"/>
  <c r="L38" i="26"/>
  <c r="F38" i="26"/>
  <c r="G37" i="26"/>
  <c r="H37" i="26"/>
  <c r="I37" i="26"/>
  <c r="J37" i="26"/>
  <c r="K37" i="26"/>
  <c r="L37" i="26"/>
  <c r="F37" i="26"/>
  <c r="G36" i="26"/>
  <c r="H36" i="26"/>
  <c r="I36" i="26"/>
  <c r="J36" i="26"/>
  <c r="L36" i="26"/>
  <c r="F36" i="26"/>
  <c r="G35" i="26"/>
  <c r="H35" i="26"/>
  <c r="I35" i="26"/>
  <c r="J35" i="26"/>
  <c r="K35" i="26"/>
  <c r="L35" i="26"/>
  <c r="F35" i="26"/>
  <c r="G34" i="26"/>
  <c r="H34" i="26"/>
  <c r="I34" i="26"/>
  <c r="J34" i="26"/>
  <c r="K34" i="26"/>
  <c r="L34" i="26"/>
  <c r="F34" i="26"/>
  <c r="G33" i="26"/>
  <c r="H33" i="26"/>
  <c r="I33" i="26"/>
  <c r="J33" i="26"/>
  <c r="K33" i="26"/>
  <c r="L33" i="26"/>
  <c r="F33" i="26"/>
  <c r="G32" i="26"/>
  <c r="H32" i="26"/>
  <c r="I32" i="26"/>
  <c r="J32" i="26"/>
  <c r="K32" i="26"/>
  <c r="L32" i="26"/>
  <c r="F32" i="26"/>
  <c r="G31" i="26"/>
  <c r="H31" i="26"/>
  <c r="I31" i="26"/>
  <c r="J31" i="26"/>
  <c r="K31" i="26"/>
  <c r="L31" i="26"/>
  <c r="F31" i="26"/>
  <c r="G30" i="26"/>
  <c r="H30" i="26"/>
  <c r="I30" i="26"/>
  <c r="J30" i="26"/>
  <c r="K30" i="26"/>
  <c r="L30" i="26"/>
  <c r="F30" i="26"/>
  <c r="G29" i="26"/>
  <c r="H29" i="26"/>
  <c r="I29" i="26"/>
  <c r="J29" i="26"/>
  <c r="K29" i="26"/>
  <c r="L29" i="26"/>
  <c r="F29" i="26"/>
  <c r="G28" i="26"/>
  <c r="H28" i="26"/>
  <c r="I28" i="26"/>
  <c r="J28" i="26"/>
  <c r="K28" i="26"/>
  <c r="L28" i="26"/>
  <c r="F28" i="26"/>
  <c r="G27" i="26"/>
  <c r="H27" i="26"/>
  <c r="I27" i="26"/>
  <c r="J27" i="26"/>
  <c r="K27" i="26"/>
  <c r="L27" i="26"/>
  <c r="F27" i="26"/>
  <c r="G26" i="26"/>
  <c r="H26" i="26"/>
  <c r="I26" i="26"/>
  <c r="J26" i="26"/>
  <c r="K26" i="26"/>
  <c r="L26" i="26"/>
  <c r="F26" i="26"/>
  <c r="G25" i="26"/>
  <c r="H25" i="26"/>
  <c r="I25" i="26"/>
  <c r="J25" i="26"/>
  <c r="K25" i="26"/>
  <c r="L25" i="26"/>
  <c r="F25" i="26"/>
  <c r="G24" i="26"/>
  <c r="H24" i="26"/>
  <c r="I24" i="26"/>
  <c r="J24" i="26"/>
  <c r="K24" i="26"/>
  <c r="L24" i="26"/>
  <c r="F24" i="26"/>
  <c r="G23" i="26"/>
  <c r="H23" i="26"/>
  <c r="I23" i="26"/>
  <c r="J23" i="26"/>
  <c r="K23" i="26"/>
  <c r="L23" i="26"/>
  <c r="F23" i="26"/>
  <c r="O19" i="26"/>
  <c r="K19" i="26"/>
  <c r="G19" i="26"/>
  <c r="P19" i="26"/>
  <c r="R19" i="26"/>
  <c r="Q19" i="26"/>
  <c r="O18" i="26"/>
  <c r="K18" i="26"/>
  <c r="G18" i="26"/>
  <c r="P18" i="26"/>
  <c r="R18" i="26"/>
  <c r="Q18" i="26"/>
  <c r="O17" i="26"/>
  <c r="K17" i="26"/>
  <c r="G17" i="26"/>
  <c r="P17" i="26"/>
  <c r="R17" i="26"/>
  <c r="Q17" i="26"/>
  <c r="O16" i="26"/>
  <c r="K16" i="26"/>
  <c r="G16" i="26"/>
  <c r="P16" i="26"/>
  <c r="R16" i="26"/>
  <c r="Q16" i="26"/>
  <c r="O15" i="26"/>
  <c r="K15" i="26"/>
  <c r="G15" i="26"/>
  <c r="P15" i="26"/>
  <c r="R15" i="26"/>
  <c r="Q15" i="26"/>
  <c r="O14" i="26"/>
  <c r="K14" i="26"/>
  <c r="G14" i="26"/>
  <c r="P14" i="26"/>
  <c r="R14" i="26"/>
  <c r="Q14" i="26"/>
  <c r="O13" i="26"/>
  <c r="K13" i="26"/>
  <c r="G13" i="26"/>
  <c r="P13" i="26"/>
  <c r="R13" i="26"/>
  <c r="Q13" i="26"/>
  <c r="O12" i="26"/>
  <c r="K12" i="26"/>
  <c r="G12" i="26"/>
  <c r="P12" i="26"/>
  <c r="R12" i="26"/>
  <c r="Q12" i="26"/>
  <c r="O11" i="26"/>
  <c r="K11" i="26"/>
  <c r="G11" i="26"/>
  <c r="P11" i="26"/>
  <c r="R11" i="26"/>
  <c r="Q11" i="26"/>
  <c r="O10" i="26"/>
  <c r="K10" i="26"/>
  <c r="G10" i="26"/>
  <c r="P10" i="26"/>
  <c r="R10" i="26"/>
  <c r="Q10" i="26"/>
  <c r="O9" i="26"/>
  <c r="K9" i="26"/>
  <c r="G9" i="26"/>
  <c r="P9" i="26"/>
  <c r="R9" i="26"/>
  <c r="Q9" i="26"/>
  <c r="O8" i="26"/>
  <c r="K8" i="26"/>
  <c r="G8" i="26"/>
  <c r="P8" i="26"/>
  <c r="R8" i="26"/>
  <c r="Q8" i="26"/>
  <c r="O7" i="26"/>
  <c r="K7" i="26"/>
  <c r="G7" i="26"/>
  <c r="P7" i="26"/>
  <c r="R7" i="26"/>
  <c r="Q7" i="26"/>
  <c r="O6" i="26"/>
  <c r="K6" i="26"/>
  <c r="G6" i="26"/>
  <c r="P6" i="26"/>
  <c r="R6" i="26"/>
  <c r="Q6" i="26"/>
  <c r="O5" i="26"/>
  <c r="K5" i="26"/>
  <c r="G5" i="26"/>
  <c r="P5" i="26"/>
  <c r="R5" i="26"/>
  <c r="Q5" i="26"/>
  <c r="O4" i="26"/>
  <c r="K4" i="26"/>
  <c r="G4" i="26"/>
  <c r="P4" i="26"/>
  <c r="R4" i="26"/>
  <c r="Q4" i="26"/>
  <c r="D26" i="23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203" i="17"/>
  <c r="F202" i="17"/>
  <c r="F201" i="17"/>
  <c r="F200" i="17"/>
  <c r="F199" i="17"/>
  <c r="F198" i="17"/>
  <c r="F197" i="17"/>
  <c r="F196" i="17"/>
  <c r="F195" i="17"/>
  <c r="F194" i="17"/>
  <c r="F193" i="17"/>
  <c r="F192" i="17"/>
  <c r="F191" i="17"/>
  <c r="F190" i="17"/>
  <c r="F189" i="17"/>
  <c r="F188" i="17"/>
  <c r="F187" i="17"/>
  <c r="F186" i="17"/>
  <c r="F185" i="17"/>
  <c r="F184" i="17"/>
  <c r="F183" i="17"/>
  <c r="F182" i="17"/>
  <c r="F181" i="17"/>
  <c r="F180" i="17"/>
  <c r="F179" i="17"/>
  <c r="F178" i="17"/>
  <c r="F177" i="17"/>
  <c r="F176" i="17"/>
  <c r="F175" i="17"/>
  <c r="F174" i="17"/>
  <c r="F173" i="17"/>
  <c r="F172" i="17"/>
  <c r="F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1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65" i="17"/>
  <c r="F54" i="17"/>
  <c r="F55" i="17"/>
  <c r="F56" i="17"/>
  <c r="F57" i="17"/>
  <c r="F58" i="17"/>
  <c r="F59" i="17"/>
  <c r="F60" i="17"/>
  <c r="F61" i="17"/>
  <c r="F62" i="17"/>
  <c r="F63" i="17"/>
  <c r="F64" i="17"/>
  <c r="F53" i="17"/>
  <c r="F43" i="17"/>
  <c r="F44" i="17"/>
  <c r="F45" i="17"/>
  <c r="F46" i="17"/>
  <c r="F47" i="17"/>
  <c r="F48" i="17"/>
  <c r="F49" i="17"/>
  <c r="F50" i="17"/>
  <c r="F51" i="17"/>
  <c r="F52" i="17"/>
  <c r="F42" i="17"/>
  <c r="F40" i="17"/>
  <c r="F41" i="17"/>
  <c r="F39" i="17"/>
  <c r="F38" i="17"/>
  <c r="F37" i="17"/>
  <c r="F35" i="17"/>
  <c r="F36" i="17"/>
  <c r="F34" i="17"/>
  <c r="F32" i="17"/>
  <c r="F33" i="17"/>
  <c r="F31" i="17"/>
  <c r="F30" i="17"/>
  <c r="F29" i="17"/>
  <c r="F27" i="17"/>
  <c r="F28" i="17"/>
  <c r="F26" i="17"/>
  <c r="F21" i="17"/>
  <c r="F22" i="17"/>
  <c r="F23" i="17"/>
  <c r="F24" i="17"/>
  <c r="F25" i="17"/>
  <c r="F20" i="17"/>
  <c r="F18" i="17"/>
  <c r="F19" i="17"/>
  <c r="F17" i="17"/>
  <c r="F16" i="17"/>
  <c r="F15" i="17"/>
  <c r="F14" i="17"/>
  <c r="F13" i="17"/>
  <c r="F12" i="17"/>
  <c r="F10" i="17"/>
  <c r="F11" i="17"/>
  <c r="F9" i="17"/>
  <c r="F6" i="17"/>
  <c r="F7" i="17"/>
  <c r="F8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107" i="17"/>
  <c r="X5" i="22"/>
  <c r="X6" i="22"/>
  <c r="X7" i="22"/>
  <c r="X8" i="22"/>
  <c r="X9" i="22"/>
  <c r="X10" i="22"/>
  <c r="X11" i="22"/>
  <c r="X12" i="22"/>
  <c r="X13" i="22"/>
  <c r="X14" i="22"/>
  <c r="X15" i="22"/>
  <c r="X16" i="22"/>
  <c r="X17" i="22"/>
  <c r="X18" i="22"/>
  <c r="X19" i="22"/>
  <c r="X4" i="22"/>
  <c r="Q4" i="22"/>
  <c r="U19" i="22"/>
  <c r="V19" i="22"/>
  <c r="W19" i="22"/>
  <c r="U18" i="22"/>
  <c r="V18" i="22"/>
  <c r="W18" i="22"/>
  <c r="U17" i="22"/>
  <c r="V17" i="22"/>
  <c r="W17" i="22"/>
  <c r="U16" i="22"/>
  <c r="V16" i="22"/>
  <c r="W16" i="22"/>
  <c r="U15" i="22"/>
  <c r="V15" i="22"/>
  <c r="W15" i="22"/>
  <c r="U14" i="22"/>
  <c r="V14" i="22"/>
  <c r="W14" i="22"/>
  <c r="U13" i="22"/>
  <c r="V13" i="22"/>
  <c r="W13" i="22"/>
  <c r="U12" i="22"/>
  <c r="V12" i="22"/>
  <c r="W12" i="22"/>
  <c r="U11" i="22"/>
  <c r="V11" i="22"/>
  <c r="W11" i="22"/>
  <c r="U10" i="22"/>
  <c r="V10" i="22"/>
  <c r="W10" i="22"/>
  <c r="U9" i="22"/>
  <c r="V9" i="22"/>
  <c r="W9" i="22"/>
  <c r="U8" i="22"/>
  <c r="V8" i="22"/>
  <c r="W8" i="22"/>
  <c r="U7" i="22"/>
  <c r="V7" i="22"/>
  <c r="W7" i="22"/>
  <c r="U6" i="22"/>
  <c r="V6" i="22"/>
  <c r="W6" i="22"/>
  <c r="U5" i="22"/>
  <c r="V5" i="22"/>
  <c r="W5" i="22"/>
  <c r="U4" i="22"/>
  <c r="V4" i="22"/>
  <c r="W4" i="22"/>
  <c r="C106" i="7"/>
  <c r="D106" i="7"/>
  <c r="E106" i="7"/>
  <c r="G106" i="7"/>
  <c r="C107" i="7"/>
  <c r="D107" i="7"/>
  <c r="E107" i="7"/>
  <c r="G107" i="7"/>
  <c r="C108" i="7"/>
  <c r="D108" i="7"/>
  <c r="E108" i="7"/>
  <c r="G108" i="7"/>
  <c r="C109" i="7"/>
  <c r="D109" i="7"/>
  <c r="E109" i="7"/>
  <c r="G109" i="7"/>
  <c r="C110" i="7"/>
  <c r="D110" i="7"/>
  <c r="E110" i="7"/>
  <c r="G110" i="7"/>
  <c r="C111" i="7"/>
  <c r="D111" i="7"/>
  <c r="E111" i="7"/>
  <c r="G111" i="7"/>
  <c r="C112" i="7"/>
  <c r="D112" i="7"/>
  <c r="E112" i="7"/>
  <c r="G112" i="7"/>
  <c r="C113" i="7"/>
  <c r="D113" i="7"/>
  <c r="E113" i="7"/>
  <c r="G113" i="7"/>
  <c r="C114" i="7"/>
  <c r="D114" i="7"/>
  <c r="E114" i="7"/>
  <c r="G114" i="7"/>
  <c r="C115" i="7"/>
  <c r="D115" i="7"/>
  <c r="E115" i="7"/>
  <c r="G115" i="7"/>
  <c r="C116" i="7"/>
  <c r="D116" i="7"/>
  <c r="E116" i="7"/>
  <c r="G116" i="7"/>
  <c r="C117" i="7"/>
  <c r="D117" i="7"/>
  <c r="E117" i="7"/>
  <c r="G117" i="7"/>
  <c r="C118" i="7"/>
  <c r="D118" i="7"/>
  <c r="E118" i="7"/>
  <c r="G118" i="7"/>
  <c r="C119" i="7"/>
  <c r="D119" i="7"/>
  <c r="E119" i="7"/>
  <c r="G119" i="7"/>
  <c r="C120" i="7"/>
  <c r="D120" i="7"/>
  <c r="E120" i="7"/>
  <c r="G120" i="7"/>
  <c r="C121" i="7"/>
  <c r="D121" i="7"/>
  <c r="E121" i="7"/>
  <c r="G121" i="7"/>
  <c r="C122" i="7"/>
  <c r="D122" i="7"/>
  <c r="E122" i="7"/>
  <c r="G122" i="7"/>
  <c r="C123" i="7"/>
  <c r="D123" i="7"/>
  <c r="E123" i="7"/>
  <c r="G123" i="7"/>
  <c r="C124" i="7"/>
  <c r="D124" i="7"/>
  <c r="E124" i="7"/>
  <c r="G124" i="7"/>
  <c r="C125" i="7"/>
  <c r="D125" i="7"/>
  <c r="E125" i="7"/>
  <c r="G125" i="7"/>
  <c r="C126" i="7"/>
  <c r="D126" i="7"/>
  <c r="E126" i="7"/>
  <c r="G126" i="7"/>
  <c r="C127" i="7"/>
  <c r="D127" i="7"/>
  <c r="E127" i="7"/>
  <c r="G127" i="7"/>
  <c r="C128" i="7"/>
  <c r="D128" i="7"/>
  <c r="E128" i="7"/>
  <c r="G128" i="7"/>
  <c r="C129" i="7"/>
  <c r="D129" i="7"/>
  <c r="E129" i="7"/>
  <c r="G129" i="7"/>
  <c r="C130" i="7"/>
  <c r="D130" i="7"/>
  <c r="E130" i="7"/>
  <c r="G130" i="7"/>
  <c r="C131" i="7"/>
  <c r="D131" i="7"/>
  <c r="E131" i="7"/>
  <c r="G131" i="7"/>
  <c r="C132" i="7"/>
  <c r="D132" i="7"/>
  <c r="E132" i="7"/>
  <c r="G132" i="7"/>
  <c r="C133" i="7"/>
  <c r="D133" i="7"/>
  <c r="E133" i="7"/>
  <c r="G133" i="7"/>
  <c r="C134" i="7"/>
  <c r="D134" i="7"/>
  <c r="E134" i="7"/>
  <c r="G134" i="7"/>
  <c r="C135" i="7"/>
  <c r="D135" i="7"/>
  <c r="E135" i="7"/>
  <c r="G135" i="7"/>
  <c r="C136" i="7"/>
  <c r="D136" i="7"/>
  <c r="E136" i="7"/>
  <c r="G136" i="7"/>
  <c r="C137" i="7"/>
  <c r="D137" i="7"/>
  <c r="E137" i="7"/>
  <c r="G137" i="7"/>
  <c r="C138" i="7"/>
  <c r="D138" i="7"/>
  <c r="E138" i="7"/>
  <c r="G138" i="7"/>
  <c r="C139" i="7"/>
  <c r="D139" i="7"/>
  <c r="E139" i="7"/>
  <c r="G139" i="7"/>
  <c r="C140" i="7"/>
  <c r="D140" i="7"/>
  <c r="E140" i="7"/>
  <c r="G140" i="7"/>
  <c r="C141" i="7"/>
  <c r="D141" i="7"/>
  <c r="E141" i="7"/>
  <c r="G141" i="7"/>
  <c r="C142" i="7"/>
  <c r="D142" i="7"/>
  <c r="E142" i="7"/>
  <c r="G142" i="7"/>
  <c r="C143" i="7"/>
  <c r="D143" i="7"/>
  <c r="E143" i="7"/>
  <c r="G143" i="7"/>
  <c r="C144" i="7"/>
  <c r="D144" i="7"/>
  <c r="E144" i="7"/>
  <c r="G144" i="7"/>
  <c r="C145" i="7"/>
  <c r="D145" i="7"/>
  <c r="E145" i="7"/>
  <c r="G145" i="7"/>
  <c r="C146" i="7"/>
  <c r="D146" i="7"/>
  <c r="E146" i="7"/>
  <c r="G146" i="7"/>
  <c r="C147" i="7"/>
  <c r="D147" i="7"/>
  <c r="E147" i="7"/>
  <c r="G147" i="7"/>
  <c r="C148" i="7"/>
  <c r="D148" i="7"/>
  <c r="E148" i="7"/>
  <c r="G148" i="7"/>
  <c r="C149" i="7"/>
  <c r="D149" i="7"/>
  <c r="E149" i="7"/>
  <c r="G149" i="7"/>
  <c r="C150" i="7"/>
  <c r="D150" i="7"/>
  <c r="E150" i="7"/>
  <c r="G150" i="7"/>
  <c r="C151" i="7"/>
  <c r="D151" i="7"/>
  <c r="E151" i="7"/>
  <c r="G151" i="7"/>
  <c r="C152" i="7"/>
  <c r="D152" i="7"/>
  <c r="E152" i="7"/>
  <c r="G152" i="7"/>
  <c r="C153" i="7"/>
  <c r="D153" i="7"/>
  <c r="E153" i="7"/>
  <c r="G153" i="7"/>
  <c r="C154" i="7"/>
  <c r="D154" i="7"/>
  <c r="E154" i="7"/>
  <c r="G154" i="7"/>
  <c r="C155" i="7"/>
  <c r="D155" i="7"/>
  <c r="E155" i="7"/>
  <c r="G155" i="7"/>
  <c r="C156" i="7"/>
  <c r="D156" i="7"/>
  <c r="E156" i="7"/>
  <c r="G156" i="7"/>
  <c r="C157" i="7"/>
  <c r="D157" i="7"/>
  <c r="E157" i="7"/>
  <c r="G157" i="7"/>
  <c r="C158" i="7"/>
  <c r="D158" i="7"/>
  <c r="E158" i="7"/>
  <c r="G158" i="7"/>
  <c r="C159" i="7"/>
  <c r="D159" i="7"/>
  <c r="E159" i="7"/>
  <c r="G159" i="7"/>
  <c r="C160" i="7"/>
  <c r="D160" i="7"/>
  <c r="E160" i="7"/>
  <c r="G160" i="7"/>
  <c r="C161" i="7"/>
  <c r="D161" i="7"/>
  <c r="E161" i="7"/>
  <c r="G161" i="7"/>
  <c r="C162" i="7"/>
  <c r="D162" i="7"/>
  <c r="E162" i="7"/>
  <c r="G162" i="7"/>
  <c r="C163" i="7"/>
  <c r="D163" i="7"/>
  <c r="E163" i="7"/>
  <c r="G163" i="7"/>
  <c r="C164" i="7"/>
  <c r="D164" i="7"/>
  <c r="E164" i="7"/>
  <c r="G164" i="7"/>
  <c r="C165" i="7"/>
  <c r="D165" i="7"/>
  <c r="E165" i="7"/>
  <c r="G165" i="7"/>
  <c r="C166" i="7"/>
  <c r="D166" i="7"/>
  <c r="E166" i="7"/>
  <c r="G166" i="7"/>
  <c r="C167" i="7"/>
  <c r="D167" i="7"/>
  <c r="E167" i="7"/>
  <c r="G167" i="7"/>
  <c r="C168" i="7"/>
  <c r="D168" i="7"/>
  <c r="E168" i="7"/>
  <c r="G168" i="7"/>
  <c r="C169" i="7"/>
  <c r="D169" i="7"/>
  <c r="E169" i="7"/>
  <c r="G169" i="7"/>
  <c r="C170" i="7"/>
  <c r="D170" i="7"/>
  <c r="E170" i="7"/>
  <c r="G170" i="7"/>
  <c r="C171" i="7"/>
  <c r="D171" i="7"/>
  <c r="E171" i="7"/>
  <c r="G171" i="7"/>
  <c r="C172" i="7"/>
  <c r="D172" i="7"/>
  <c r="E172" i="7"/>
  <c r="G172" i="7"/>
  <c r="C173" i="7"/>
  <c r="D173" i="7"/>
  <c r="E173" i="7"/>
  <c r="G173" i="7"/>
  <c r="C174" i="7"/>
  <c r="D174" i="7"/>
  <c r="E174" i="7"/>
  <c r="G174" i="7"/>
  <c r="C175" i="7"/>
  <c r="D175" i="7"/>
  <c r="E175" i="7"/>
  <c r="G175" i="7"/>
  <c r="C176" i="7"/>
  <c r="D176" i="7"/>
  <c r="E176" i="7"/>
  <c r="G176" i="7"/>
  <c r="C177" i="7"/>
  <c r="D177" i="7"/>
  <c r="E177" i="7"/>
  <c r="G177" i="7"/>
  <c r="C178" i="7"/>
  <c r="D178" i="7"/>
  <c r="E178" i="7"/>
  <c r="G178" i="7"/>
  <c r="C179" i="7"/>
  <c r="D179" i="7"/>
  <c r="E179" i="7"/>
  <c r="G179" i="7"/>
  <c r="C180" i="7"/>
  <c r="D180" i="7"/>
  <c r="E180" i="7"/>
  <c r="G180" i="7"/>
  <c r="C181" i="7"/>
  <c r="D181" i="7"/>
  <c r="E181" i="7"/>
  <c r="G181" i="7"/>
  <c r="C182" i="7"/>
  <c r="D182" i="7"/>
  <c r="E182" i="7"/>
  <c r="G182" i="7"/>
  <c r="C183" i="7"/>
  <c r="D183" i="7"/>
  <c r="E183" i="7"/>
  <c r="G183" i="7"/>
  <c r="C184" i="7"/>
  <c r="D184" i="7"/>
  <c r="E184" i="7"/>
  <c r="G184" i="7"/>
  <c r="C185" i="7"/>
  <c r="D185" i="7"/>
  <c r="E185" i="7"/>
  <c r="G185" i="7"/>
  <c r="C186" i="7"/>
  <c r="D186" i="7"/>
  <c r="E186" i="7"/>
  <c r="G186" i="7"/>
  <c r="C187" i="7"/>
  <c r="D187" i="7"/>
  <c r="E187" i="7"/>
  <c r="G187" i="7"/>
  <c r="C188" i="7"/>
  <c r="D188" i="7"/>
  <c r="E188" i="7"/>
  <c r="G188" i="7"/>
  <c r="C189" i="7"/>
  <c r="D189" i="7"/>
  <c r="E189" i="7"/>
  <c r="G189" i="7"/>
  <c r="C190" i="7"/>
  <c r="D190" i="7"/>
  <c r="E190" i="7"/>
  <c r="G190" i="7"/>
  <c r="C191" i="7"/>
  <c r="D191" i="7"/>
  <c r="E191" i="7"/>
  <c r="G191" i="7"/>
  <c r="C192" i="7"/>
  <c r="D192" i="7"/>
  <c r="E192" i="7"/>
  <c r="G192" i="7"/>
  <c r="C193" i="7"/>
  <c r="D193" i="7"/>
  <c r="E193" i="7"/>
  <c r="G193" i="7"/>
  <c r="C194" i="7"/>
  <c r="D194" i="7"/>
  <c r="E194" i="7"/>
  <c r="G194" i="7"/>
  <c r="C195" i="7"/>
  <c r="D195" i="7"/>
  <c r="E195" i="7"/>
  <c r="G195" i="7"/>
  <c r="C196" i="7"/>
  <c r="D196" i="7"/>
  <c r="E196" i="7"/>
  <c r="G196" i="7"/>
  <c r="C197" i="7"/>
  <c r="D197" i="7"/>
  <c r="E197" i="7"/>
  <c r="G197" i="7"/>
  <c r="C198" i="7"/>
  <c r="D198" i="7"/>
  <c r="E198" i="7"/>
  <c r="G198" i="7"/>
  <c r="C199" i="7"/>
  <c r="D199" i="7"/>
  <c r="E199" i="7"/>
  <c r="G199" i="7"/>
  <c r="C200" i="7"/>
  <c r="D200" i="7"/>
  <c r="E200" i="7"/>
  <c r="G200" i="7"/>
  <c r="C201" i="7"/>
  <c r="D201" i="7"/>
  <c r="E201" i="7"/>
  <c r="G201" i="7"/>
  <c r="C202" i="7"/>
  <c r="D202" i="7"/>
  <c r="E202" i="7"/>
  <c r="G202" i="7"/>
  <c r="B8" i="23"/>
  <c r="H4" i="8"/>
  <c r="H19" i="8"/>
  <c r="B2" i="23"/>
  <c r="L39" i="8"/>
  <c r="L24" i="8"/>
  <c r="B6" i="23"/>
  <c r="P4" i="8"/>
  <c r="P19" i="8"/>
  <c r="B3" i="23"/>
  <c r="B12" i="23"/>
  <c r="C16" i="23"/>
  <c r="C17" i="23"/>
  <c r="C20" i="23"/>
  <c r="C22" i="23"/>
  <c r="C25" i="23"/>
  <c r="C26" i="23"/>
  <c r="D107" i="17"/>
  <c r="E107" i="17"/>
  <c r="G107" i="17"/>
  <c r="D108" i="17"/>
  <c r="E108" i="17"/>
  <c r="G108" i="17"/>
  <c r="D109" i="17"/>
  <c r="E109" i="17"/>
  <c r="G109" i="17"/>
  <c r="D110" i="17"/>
  <c r="E110" i="17"/>
  <c r="G110" i="17"/>
  <c r="D111" i="17"/>
  <c r="E111" i="17"/>
  <c r="G111" i="17"/>
  <c r="D112" i="17"/>
  <c r="E112" i="17"/>
  <c r="G112" i="17"/>
  <c r="D113" i="17"/>
  <c r="E113" i="17"/>
  <c r="G113" i="17"/>
  <c r="D114" i="17"/>
  <c r="E114" i="17"/>
  <c r="G114" i="17"/>
  <c r="D115" i="17"/>
  <c r="E115" i="17"/>
  <c r="G115" i="17"/>
  <c r="D116" i="17"/>
  <c r="E116" i="17"/>
  <c r="G116" i="17"/>
  <c r="D117" i="17"/>
  <c r="E117" i="17"/>
  <c r="G117" i="17"/>
  <c r="D118" i="17"/>
  <c r="E118" i="17"/>
  <c r="G118" i="17"/>
  <c r="D119" i="17"/>
  <c r="E119" i="17"/>
  <c r="G119" i="17"/>
  <c r="D120" i="17"/>
  <c r="E120" i="17"/>
  <c r="G120" i="17"/>
  <c r="D121" i="17"/>
  <c r="E121" i="17"/>
  <c r="G121" i="17"/>
  <c r="D122" i="17"/>
  <c r="E122" i="17"/>
  <c r="G122" i="17"/>
  <c r="D123" i="17"/>
  <c r="E123" i="17"/>
  <c r="G123" i="17"/>
  <c r="D124" i="17"/>
  <c r="E124" i="17"/>
  <c r="G124" i="17"/>
  <c r="D125" i="17"/>
  <c r="E125" i="17"/>
  <c r="G125" i="17"/>
  <c r="D126" i="17"/>
  <c r="E126" i="17"/>
  <c r="G126" i="17"/>
  <c r="D127" i="17"/>
  <c r="E127" i="17"/>
  <c r="G127" i="17"/>
  <c r="D128" i="17"/>
  <c r="E128" i="17"/>
  <c r="G128" i="17"/>
  <c r="D129" i="17"/>
  <c r="E129" i="17"/>
  <c r="G129" i="17"/>
  <c r="D130" i="17"/>
  <c r="E130" i="17"/>
  <c r="G130" i="17"/>
  <c r="D131" i="17"/>
  <c r="E131" i="17"/>
  <c r="G131" i="17"/>
  <c r="D132" i="17"/>
  <c r="E132" i="17"/>
  <c r="G132" i="17"/>
  <c r="D133" i="17"/>
  <c r="E133" i="17"/>
  <c r="G133" i="17"/>
  <c r="D134" i="17"/>
  <c r="E134" i="17"/>
  <c r="G134" i="17"/>
  <c r="D135" i="17"/>
  <c r="E135" i="17"/>
  <c r="G135" i="17"/>
  <c r="D136" i="17"/>
  <c r="E136" i="17"/>
  <c r="G136" i="17"/>
  <c r="D137" i="17"/>
  <c r="E137" i="17"/>
  <c r="G137" i="17"/>
  <c r="D138" i="17"/>
  <c r="E138" i="17"/>
  <c r="G138" i="17"/>
  <c r="D139" i="17"/>
  <c r="E139" i="17"/>
  <c r="G139" i="17"/>
  <c r="D140" i="17"/>
  <c r="E140" i="17"/>
  <c r="G140" i="17"/>
  <c r="D141" i="17"/>
  <c r="E141" i="17"/>
  <c r="G141" i="17"/>
  <c r="D142" i="17"/>
  <c r="E142" i="17"/>
  <c r="G142" i="17"/>
  <c r="D143" i="17"/>
  <c r="E143" i="17"/>
  <c r="G143" i="17"/>
  <c r="D144" i="17"/>
  <c r="E144" i="17"/>
  <c r="G144" i="17"/>
  <c r="D145" i="17"/>
  <c r="E145" i="17"/>
  <c r="G145" i="17"/>
  <c r="D146" i="17"/>
  <c r="E146" i="17"/>
  <c r="G146" i="17"/>
  <c r="D147" i="17"/>
  <c r="E147" i="17"/>
  <c r="G147" i="17"/>
  <c r="D148" i="17"/>
  <c r="E148" i="17"/>
  <c r="G148" i="17"/>
  <c r="D149" i="17"/>
  <c r="E149" i="17"/>
  <c r="G149" i="17"/>
  <c r="D150" i="17"/>
  <c r="E150" i="17"/>
  <c r="G150" i="17"/>
  <c r="D151" i="17"/>
  <c r="E151" i="17"/>
  <c r="G151" i="17"/>
  <c r="D152" i="17"/>
  <c r="E152" i="17"/>
  <c r="G152" i="17"/>
  <c r="D153" i="17"/>
  <c r="E153" i="17"/>
  <c r="G153" i="17"/>
  <c r="D154" i="17"/>
  <c r="E154" i="17"/>
  <c r="G154" i="17"/>
  <c r="D155" i="17"/>
  <c r="E155" i="17"/>
  <c r="G155" i="17"/>
  <c r="D156" i="17"/>
  <c r="E156" i="17"/>
  <c r="G156" i="17"/>
  <c r="D157" i="17"/>
  <c r="E157" i="17"/>
  <c r="G157" i="17"/>
  <c r="D158" i="17"/>
  <c r="E158" i="17"/>
  <c r="G158" i="17"/>
  <c r="D159" i="17"/>
  <c r="E159" i="17"/>
  <c r="G159" i="17"/>
  <c r="D160" i="17"/>
  <c r="E160" i="17"/>
  <c r="G160" i="17"/>
  <c r="D161" i="17"/>
  <c r="E161" i="17"/>
  <c r="G161" i="17"/>
  <c r="D162" i="17"/>
  <c r="E162" i="17"/>
  <c r="G162" i="17"/>
  <c r="D163" i="17"/>
  <c r="E163" i="17"/>
  <c r="G163" i="17"/>
  <c r="D164" i="17"/>
  <c r="E164" i="17"/>
  <c r="G164" i="17"/>
  <c r="D165" i="17"/>
  <c r="E165" i="17"/>
  <c r="G165" i="17"/>
  <c r="D166" i="17"/>
  <c r="E166" i="17"/>
  <c r="G166" i="17"/>
  <c r="D167" i="17"/>
  <c r="E167" i="17"/>
  <c r="G167" i="17"/>
  <c r="D168" i="17"/>
  <c r="E168" i="17"/>
  <c r="G168" i="17"/>
  <c r="D169" i="17"/>
  <c r="E169" i="17"/>
  <c r="G169" i="17"/>
  <c r="D170" i="17"/>
  <c r="E170" i="17"/>
  <c r="G170" i="17"/>
  <c r="D171" i="17"/>
  <c r="E171" i="17"/>
  <c r="G171" i="17"/>
  <c r="D172" i="17"/>
  <c r="E172" i="17"/>
  <c r="G172" i="17"/>
  <c r="D173" i="17"/>
  <c r="E173" i="17"/>
  <c r="G173" i="17"/>
  <c r="D174" i="17"/>
  <c r="E174" i="17"/>
  <c r="G174" i="17"/>
  <c r="D175" i="17"/>
  <c r="E175" i="17"/>
  <c r="G175" i="17"/>
  <c r="D176" i="17"/>
  <c r="E176" i="17"/>
  <c r="G176" i="17"/>
  <c r="D177" i="17"/>
  <c r="E177" i="17"/>
  <c r="G177" i="17"/>
  <c r="D178" i="17"/>
  <c r="E178" i="17"/>
  <c r="G178" i="17"/>
  <c r="D179" i="17"/>
  <c r="E179" i="17"/>
  <c r="G179" i="17"/>
  <c r="D180" i="17"/>
  <c r="E180" i="17"/>
  <c r="G180" i="17"/>
  <c r="D181" i="17"/>
  <c r="E181" i="17"/>
  <c r="G181" i="17"/>
  <c r="D182" i="17"/>
  <c r="E182" i="17"/>
  <c r="G182" i="17"/>
  <c r="D183" i="17"/>
  <c r="E183" i="17"/>
  <c r="G183" i="17"/>
  <c r="D184" i="17"/>
  <c r="E184" i="17"/>
  <c r="G184" i="17"/>
  <c r="D185" i="17"/>
  <c r="E185" i="17"/>
  <c r="G185" i="17"/>
  <c r="D186" i="17"/>
  <c r="E186" i="17"/>
  <c r="G186" i="17"/>
  <c r="D187" i="17"/>
  <c r="E187" i="17"/>
  <c r="G187" i="17"/>
  <c r="D188" i="17"/>
  <c r="E188" i="17"/>
  <c r="G188" i="17"/>
  <c r="D189" i="17"/>
  <c r="E189" i="17"/>
  <c r="G189" i="17"/>
  <c r="D190" i="17"/>
  <c r="E190" i="17"/>
  <c r="G190" i="17"/>
  <c r="D191" i="17"/>
  <c r="E191" i="17"/>
  <c r="G191" i="17"/>
  <c r="D192" i="17"/>
  <c r="E192" i="17"/>
  <c r="G192" i="17"/>
  <c r="D193" i="17"/>
  <c r="E193" i="17"/>
  <c r="G193" i="17"/>
  <c r="D194" i="17"/>
  <c r="E194" i="17"/>
  <c r="G194" i="17"/>
  <c r="D195" i="17"/>
  <c r="E195" i="17"/>
  <c r="G195" i="17"/>
  <c r="D196" i="17"/>
  <c r="E196" i="17"/>
  <c r="G196" i="17"/>
  <c r="D197" i="17"/>
  <c r="E197" i="17"/>
  <c r="G197" i="17"/>
  <c r="D198" i="17"/>
  <c r="E198" i="17"/>
  <c r="G198" i="17"/>
  <c r="D199" i="17"/>
  <c r="E199" i="17"/>
  <c r="G199" i="17"/>
  <c r="D200" i="17"/>
  <c r="E200" i="17"/>
  <c r="G200" i="17"/>
  <c r="D201" i="17"/>
  <c r="E201" i="17"/>
  <c r="G201" i="17"/>
  <c r="D202" i="17"/>
  <c r="E202" i="17"/>
  <c r="G202" i="17"/>
  <c r="D203" i="17"/>
  <c r="E203" i="17"/>
  <c r="G203" i="17"/>
  <c r="B7" i="23"/>
  <c r="C5" i="7"/>
  <c r="D5" i="7"/>
  <c r="E5" i="7"/>
  <c r="G5" i="7"/>
  <c r="C6" i="7"/>
  <c r="D6" i="7"/>
  <c r="E6" i="7"/>
  <c r="G6" i="7"/>
  <c r="C7" i="7"/>
  <c r="D7" i="7"/>
  <c r="E7" i="7"/>
  <c r="G7" i="7"/>
  <c r="C8" i="7"/>
  <c r="D8" i="7"/>
  <c r="E8" i="7"/>
  <c r="G8" i="7"/>
  <c r="C9" i="7"/>
  <c r="D9" i="7"/>
  <c r="E9" i="7"/>
  <c r="G9" i="7"/>
  <c r="C10" i="7"/>
  <c r="D10" i="7"/>
  <c r="E10" i="7"/>
  <c r="G10" i="7"/>
  <c r="C11" i="7"/>
  <c r="D11" i="7"/>
  <c r="E11" i="7"/>
  <c r="G11" i="7"/>
  <c r="C12" i="7"/>
  <c r="D12" i="7"/>
  <c r="E12" i="7"/>
  <c r="G12" i="7"/>
  <c r="C13" i="7"/>
  <c r="D13" i="7"/>
  <c r="E13" i="7"/>
  <c r="G13" i="7"/>
  <c r="C14" i="7"/>
  <c r="D14" i="7"/>
  <c r="E14" i="7"/>
  <c r="G14" i="7"/>
  <c r="C15" i="7"/>
  <c r="D15" i="7"/>
  <c r="E15" i="7"/>
  <c r="G15" i="7"/>
  <c r="C16" i="7"/>
  <c r="D16" i="7"/>
  <c r="E16" i="7"/>
  <c r="G16" i="7"/>
  <c r="C17" i="7"/>
  <c r="D17" i="7"/>
  <c r="E17" i="7"/>
  <c r="G17" i="7"/>
  <c r="C18" i="7"/>
  <c r="D18" i="7"/>
  <c r="E18" i="7"/>
  <c r="G18" i="7"/>
  <c r="C19" i="7"/>
  <c r="D19" i="7"/>
  <c r="E19" i="7"/>
  <c r="G19" i="7"/>
  <c r="C20" i="7"/>
  <c r="D20" i="7"/>
  <c r="E20" i="7"/>
  <c r="G20" i="7"/>
  <c r="C21" i="7"/>
  <c r="D21" i="7"/>
  <c r="E21" i="7"/>
  <c r="G21" i="7"/>
  <c r="C22" i="7"/>
  <c r="D22" i="7"/>
  <c r="E22" i="7"/>
  <c r="G22" i="7"/>
  <c r="C23" i="7"/>
  <c r="D23" i="7"/>
  <c r="E23" i="7"/>
  <c r="G23" i="7"/>
  <c r="C24" i="7"/>
  <c r="D24" i="7"/>
  <c r="E24" i="7"/>
  <c r="G24" i="7"/>
  <c r="C25" i="7"/>
  <c r="D25" i="7"/>
  <c r="E25" i="7"/>
  <c r="G25" i="7"/>
  <c r="C26" i="7"/>
  <c r="D26" i="7"/>
  <c r="E26" i="7"/>
  <c r="G26" i="7"/>
  <c r="C27" i="7"/>
  <c r="D27" i="7"/>
  <c r="E27" i="7"/>
  <c r="G27" i="7"/>
  <c r="C28" i="7"/>
  <c r="D28" i="7"/>
  <c r="E28" i="7"/>
  <c r="G28" i="7"/>
  <c r="C29" i="7"/>
  <c r="D29" i="7"/>
  <c r="E29" i="7"/>
  <c r="G29" i="7"/>
  <c r="C30" i="7"/>
  <c r="D30" i="7"/>
  <c r="E30" i="7"/>
  <c r="G30" i="7"/>
  <c r="C31" i="7"/>
  <c r="D31" i="7"/>
  <c r="E31" i="7"/>
  <c r="G31" i="7"/>
  <c r="C32" i="7"/>
  <c r="D32" i="7"/>
  <c r="E32" i="7"/>
  <c r="G32" i="7"/>
  <c r="C33" i="7"/>
  <c r="D33" i="7"/>
  <c r="E33" i="7"/>
  <c r="G33" i="7"/>
  <c r="C34" i="7"/>
  <c r="D34" i="7"/>
  <c r="E34" i="7"/>
  <c r="G34" i="7"/>
  <c r="C35" i="7"/>
  <c r="D35" i="7"/>
  <c r="E35" i="7"/>
  <c r="G35" i="7"/>
  <c r="C36" i="7"/>
  <c r="D36" i="7"/>
  <c r="E36" i="7"/>
  <c r="G36" i="7"/>
  <c r="C37" i="7"/>
  <c r="D37" i="7"/>
  <c r="E37" i="7"/>
  <c r="G37" i="7"/>
  <c r="C38" i="7"/>
  <c r="D38" i="7"/>
  <c r="E38" i="7"/>
  <c r="G38" i="7"/>
  <c r="C39" i="7"/>
  <c r="D39" i="7"/>
  <c r="E39" i="7"/>
  <c r="G39" i="7"/>
  <c r="C40" i="7"/>
  <c r="D40" i="7"/>
  <c r="E40" i="7"/>
  <c r="G40" i="7"/>
  <c r="C41" i="7"/>
  <c r="D41" i="7"/>
  <c r="E41" i="7"/>
  <c r="G41" i="7"/>
  <c r="C42" i="7"/>
  <c r="D42" i="7"/>
  <c r="E42" i="7"/>
  <c r="G42" i="7"/>
  <c r="C43" i="7"/>
  <c r="D43" i="7"/>
  <c r="E43" i="7"/>
  <c r="G43" i="7"/>
  <c r="C44" i="7"/>
  <c r="D44" i="7"/>
  <c r="E44" i="7"/>
  <c r="G44" i="7"/>
  <c r="C45" i="7"/>
  <c r="D45" i="7"/>
  <c r="E45" i="7"/>
  <c r="G45" i="7"/>
  <c r="C46" i="7"/>
  <c r="D46" i="7"/>
  <c r="E46" i="7"/>
  <c r="G46" i="7"/>
  <c r="C47" i="7"/>
  <c r="D47" i="7"/>
  <c r="E47" i="7"/>
  <c r="G47" i="7"/>
  <c r="C48" i="7"/>
  <c r="D48" i="7"/>
  <c r="E48" i="7"/>
  <c r="G48" i="7"/>
  <c r="C49" i="7"/>
  <c r="D49" i="7"/>
  <c r="E49" i="7"/>
  <c r="G49" i="7"/>
  <c r="C50" i="7"/>
  <c r="D50" i="7"/>
  <c r="E50" i="7"/>
  <c r="G50" i="7"/>
  <c r="C51" i="7"/>
  <c r="D51" i="7"/>
  <c r="E51" i="7"/>
  <c r="G51" i="7"/>
  <c r="C52" i="7"/>
  <c r="D52" i="7"/>
  <c r="E52" i="7"/>
  <c r="G52" i="7"/>
  <c r="C53" i="7"/>
  <c r="D53" i="7"/>
  <c r="E53" i="7"/>
  <c r="G53" i="7"/>
  <c r="C54" i="7"/>
  <c r="D54" i="7"/>
  <c r="E54" i="7"/>
  <c r="G54" i="7"/>
  <c r="C55" i="7"/>
  <c r="D55" i="7"/>
  <c r="E55" i="7"/>
  <c r="G55" i="7"/>
  <c r="C56" i="7"/>
  <c r="D56" i="7"/>
  <c r="E56" i="7"/>
  <c r="G56" i="7"/>
  <c r="C57" i="7"/>
  <c r="D57" i="7"/>
  <c r="E57" i="7"/>
  <c r="G57" i="7"/>
  <c r="C58" i="7"/>
  <c r="D58" i="7"/>
  <c r="E58" i="7"/>
  <c r="G58" i="7"/>
  <c r="C59" i="7"/>
  <c r="D59" i="7"/>
  <c r="E59" i="7"/>
  <c r="G59" i="7"/>
  <c r="C60" i="7"/>
  <c r="D60" i="7"/>
  <c r="E60" i="7"/>
  <c r="G60" i="7"/>
  <c r="C61" i="7"/>
  <c r="D61" i="7"/>
  <c r="E61" i="7"/>
  <c r="G61" i="7"/>
  <c r="C62" i="7"/>
  <c r="D62" i="7"/>
  <c r="E62" i="7"/>
  <c r="G62" i="7"/>
  <c r="C63" i="7"/>
  <c r="D63" i="7"/>
  <c r="E63" i="7"/>
  <c r="G63" i="7"/>
  <c r="C64" i="7"/>
  <c r="D64" i="7"/>
  <c r="E64" i="7"/>
  <c r="G64" i="7"/>
  <c r="C65" i="7"/>
  <c r="D65" i="7"/>
  <c r="E65" i="7"/>
  <c r="G65" i="7"/>
  <c r="C66" i="7"/>
  <c r="D66" i="7"/>
  <c r="E66" i="7"/>
  <c r="G66" i="7"/>
  <c r="C67" i="7"/>
  <c r="D67" i="7"/>
  <c r="E67" i="7"/>
  <c r="G67" i="7"/>
  <c r="C68" i="7"/>
  <c r="D68" i="7"/>
  <c r="E68" i="7"/>
  <c r="G68" i="7"/>
  <c r="C69" i="7"/>
  <c r="D69" i="7"/>
  <c r="E69" i="7"/>
  <c r="G69" i="7"/>
  <c r="C70" i="7"/>
  <c r="D70" i="7"/>
  <c r="E70" i="7"/>
  <c r="G70" i="7"/>
  <c r="C71" i="7"/>
  <c r="D71" i="7"/>
  <c r="E71" i="7"/>
  <c r="G71" i="7"/>
  <c r="C72" i="7"/>
  <c r="D72" i="7"/>
  <c r="E72" i="7"/>
  <c r="G72" i="7"/>
  <c r="C73" i="7"/>
  <c r="D73" i="7"/>
  <c r="E73" i="7"/>
  <c r="G73" i="7"/>
  <c r="C74" i="7"/>
  <c r="D74" i="7"/>
  <c r="E74" i="7"/>
  <c r="G74" i="7"/>
  <c r="C75" i="7"/>
  <c r="D75" i="7"/>
  <c r="E75" i="7"/>
  <c r="G75" i="7"/>
  <c r="C76" i="7"/>
  <c r="D76" i="7"/>
  <c r="E76" i="7"/>
  <c r="G76" i="7"/>
  <c r="C77" i="7"/>
  <c r="D77" i="7"/>
  <c r="E77" i="7"/>
  <c r="G77" i="7"/>
  <c r="C78" i="7"/>
  <c r="D78" i="7"/>
  <c r="E78" i="7"/>
  <c r="G78" i="7"/>
  <c r="C79" i="7"/>
  <c r="D79" i="7"/>
  <c r="E79" i="7"/>
  <c r="G79" i="7"/>
  <c r="C80" i="7"/>
  <c r="D80" i="7"/>
  <c r="E80" i="7"/>
  <c r="G80" i="7"/>
  <c r="C81" i="7"/>
  <c r="D81" i="7"/>
  <c r="E81" i="7"/>
  <c r="G81" i="7"/>
  <c r="C82" i="7"/>
  <c r="D82" i="7"/>
  <c r="E82" i="7"/>
  <c r="G82" i="7"/>
  <c r="C83" i="7"/>
  <c r="D83" i="7"/>
  <c r="E83" i="7"/>
  <c r="G83" i="7"/>
  <c r="C84" i="7"/>
  <c r="D84" i="7"/>
  <c r="E84" i="7"/>
  <c r="G84" i="7"/>
  <c r="C85" i="7"/>
  <c r="D85" i="7"/>
  <c r="E85" i="7"/>
  <c r="G85" i="7"/>
  <c r="C86" i="7"/>
  <c r="D86" i="7"/>
  <c r="E86" i="7"/>
  <c r="G86" i="7"/>
  <c r="C87" i="7"/>
  <c r="D87" i="7"/>
  <c r="E87" i="7"/>
  <c r="G87" i="7"/>
  <c r="C88" i="7"/>
  <c r="D88" i="7"/>
  <c r="E88" i="7"/>
  <c r="G88" i="7"/>
  <c r="C89" i="7"/>
  <c r="D89" i="7"/>
  <c r="E89" i="7"/>
  <c r="G89" i="7"/>
  <c r="C90" i="7"/>
  <c r="D90" i="7"/>
  <c r="E90" i="7"/>
  <c r="G90" i="7"/>
  <c r="C91" i="7"/>
  <c r="D91" i="7"/>
  <c r="E91" i="7"/>
  <c r="G91" i="7"/>
  <c r="C92" i="7"/>
  <c r="D92" i="7"/>
  <c r="E92" i="7"/>
  <c r="G92" i="7"/>
  <c r="C93" i="7"/>
  <c r="D93" i="7"/>
  <c r="E93" i="7"/>
  <c r="G93" i="7"/>
  <c r="C94" i="7"/>
  <c r="D94" i="7"/>
  <c r="E94" i="7"/>
  <c r="G94" i="7"/>
  <c r="C95" i="7"/>
  <c r="D95" i="7"/>
  <c r="E95" i="7"/>
  <c r="G95" i="7"/>
  <c r="C96" i="7"/>
  <c r="D96" i="7"/>
  <c r="E96" i="7"/>
  <c r="G96" i="7"/>
  <c r="C97" i="7"/>
  <c r="D97" i="7"/>
  <c r="E97" i="7"/>
  <c r="G97" i="7"/>
  <c r="C98" i="7"/>
  <c r="D98" i="7"/>
  <c r="E98" i="7"/>
  <c r="G98" i="7"/>
  <c r="C99" i="7"/>
  <c r="D99" i="7"/>
  <c r="E99" i="7"/>
  <c r="G99" i="7"/>
  <c r="C100" i="7"/>
  <c r="D100" i="7"/>
  <c r="E100" i="7"/>
  <c r="G100" i="7"/>
  <c r="C101" i="7"/>
  <c r="D101" i="7"/>
  <c r="E101" i="7"/>
  <c r="G101" i="7"/>
  <c r="F3" i="2"/>
  <c r="I4" i="2"/>
  <c r="I3" i="2"/>
  <c r="J3" i="2"/>
  <c r="K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I19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L19" i="8"/>
  <c r="L4" i="8"/>
  <c r="B5" i="23"/>
  <c r="C18" i="23"/>
  <c r="T19" i="8"/>
  <c r="T4" i="8"/>
  <c r="B4" i="23"/>
  <c r="C19" i="23"/>
  <c r="C5" i="17"/>
  <c r="D5" i="17"/>
  <c r="E5" i="17"/>
  <c r="F5" i="17"/>
  <c r="G5" i="17"/>
  <c r="C6" i="17"/>
  <c r="D6" i="17"/>
  <c r="E6" i="17"/>
  <c r="G6" i="17"/>
  <c r="C7" i="17"/>
  <c r="D7" i="17"/>
  <c r="E7" i="17"/>
  <c r="G7" i="17"/>
  <c r="C8" i="17"/>
  <c r="D8" i="17"/>
  <c r="E8" i="17"/>
  <c r="G8" i="17"/>
  <c r="C9" i="17"/>
  <c r="D9" i="17"/>
  <c r="E9" i="17"/>
  <c r="G9" i="17"/>
  <c r="C10" i="17"/>
  <c r="D10" i="17"/>
  <c r="E10" i="17"/>
  <c r="G10" i="17"/>
  <c r="C11" i="17"/>
  <c r="D11" i="17"/>
  <c r="E11" i="17"/>
  <c r="G11" i="17"/>
  <c r="C12" i="17"/>
  <c r="D12" i="17"/>
  <c r="E12" i="17"/>
  <c r="G12" i="17"/>
  <c r="C13" i="17"/>
  <c r="D13" i="17"/>
  <c r="E13" i="17"/>
  <c r="G13" i="17"/>
  <c r="C14" i="17"/>
  <c r="D14" i="17"/>
  <c r="E14" i="17"/>
  <c r="G14" i="17"/>
  <c r="C15" i="17"/>
  <c r="D15" i="17"/>
  <c r="E15" i="17"/>
  <c r="G15" i="17"/>
  <c r="C16" i="17"/>
  <c r="D16" i="17"/>
  <c r="E16" i="17"/>
  <c r="G16" i="17"/>
  <c r="C17" i="17"/>
  <c r="D17" i="17"/>
  <c r="E17" i="17"/>
  <c r="G17" i="17"/>
  <c r="C18" i="17"/>
  <c r="D18" i="17"/>
  <c r="E18" i="17"/>
  <c r="G18" i="17"/>
  <c r="C19" i="17"/>
  <c r="D19" i="17"/>
  <c r="E19" i="17"/>
  <c r="G19" i="17"/>
  <c r="C20" i="17"/>
  <c r="D20" i="17"/>
  <c r="E20" i="17"/>
  <c r="G20" i="17"/>
  <c r="C21" i="17"/>
  <c r="D21" i="17"/>
  <c r="E21" i="17"/>
  <c r="G21" i="17"/>
  <c r="C22" i="17"/>
  <c r="D22" i="17"/>
  <c r="E22" i="17"/>
  <c r="G22" i="17"/>
  <c r="C23" i="17"/>
  <c r="D23" i="17"/>
  <c r="E23" i="17"/>
  <c r="G23" i="17"/>
  <c r="C24" i="17"/>
  <c r="D24" i="17"/>
  <c r="E24" i="17"/>
  <c r="G24" i="17"/>
  <c r="C25" i="17"/>
  <c r="D25" i="17"/>
  <c r="E25" i="17"/>
  <c r="G25" i="17"/>
  <c r="C26" i="17"/>
  <c r="D26" i="17"/>
  <c r="E26" i="17"/>
  <c r="G26" i="17"/>
  <c r="C27" i="17"/>
  <c r="D27" i="17"/>
  <c r="E27" i="17"/>
  <c r="G27" i="17"/>
  <c r="C28" i="17"/>
  <c r="D28" i="17"/>
  <c r="E28" i="17"/>
  <c r="G28" i="17"/>
  <c r="C29" i="17"/>
  <c r="D29" i="17"/>
  <c r="E29" i="17"/>
  <c r="G29" i="17"/>
  <c r="C30" i="17"/>
  <c r="D30" i="17"/>
  <c r="E30" i="17"/>
  <c r="G30" i="17"/>
  <c r="C31" i="17"/>
  <c r="D31" i="17"/>
  <c r="E31" i="17"/>
  <c r="G31" i="17"/>
  <c r="C32" i="17"/>
  <c r="D32" i="17"/>
  <c r="E32" i="17"/>
  <c r="G32" i="17"/>
  <c r="C33" i="17"/>
  <c r="D33" i="17"/>
  <c r="E33" i="17"/>
  <c r="G33" i="17"/>
  <c r="C34" i="17"/>
  <c r="D34" i="17"/>
  <c r="E34" i="17"/>
  <c r="G34" i="17"/>
  <c r="C35" i="17"/>
  <c r="D35" i="17"/>
  <c r="E35" i="17"/>
  <c r="G35" i="17"/>
  <c r="C36" i="17"/>
  <c r="D36" i="17"/>
  <c r="E36" i="17"/>
  <c r="G36" i="17"/>
  <c r="C37" i="17"/>
  <c r="D37" i="17"/>
  <c r="E37" i="17"/>
  <c r="G37" i="17"/>
  <c r="C38" i="17"/>
  <c r="D38" i="17"/>
  <c r="E38" i="17"/>
  <c r="G38" i="17"/>
  <c r="C39" i="17"/>
  <c r="D39" i="17"/>
  <c r="E39" i="17"/>
  <c r="G39" i="17"/>
  <c r="C40" i="17"/>
  <c r="D40" i="17"/>
  <c r="E40" i="17"/>
  <c r="G40" i="17"/>
  <c r="C41" i="17"/>
  <c r="D41" i="17"/>
  <c r="E41" i="17"/>
  <c r="G41" i="17"/>
  <c r="C42" i="17"/>
  <c r="D42" i="17"/>
  <c r="E42" i="17"/>
  <c r="G42" i="17"/>
  <c r="C43" i="17"/>
  <c r="D43" i="17"/>
  <c r="E43" i="17"/>
  <c r="G43" i="17"/>
  <c r="C44" i="17"/>
  <c r="D44" i="17"/>
  <c r="E44" i="17"/>
  <c r="G44" i="17"/>
  <c r="C45" i="17"/>
  <c r="D45" i="17"/>
  <c r="E45" i="17"/>
  <c r="G45" i="17"/>
  <c r="C46" i="17"/>
  <c r="D46" i="17"/>
  <c r="E46" i="17"/>
  <c r="G46" i="17"/>
  <c r="C47" i="17"/>
  <c r="D47" i="17"/>
  <c r="E47" i="17"/>
  <c r="G47" i="17"/>
  <c r="C48" i="17"/>
  <c r="D48" i="17"/>
  <c r="E48" i="17"/>
  <c r="G48" i="17"/>
  <c r="C49" i="17"/>
  <c r="D49" i="17"/>
  <c r="E49" i="17"/>
  <c r="G49" i="17"/>
  <c r="C50" i="17"/>
  <c r="D50" i="17"/>
  <c r="E50" i="17"/>
  <c r="G50" i="17"/>
  <c r="C51" i="17"/>
  <c r="D51" i="17"/>
  <c r="E51" i="17"/>
  <c r="G51" i="17"/>
  <c r="C52" i="17"/>
  <c r="D52" i="17"/>
  <c r="E52" i="17"/>
  <c r="G52" i="17"/>
  <c r="C53" i="17"/>
  <c r="D53" i="17"/>
  <c r="E53" i="17"/>
  <c r="G53" i="17"/>
  <c r="C54" i="17"/>
  <c r="D54" i="17"/>
  <c r="E54" i="17"/>
  <c r="G54" i="17"/>
  <c r="C55" i="17"/>
  <c r="D55" i="17"/>
  <c r="E55" i="17"/>
  <c r="G55" i="17"/>
  <c r="C56" i="17"/>
  <c r="D56" i="17"/>
  <c r="E56" i="17"/>
  <c r="G56" i="17"/>
  <c r="C57" i="17"/>
  <c r="D57" i="17"/>
  <c r="E57" i="17"/>
  <c r="G57" i="17"/>
  <c r="C58" i="17"/>
  <c r="D58" i="17"/>
  <c r="E58" i="17"/>
  <c r="G58" i="17"/>
  <c r="C59" i="17"/>
  <c r="D59" i="17"/>
  <c r="E59" i="17"/>
  <c r="G59" i="17"/>
  <c r="C60" i="17"/>
  <c r="D60" i="17"/>
  <c r="E60" i="17"/>
  <c r="G60" i="17"/>
  <c r="C61" i="17"/>
  <c r="D61" i="17"/>
  <c r="E61" i="17"/>
  <c r="G61" i="17"/>
  <c r="C62" i="17"/>
  <c r="D62" i="17"/>
  <c r="E62" i="17"/>
  <c r="G62" i="17"/>
  <c r="C63" i="17"/>
  <c r="D63" i="17"/>
  <c r="E63" i="17"/>
  <c r="G63" i="17"/>
  <c r="C64" i="17"/>
  <c r="D64" i="17"/>
  <c r="E64" i="17"/>
  <c r="G64" i="17"/>
  <c r="C65" i="17"/>
  <c r="D65" i="17"/>
  <c r="E65" i="17"/>
  <c r="G65" i="17"/>
  <c r="C66" i="17"/>
  <c r="D66" i="17"/>
  <c r="E66" i="17"/>
  <c r="G66" i="17"/>
  <c r="C67" i="17"/>
  <c r="D67" i="17"/>
  <c r="E67" i="17"/>
  <c r="G67" i="17"/>
  <c r="C68" i="17"/>
  <c r="D68" i="17"/>
  <c r="E68" i="17"/>
  <c r="G68" i="17"/>
  <c r="C69" i="17"/>
  <c r="D69" i="17"/>
  <c r="E69" i="17"/>
  <c r="G69" i="17"/>
  <c r="C70" i="17"/>
  <c r="D70" i="17"/>
  <c r="E70" i="17"/>
  <c r="G70" i="17"/>
  <c r="C71" i="17"/>
  <c r="D71" i="17"/>
  <c r="E71" i="17"/>
  <c r="G71" i="17"/>
  <c r="C72" i="17"/>
  <c r="D72" i="17"/>
  <c r="E72" i="17"/>
  <c r="G72" i="17"/>
  <c r="C73" i="17"/>
  <c r="D73" i="17"/>
  <c r="E73" i="17"/>
  <c r="G73" i="17"/>
  <c r="C74" i="17"/>
  <c r="D74" i="17"/>
  <c r="E74" i="17"/>
  <c r="G74" i="17"/>
  <c r="C75" i="17"/>
  <c r="D75" i="17"/>
  <c r="E75" i="17"/>
  <c r="G75" i="17"/>
  <c r="C76" i="17"/>
  <c r="D76" i="17"/>
  <c r="E76" i="17"/>
  <c r="G76" i="17"/>
  <c r="C77" i="17"/>
  <c r="D77" i="17"/>
  <c r="E77" i="17"/>
  <c r="G77" i="17"/>
  <c r="C78" i="17"/>
  <c r="D78" i="17"/>
  <c r="E78" i="17"/>
  <c r="G78" i="17"/>
  <c r="C79" i="17"/>
  <c r="D79" i="17"/>
  <c r="E79" i="17"/>
  <c r="G79" i="17"/>
  <c r="C80" i="17"/>
  <c r="D80" i="17"/>
  <c r="E80" i="17"/>
  <c r="G80" i="17"/>
  <c r="C81" i="17"/>
  <c r="D81" i="17"/>
  <c r="E81" i="17"/>
  <c r="G81" i="17"/>
  <c r="C82" i="17"/>
  <c r="D82" i="17"/>
  <c r="E82" i="17"/>
  <c r="G82" i="17"/>
  <c r="C83" i="17"/>
  <c r="D83" i="17"/>
  <c r="E83" i="17"/>
  <c r="G83" i="17"/>
  <c r="C84" i="17"/>
  <c r="D84" i="17"/>
  <c r="E84" i="17"/>
  <c r="G84" i="17"/>
  <c r="C85" i="17"/>
  <c r="D85" i="17"/>
  <c r="E85" i="17"/>
  <c r="G85" i="17"/>
  <c r="C86" i="17"/>
  <c r="D86" i="17"/>
  <c r="E86" i="17"/>
  <c r="G86" i="17"/>
  <c r="C87" i="17"/>
  <c r="D87" i="17"/>
  <c r="E87" i="17"/>
  <c r="G87" i="17"/>
  <c r="C88" i="17"/>
  <c r="D88" i="17"/>
  <c r="E88" i="17"/>
  <c r="G88" i="17"/>
  <c r="C89" i="17"/>
  <c r="D89" i="17"/>
  <c r="E89" i="17"/>
  <c r="G89" i="17"/>
  <c r="C90" i="17"/>
  <c r="D90" i="17"/>
  <c r="E90" i="17"/>
  <c r="G90" i="17"/>
  <c r="C91" i="17"/>
  <c r="D91" i="17"/>
  <c r="E91" i="17"/>
  <c r="G91" i="17"/>
  <c r="C92" i="17"/>
  <c r="D92" i="17"/>
  <c r="E92" i="17"/>
  <c r="G92" i="17"/>
  <c r="C93" i="17"/>
  <c r="D93" i="17"/>
  <c r="E93" i="17"/>
  <c r="G93" i="17"/>
  <c r="C94" i="17"/>
  <c r="D94" i="17"/>
  <c r="E94" i="17"/>
  <c r="G94" i="17"/>
  <c r="C95" i="17"/>
  <c r="D95" i="17"/>
  <c r="E95" i="17"/>
  <c r="G95" i="17"/>
  <c r="C96" i="17"/>
  <c r="D96" i="17"/>
  <c r="E96" i="17"/>
  <c r="G96" i="17"/>
  <c r="C97" i="17"/>
  <c r="D97" i="17"/>
  <c r="E97" i="17"/>
  <c r="G97" i="17"/>
  <c r="C98" i="17"/>
  <c r="D98" i="17"/>
  <c r="E98" i="17"/>
  <c r="G98" i="17"/>
  <c r="C99" i="17"/>
  <c r="D99" i="17"/>
  <c r="E99" i="17"/>
  <c r="G99" i="17"/>
  <c r="C100" i="17"/>
  <c r="D100" i="17"/>
  <c r="E100" i="17"/>
  <c r="G100" i="17"/>
  <c r="C101" i="17"/>
  <c r="D101" i="17"/>
  <c r="E101" i="17"/>
  <c r="G101" i="17"/>
  <c r="C23" i="23"/>
  <c r="M39" i="8"/>
  <c r="M24" i="8"/>
  <c r="C6" i="23"/>
  <c r="M19" i="8"/>
  <c r="M4" i="8"/>
  <c r="C5" i="23"/>
  <c r="U4" i="8"/>
  <c r="U19" i="8"/>
  <c r="C4" i="23"/>
  <c r="Q4" i="8"/>
  <c r="Q19" i="8"/>
  <c r="C3" i="23"/>
  <c r="I4" i="8"/>
  <c r="I19" i="8"/>
  <c r="C2" i="23"/>
  <c r="F19" i="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4" i="22"/>
  <c r="J19" i="2"/>
  <c r="K19" i="2"/>
  <c r="G7" i="19"/>
  <c r="R73" i="22"/>
  <c r="R78" i="22"/>
  <c r="R68" i="22"/>
  <c r="D25" i="23"/>
  <c r="D21" i="23"/>
  <c r="D20" i="23"/>
  <c r="D18" i="23"/>
  <c r="D19" i="23"/>
  <c r="D17" i="23"/>
  <c r="D16" i="23"/>
  <c r="B10" i="23"/>
  <c r="B9" i="2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  <c r="T73" i="22"/>
  <c r="Q5" i="22"/>
  <c r="T5" i="22"/>
  <c r="Q6" i="22"/>
  <c r="T6" i="22"/>
  <c r="Q7" i="22"/>
  <c r="T7" i="22"/>
  <c r="Q8" i="22"/>
  <c r="T8" i="22"/>
  <c r="Q9" i="22"/>
  <c r="T9" i="22"/>
  <c r="Q10" i="22"/>
  <c r="T10" i="22"/>
  <c r="Q11" i="22"/>
  <c r="T11" i="22"/>
  <c r="Q12" i="22"/>
  <c r="T12" i="22"/>
  <c r="Q13" i="22"/>
  <c r="T13" i="22"/>
  <c r="Q14" i="22"/>
  <c r="T14" i="22"/>
  <c r="Q15" i="22"/>
  <c r="T15" i="22"/>
  <c r="Q16" i="22"/>
  <c r="T16" i="22"/>
  <c r="Q17" i="22"/>
  <c r="T17" i="22"/>
  <c r="Q18" i="22"/>
  <c r="T18" i="22"/>
  <c r="Q19" i="22"/>
  <c r="T19" i="22"/>
  <c r="T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4" i="22"/>
  <c r="R19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4" i="22"/>
  <c r="T13" i="8"/>
  <c r="C21" i="23"/>
  <c r="D24" i="23"/>
  <c r="C24" i="23"/>
  <c r="D22" i="23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3" i="4"/>
  <c r="I3" i="4"/>
  <c r="H7" i="21"/>
  <c r="G7" i="21"/>
  <c r="G8" i="2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Q19" i="3"/>
  <c r="S19" i="3"/>
  <c r="R19" i="3"/>
  <c r="Q18" i="3"/>
  <c r="S18" i="3"/>
  <c r="R18" i="3"/>
  <c r="Q17" i="3"/>
  <c r="S17" i="3"/>
  <c r="R17" i="3"/>
  <c r="Q16" i="3"/>
  <c r="S16" i="3"/>
  <c r="R16" i="3"/>
  <c r="Q15" i="3"/>
  <c r="S15" i="3"/>
  <c r="R15" i="3"/>
  <c r="Q14" i="3"/>
  <c r="S14" i="3"/>
  <c r="R14" i="3"/>
  <c r="Q13" i="3"/>
  <c r="S13" i="3"/>
  <c r="R13" i="3"/>
  <c r="Q12" i="3"/>
  <c r="S12" i="3"/>
  <c r="R12" i="3"/>
  <c r="Q11" i="3"/>
  <c r="S11" i="3"/>
  <c r="R11" i="3"/>
  <c r="Q10" i="3"/>
  <c r="S10" i="3"/>
  <c r="R10" i="3"/>
  <c r="Q9" i="3"/>
  <c r="S9" i="3"/>
  <c r="R9" i="3"/>
  <c r="Q8" i="3"/>
  <c r="S8" i="3"/>
  <c r="R8" i="3"/>
  <c r="Q7" i="3"/>
  <c r="S7" i="3"/>
  <c r="R7" i="3"/>
  <c r="Q6" i="3"/>
  <c r="S6" i="3"/>
  <c r="R6" i="3"/>
  <c r="Q5" i="3"/>
  <c r="S5" i="3"/>
  <c r="R5" i="3"/>
  <c r="Q4" i="3"/>
  <c r="S4" i="3"/>
  <c r="R4" i="3"/>
  <c r="G19" i="5"/>
  <c r="G18" i="16"/>
  <c r="H18" i="16"/>
  <c r="G19" i="16"/>
  <c r="H19" i="16"/>
  <c r="G20" i="16"/>
  <c r="H20" i="16"/>
  <c r="G21" i="16"/>
  <c r="H21" i="16"/>
  <c r="G22" i="16"/>
  <c r="H22" i="16"/>
  <c r="G23" i="16"/>
  <c r="H23" i="16"/>
  <c r="G18" i="14"/>
  <c r="H18" i="14"/>
  <c r="G19" i="14"/>
  <c r="H19" i="14"/>
  <c r="G20" i="14"/>
  <c r="H20" i="14"/>
  <c r="G21" i="14"/>
  <c r="H21" i="14"/>
  <c r="G22" i="14"/>
  <c r="H22" i="14"/>
  <c r="G23" i="14"/>
  <c r="H23" i="14"/>
  <c r="G18" i="21"/>
  <c r="H18" i="21"/>
  <c r="G19" i="21"/>
  <c r="H19" i="21"/>
  <c r="G20" i="21"/>
  <c r="H20" i="21"/>
  <c r="G21" i="21"/>
  <c r="H21" i="21"/>
  <c r="G22" i="21"/>
  <c r="H22" i="21"/>
  <c r="G23" i="21"/>
  <c r="H23" i="21"/>
  <c r="G18" i="20"/>
  <c r="H18" i="20"/>
  <c r="G19" i="20"/>
  <c r="H19" i="20"/>
  <c r="G20" i="20"/>
  <c r="H20" i="20"/>
  <c r="G21" i="20"/>
  <c r="H21" i="20"/>
  <c r="G22" i="20"/>
  <c r="H22" i="20"/>
  <c r="G23" i="20"/>
  <c r="H23" i="20"/>
  <c r="G18" i="18"/>
  <c r="H18" i="18"/>
  <c r="G19" i="18"/>
  <c r="H19" i="18"/>
  <c r="G20" i="18"/>
  <c r="H20" i="18"/>
  <c r="G21" i="18"/>
  <c r="H21" i="18"/>
  <c r="G22" i="18"/>
  <c r="H22" i="18"/>
  <c r="G23" i="18"/>
  <c r="H23" i="18"/>
  <c r="G18" i="15"/>
  <c r="H18" i="15"/>
  <c r="G19" i="15"/>
  <c r="H19" i="15"/>
  <c r="G20" i="15"/>
  <c r="H20" i="15"/>
  <c r="G21" i="15"/>
  <c r="H21" i="15"/>
  <c r="G22" i="15"/>
  <c r="H22" i="15"/>
  <c r="G23" i="15"/>
  <c r="H23" i="15"/>
  <c r="H34" i="8"/>
  <c r="I34" i="8"/>
  <c r="L34" i="8"/>
  <c r="M34" i="8"/>
  <c r="P34" i="8"/>
  <c r="Q34" i="8"/>
  <c r="H35" i="8"/>
  <c r="I35" i="8"/>
  <c r="L35" i="8"/>
  <c r="M35" i="8"/>
  <c r="P35" i="8"/>
  <c r="Q35" i="8"/>
  <c r="H36" i="8"/>
  <c r="I36" i="8"/>
  <c r="L36" i="8"/>
  <c r="M36" i="8"/>
  <c r="P36" i="8"/>
  <c r="Q36" i="8"/>
  <c r="H37" i="8"/>
  <c r="I37" i="8"/>
  <c r="L37" i="8"/>
  <c r="M37" i="8"/>
  <c r="P37" i="8"/>
  <c r="Q37" i="8"/>
  <c r="H38" i="8"/>
  <c r="I38" i="8"/>
  <c r="L38" i="8"/>
  <c r="M38" i="8"/>
  <c r="P38" i="8"/>
  <c r="Q38" i="8"/>
  <c r="H39" i="8"/>
  <c r="I39" i="8"/>
  <c r="P39" i="8"/>
  <c r="Q39" i="8"/>
  <c r="H14" i="8"/>
  <c r="I14" i="8"/>
  <c r="L14" i="8"/>
  <c r="M14" i="8"/>
  <c r="P14" i="8"/>
  <c r="Q14" i="8"/>
  <c r="T14" i="8"/>
  <c r="U14" i="8"/>
  <c r="H15" i="8"/>
  <c r="I15" i="8"/>
  <c r="L15" i="8"/>
  <c r="M15" i="8"/>
  <c r="P15" i="8"/>
  <c r="Q15" i="8"/>
  <c r="T15" i="8"/>
  <c r="U15" i="8"/>
  <c r="H16" i="8"/>
  <c r="I16" i="8"/>
  <c r="L16" i="8"/>
  <c r="M16" i="8"/>
  <c r="P16" i="8"/>
  <c r="Q16" i="8"/>
  <c r="T16" i="8"/>
  <c r="U16" i="8"/>
  <c r="H17" i="8"/>
  <c r="I17" i="8"/>
  <c r="L17" i="8"/>
  <c r="M17" i="8"/>
  <c r="P17" i="8"/>
  <c r="Q17" i="8"/>
  <c r="T17" i="8"/>
  <c r="U17" i="8"/>
  <c r="H18" i="8"/>
  <c r="I18" i="8"/>
  <c r="L18" i="8"/>
  <c r="M18" i="8"/>
  <c r="P18" i="8"/>
  <c r="Q18" i="8"/>
  <c r="T18" i="8"/>
  <c r="U18" i="8"/>
  <c r="G18" i="19"/>
  <c r="H18" i="19"/>
  <c r="G19" i="19"/>
  <c r="H19" i="19"/>
  <c r="G20" i="19"/>
  <c r="H20" i="19"/>
  <c r="G21" i="19"/>
  <c r="H21" i="19"/>
  <c r="G22" i="19"/>
  <c r="H22" i="19"/>
  <c r="G23" i="19"/>
  <c r="H23" i="19"/>
  <c r="G13" i="5"/>
  <c r="G14" i="5"/>
  <c r="G15" i="5"/>
  <c r="G16" i="5"/>
  <c r="G17" i="5"/>
  <c r="G18" i="5"/>
  <c r="H7" i="19"/>
  <c r="I3" i="8"/>
  <c r="H3" i="8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H17" i="18"/>
  <c r="G17" i="18"/>
  <c r="H16" i="18"/>
  <c r="G16" i="18"/>
  <c r="H15" i="18"/>
  <c r="G15" i="18"/>
  <c r="H14" i="18"/>
  <c r="G14" i="18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5"/>
  <c r="H9" i="15"/>
  <c r="H10" i="15"/>
  <c r="H11" i="15"/>
  <c r="H12" i="15"/>
  <c r="H13" i="15"/>
  <c r="H14" i="15"/>
  <c r="H15" i="15"/>
  <c r="H16" i="15"/>
  <c r="H17" i="15"/>
  <c r="H7" i="15"/>
  <c r="G8" i="15"/>
  <c r="G9" i="15"/>
  <c r="G10" i="15"/>
  <c r="G11" i="15"/>
  <c r="G12" i="15"/>
  <c r="G13" i="15"/>
  <c r="G14" i="15"/>
  <c r="G15" i="15"/>
  <c r="G16" i="15"/>
  <c r="G17" i="15"/>
  <c r="G7" i="15"/>
  <c r="H8" i="14"/>
  <c r="H9" i="14"/>
  <c r="H10" i="14"/>
  <c r="H11" i="14"/>
  <c r="H12" i="14"/>
  <c r="H13" i="14"/>
  <c r="H14" i="14"/>
  <c r="H15" i="14"/>
  <c r="H16" i="14"/>
  <c r="H17" i="14"/>
  <c r="G8" i="14"/>
  <c r="G9" i="14"/>
  <c r="G10" i="14"/>
  <c r="G11" i="14"/>
  <c r="G12" i="14"/>
  <c r="G13" i="14"/>
  <c r="G14" i="14"/>
  <c r="G15" i="14"/>
  <c r="G16" i="14"/>
  <c r="G17" i="14"/>
  <c r="H7" i="14"/>
  <c r="G7" i="14"/>
  <c r="P23" i="8"/>
  <c r="L23" i="8"/>
  <c r="H23" i="8"/>
  <c r="U3" i="8"/>
  <c r="Q3" i="8"/>
  <c r="M3" i="8"/>
  <c r="Q23" i="8"/>
  <c r="M23" i="8"/>
  <c r="I23" i="8"/>
  <c r="T3" i="8"/>
  <c r="P3" i="8"/>
  <c r="L3" i="8"/>
  <c r="G3" i="5"/>
  <c r="P24" i="8"/>
  <c r="I24" i="8"/>
  <c r="Q24" i="8"/>
  <c r="H24" i="8"/>
  <c r="G4" i="5"/>
  <c r="L25" i="8"/>
  <c r="P5" i="8"/>
  <c r="I5" i="8"/>
  <c r="H5" i="8"/>
  <c r="T5" i="8"/>
  <c r="Q25" i="8"/>
  <c r="Q5" i="8"/>
  <c r="P25" i="8"/>
  <c r="H25" i="8"/>
  <c r="L5" i="8"/>
  <c r="M25" i="8"/>
  <c r="U5" i="8"/>
  <c r="I25" i="8"/>
  <c r="M5" i="8"/>
  <c r="L7" i="8"/>
  <c r="G5" i="5"/>
  <c r="I6" i="8"/>
  <c r="M26" i="8"/>
  <c r="I26" i="8"/>
  <c r="L26" i="8"/>
  <c r="Q26" i="8"/>
  <c r="P6" i="8"/>
  <c r="P26" i="8"/>
  <c r="H26" i="8"/>
  <c r="H6" i="8"/>
  <c r="L6" i="8"/>
  <c r="U6" i="8"/>
  <c r="Q6" i="8"/>
  <c r="T6" i="8"/>
  <c r="M6" i="8"/>
  <c r="P27" i="8"/>
  <c r="Q27" i="8"/>
  <c r="I27" i="8"/>
  <c r="M7" i="8"/>
  <c r="H27" i="8"/>
  <c r="I7" i="8"/>
  <c r="T7" i="8"/>
  <c r="U7" i="8"/>
  <c r="M27" i="8"/>
  <c r="Q7" i="8"/>
  <c r="L27" i="8"/>
  <c r="H7" i="8"/>
  <c r="P7" i="8"/>
  <c r="G6" i="5"/>
  <c r="U8" i="8"/>
  <c r="M8" i="8"/>
  <c r="I28" i="8"/>
  <c r="P28" i="8"/>
  <c r="L28" i="8"/>
  <c r="H8" i="8"/>
  <c r="H28" i="8"/>
  <c r="G7" i="5"/>
  <c r="T8" i="8"/>
  <c r="Q8" i="8"/>
  <c r="M28" i="8"/>
  <c r="T9" i="8"/>
  <c r="L8" i="8"/>
  <c r="I8" i="8"/>
  <c r="P8" i="8"/>
  <c r="Q28" i="8"/>
  <c r="L9" i="8"/>
  <c r="M29" i="8"/>
  <c r="U9" i="8"/>
  <c r="M9" i="8"/>
  <c r="H29" i="8"/>
  <c r="I29" i="8"/>
  <c r="P29" i="8"/>
  <c r="H9" i="8"/>
  <c r="P9" i="8"/>
  <c r="Q9" i="8"/>
  <c r="L29" i="8"/>
  <c r="G8" i="5"/>
  <c r="Q29" i="8"/>
  <c r="I9" i="8"/>
  <c r="Q30" i="8"/>
  <c r="U10" i="8"/>
  <c r="M30" i="8"/>
  <c r="H30" i="8"/>
  <c r="Q10" i="8"/>
  <c r="I10" i="8"/>
  <c r="T10" i="8"/>
  <c r="L10" i="8"/>
  <c r="G9" i="5"/>
  <c r="P30" i="8"/>
  <c r="P10" i="8"/>
  <c r="M10" i="8"/>
  <c r="L30" i="8"/>
  <c r="I30" i="8"/>
  <c r="H10" i="8"/>
  <c r="P31" i="8"/>
  <c r="L31" i="8"/>
  <c r="T11" i="8"/>
  <c r="L11" i="8"/>
  <c r="I31" i="8"/>
  <c r="Q11" i="8"/>
  <c r="I11" i="8"/>
  <c r="G10" i="5"/>
  <c r="M31" i="8"/>
  <c r="H31" i="8"/>
  <c r="P11" i="8"/>
  <c r="Q31" i="8"/>
  <c r="U11" i="8"/>
  <c r="M11" i="8"/>
  <c r="H11" i="8"/>
  <c r="Q32" i="8"/>
  <c r="U12" i="8"/>
  <c r="M12" i="8"/>
  <c r="H12" i="8"/>
  <c r="M32" i="8"/>
  <c r="H32" i="8"/>
  <c r="P12" i="8"/>
  <c r="G11" i="5"/>
  <c r="I32" i="8"/>
  <c r="Q12" i="8"/>
  <c r="I12" i="8"/>
  <c r="P32" i="8"/>
  <c r="L32" i="8"/>
  <c r="T12" i="8"/>
  <c r="L12" i="8"/>
  <c r="G12" i="5"/>
  <c r="H33" i="8"/>
  <c r="H13" i="8"/>
  <c r="U13" i="8"/>
  <c r="L33" i="8"/>
  <c r="L13" i="8"/>
  <c r="Q33" i="8"/>
  <c r="I33" i="8"/>
  <c r="Q13" i="8"/>
  <c r="I13" i="8"/>
  <c r="P33" i="8"/>
  <c r="P13" i="8"/>
  <c r="M33" i="8"/>
  <c r="M13" i="8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<sst xmlns="http://schemas.openxmlformats.org/spreadsheetml/2006/main" count="629" uniqueCount="285">
  <si>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</si>
  <si>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</si>
  <si>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</si>
  <si>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</si>
  <si>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</si>
  <si>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</si>
  <si>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</si>
  <si>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</si>
  <si>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</si>
  <si>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</si>
  <si>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</si>
  <si>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</si>
  <si>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</si>
  <si>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</si>
  <si>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</si>
  <si>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</si>
  <si>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</si>
  <si>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</si>
  <si>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</si>
  <si>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</si>
  <si>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</si>
  <si>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</si>
  <si>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</si>
  <si>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</si>
  <si>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</si>
  <si>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</si>
  <si>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</si>
  <si>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</si>
  <si>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</si>
  <si>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</si>
  <si>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</si>
  <si>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</si>
  <si>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</si>
  <si>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</si>
  <si>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</si>
  <si>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</si>
  <si>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</si>
  <si>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</si>
  <si>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</si>
  <si>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</si>
  <si>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</si>
  <si>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</si>
  <si>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</si>
  <si>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</si>
  <si>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</si>
  <si>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</si>
  <si>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</si>
  <si>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</si>
  <si>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</si>
  <si>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</si>
  <si>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</si>
  <si>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</si>
  <si>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</si>
  <si>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</si>
  <si>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</si>
  <si>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</si>
  <si>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</si>
  <si>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</si>
  <si>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</si>
  <si>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</si>
  <si>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</si>
  <si>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</si>
  <si>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</si>
  <si>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</si>
  <si>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</si>
  <si>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</si>
  <si>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</si>
  <si>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</si>
  <si>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</si>
  <si>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</si>
  <si>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</si>
  <si>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</si>
  <si>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</si>
  <si>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</si>
  <si>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</si>
  <si>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</si>
  <si>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</si>
  <si>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</si>
  <si>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</si>
  <si>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</si>
  <si>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</si>
  <si>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</si>
  <si>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</si>
  <si>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</si>
  <si>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</si>
  <si>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Neutralised soy pepton</t>
  </si>
  <si>
    <t>Trypton</t>
  </si>
  <si>
    <t>Granulated yeast extract</t>
  </si>
  <si>
    <t>Na-acetate trihydrate (50 mM)</t>
  </si>
  <si>
    <t>Hemine</t>
  </si>
  <si>
    <t>Menadione</t>
  </si>
  <si>
    <t>/</t>
  </si>
  <si>
    <t>Selenite and tungsten</t>
  </si>
  <si>
    <t>1,0 ml of a 1000x stock solution</t>
  </si>
  <si>
    <t>Trace element solution SL-10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</si>
  <si>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</si>
  <si>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</si>
  <si>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</si>
  <si>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</si>
  <si>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</si>
  <si>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</si>
  <si>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</si>
  <si>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</si>
  <si>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</si>
  <si>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</si>
  <si>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</si>
  <si>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</si>
  <si>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</si>
  <si>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</si>
  <si>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</si>
  <si>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Acetic acid consumed</t>
  </si>
  <si>
    <t>Formic acid produced</t>
  </si>
  <si>
    <t>Lactic acid produced</t>
  </si>
  <si>
    <t>Butyric acid produced</t>
  </si>
  <si>
    <t>Hydrogen recovery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</si>
  <si>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</si>
  <si>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</si>
  <si>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r>
      <rPr>
        <i/>
        <sz val="11"/>
        <color theme="1"/>
        <rFont val="Calibri"/>
        <family val="2"/>
        <scheme val="minor"/>
      </rPr>
      <t xml:space="preserve">Roseburia intestinalis </t>
    </r>
    <r>
      <rPr>
        <sz val="11"/>
        <color theme="1"/>
        <rFont val="Calibri"/>
        <family val="2"/>
        <scheme val="minor"/>
      </rPr>
      <t>DSM 14610</t>
    </r>
    <r>
      <rPr>
        <vertAlign val="superscript"/>
        <sz val="11"/>
        <color theme="1"/>
        <rFont val="Calibri"/>
        <family val="2"/>
        <scheme val="minor"/>
      </rPr>
      <t>T</t>
    </r>
  </si>
  <si>
    <t>x</t>
  </si>
  <si>
    <t>2x</t>
  </si>
  <si>
    <t>z</t>
  </si>
  <si>
    <t>2x-z</t>
  </si>
  <si>
    <t>y</t>
  </si>
  <si>
    <t>(2x-2+Y)/2</t>
  </si>
  <si>
    <t>2x NAD + H2 wordt NADH + H+</t>
  </si>
  <si>
    <t>2x-z+y NADH + H+ wordt NAD + H2</t>
  </si>
  <si>
    <t>Theoretical</t>
  </si>
  <si>
    <t>Experimental</t>
  </si>
  <si>
    <t>2x-z-y</t>
  </si>
  <si>
    <t>f</t>
  </si>
  <si>
    <t>2x-z -f</t>
  </si>
  <si>
    <t>LN(Count/mL)</t>
  </si>
  <si>
    <t>y = lnN</t>
  </si>
  <si>
    <t>a= umax</t>
  </si>
  <si>
    <r>
      <t>h</t>
    </r>
    <r>
      <rPr>
        <vertAlign val="superscript"/>
        <sz val="11"/>
        <color theme="1"/>
        <rFont val="Calibri"/>
        <family val="2"/>
        <scheme val="minor"/>
      </rPr>
      <t>-1</t>
    </r>
  </si>
  <si>
    <t>x =t (h)</t>
  </si>
  <si>
    <r>
      <t>b = ln N</t>
    </r>
    <r>
      <rPr>
        <vertAlign val="subscript"/>
        <sz val="11"/>
        <color theme="1"/>
        <rFont val="Calibri"/>
        <family val="2"/>
        <scheme val="minor"/>
      </rPr>
      <t>O</t>
    </r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</si>
  <si>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</si>
  <si>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doubling time td</t>
  </si>
  <si>
    <t>h</t>
  </si>
  <si>
    <t>umax average</t>
  </si>
  <si>
    <t>umax STDEV</t>
  </si>
  <si>
    <r>
      <t>h</t>
    </r>
    <r>
      <rPr>
        <vertAlign val="superscript"/>
        <sz val="11"/>
        <color rgb="FF000000"/>
        <rFont val="Calibri"/>
        <family val="2"/>
        <scheme val="minor"/>
      </rPr>
      <t>-1</t>
    </r>
  </si>
  <si>
    <t>doubling time average</t>
  </si>
  <si>
    <t>D - Fructose (50 mM)</t>
  </si>
  <si>
    <t>D-Fructose</t>
  </si>
  <si>
    <t>D Fructose</t>
  </si>
  <si>
    <t>D-Fructose consumed</t>
  </si>
  <si>
    <t>10 ml of a 0,1 g/l stock solution</t>
  </si>
  <si>
    <t>2x-z-y-f</t>
  </si>
  <si>
    <t>2x-z+y</t>
  </si>
  <si>
    <t>Left (mL) after inoculation</t>
  </si>
  <si>
    <t xml:space="preserve"> Volume Fermentor (mL) after inoculation</t>
  </si>
  <si>
    <r>
      <t>Na</t>
    </r>
    <r>
      <rPr>
        <vertAlign val="subscript"/>
        <sz val="11"/>
        <rFont val="Calibri"/>
        <scheme val="minor"/>
      </rPr>
      <t>2</t>
    </r>
    <r>
      <rPr>
        <sz val="11"/>
        <rFont val="Calibri"/>
        <family val="2"/>
        <scheme val="minor"/>
      </rPr>
      <t>SO</t>
    </r>
    <r>
      <rPr>
        <vertAlign val="subscript"/>
        <sz val="11"/>
        <rFont val="Calibri"/>
        <scheme val="minor"/>
      </rPr>
      <t>4</t>
    </r>
  </si>
  <si>
    <t xml:space="preserve">2x-z-y </t>
  </si>
  <si>
    <t>New calibration 12-12-14</t>
  </si>
  <si>
    <t>New calibration 12-12-2014</t>
  </si>
  <si>
    <t>LOG</t>
  </si>
  <si>
    <t>STDEV LOG(Count/mL)</t>
  </si>
  <si>
    <t>13,50 g in 100 ml MilliQ,H20 per 1.5l</t>
  </si>
  <si>
    <t>x moles D-Fructose consumed</t>
  </si>
  <si>
    <t>2x moles pyruvate produced</t>
  </si>
  <si>
    <t>z moles lactate produced</t>
  </si>
  <si>
    <t>f moles formate produced</t>
  </si>
  <si>
    <t xml:space="preserve">2x-z moles </t>
  </si>
  <si>
    <t>2x-z-f moles CO2 produced</t>
  </si>
  <si>
    <t>y moles acetate consumed</t>
  </si>
  <si>
    <t>2x-z+y  moles acetyl-CoA produced</t>
  </si>
  <si>
    <t>(2x-2+Y)/2 moles butyraate produced</t>
  </si>
  <si>
    <t>2x-z-y-f moles H2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</si>
  <si>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</si>
  <si>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</si>
  <si>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</si>
  <si>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</si>
  <si>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</si>
  <si>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</si>
  <si>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</si>
  <si>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</si>
  <si>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</si>
  <si>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</si>
  <si>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</si>
  <si>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</si>
  <si>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</si>
  <si>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</si>
  <si>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</si>
  <si>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</si>
  <si>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</si>
  <si>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factor 1.8</t>
  </si>
  <si>
    <t xml:space="preserve">Volume (ul) </t>
  </si>
  <si>
    <t>10_0</t>
  </si>
  <si>
    <t>10_1</t>
  </si>
  <si>
    <t>10_2</t>
  </si>
  <si>
    <t>10_3</t>
  </si>
  <si>
    <t>10_4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</si>
  <si>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</si>
  <si>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</si>
  <si>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</si>
  <si>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</si>
  <si>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</si>
  <si>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</si>
  <si>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</si>
  <si>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</si>
  <si>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</si>
  <si>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</si>
  <si>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</si>
  <si>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CT1</t>
  </si>
  <si>
    <t>CT2</t>
  </si>
  <si>
    <t>CT3</t>
  </si>
  <si>
    <t>Average CT</t>
  </si>
  <si>
    <t>Dilution for 1 ml</t>
  </si>
  <si>
    <t>Log Dilution for 1 ml</t>
  </si>
  <si>
    <t>CT1 normalized</t>
  </si>
  <si>
    <t>CT2 normalized</t>
  </si>
  <si>
    <t>CT3 normalized</t>
  </si>
  <si>
    <t>Average CT normalized</t>
  </si>
  <si>
    <t>outliers</t>
  </si>
  <si>
    <t>IPC RI10 epp</t>
  </si>
  <si>
    <t>Threshold</t>
  </si>
  <si>
    <t>AUTO</t>
  </si>
  <si>
    <t>Baseline</t>
  </si>
  <si>
    <t>Rico</t>
  </si>
  <si>
    <t>intercept</t>
  </si>
  <si>
    <t>Efficiency E (%)</t>
  </si>
  <si>
    <t>R. intestinalis</t>
  </si>
  <si>
    <t>Ct1</t>
  </si>
  <si>
    <t>Ct2</t>
  </si>
  <si>
    <t>Ct3</t>
  </si>
  <si>
    <t>Ct1 IPC corrected</t>
  </si>
  <si>
    <t>Ct2 IPC corrected</t>
  </si>
  <si>
    <t>Ct3 IPC corrected</t>
  </si>
  <si>
    <t>Log (cells/ml) 1</t>
  </si>
  <si>
    <t>Log (cells/ml) 2</t>
  </si>
  <si>
    <t>Log (cells/ml) 3</t>
  </si>
  <si>
    <t>Log (cells/ml)</t>
  </si>
  <si>
    <t>STDV Log (cells/ml)</t>
  </si>
  <si>
    <t>cells/ml medium</t>
  </si>
  <si>
    <t>STDV(cells/ml medium)</t>
  </si>
  <si>
    <t>Log (cells/ml medium)</t>
  </si>
  <si>
    <t>STDV Log (cells/ml medium)</t>
  </si>
  <si>
    <t>Dilution log (10x)</t>
  </si>
  <si>
    <t xml:space="preserve">Dilution </t>
  </si>
  <si>
    <t>IPC value epp 10</t>
  </si>
  <si>
    <t>plate 20150701</t>
  </si>
  <si>
    <t>plate 20150630</t>
  </si>
  <si>
    <t>plate 20150629</t>
  </si>
  <si>
    <t>plate 20150708</t>
  </si>
  <si>
    <t>IPC value epp 9</t>
  </si>
  <si>
    <t>plate 20150727</t>
  </si>
  <si>
    <t>plate 20150729</t>
  </si>
  <si>
    <t>plate 20150730</t>
  </si>
  <si>
    <t>IPC value epp 8</t>
  </si>
  <si>
    <t>plate 20150804</t>
  </si>
  <si>
    <t>Total average</t>
  </si>
  <si>
    <t>IPC value epp 7</t>
  </si>
  <si>
    <t>plate 20150807</t>
  </si>
  <si>
    <t>plate 20150831</t>
  </si>
  <si>
    <t>plate 20150902</t>
  </si>
  <si>
    <t>plate 20150903</t>
  </si>
  <si>
    <t>IPC value epp 6</t>
  </si>
  <si>
    <t>plate 20150908</t>
  </si>
  <si>
    <t>plate 20150910</t>
  </si>
  <si>
    <t>plate 20150911</t>
  </si>
  <si>
    <t>IPC value epp 5</t>
  </si>
  <si>
    <t>plate 20150922</t>
  </si>
  <si>
    <t>plate 20151007</t>
  </si>
  <si>
    <t>plate 20151009</t>
  </si>
  <si>
    <t>plate 20151013</t>
  </si>
  <si>
    <t>IPC value epp 4</t>
  </si>
  <si>
    <t>plate 20151019</t>
  </si>
  <si>
    <t>plate 20151111</t>
  </si>
  <si>
    <t>plate 20151112</t>
  </si>
  <si>
    <t>IPC value epp 3</t>
  </si>
  <si>
    <t>plate 20151204</t>
  </si>
  <si>
    <t>plate 20160126</t>
  </si>
  <si>
    <t>IPC value epp 2</t>
  </si>
  <si>
    <t>plate 20160208</t>
  </si>
  <si>
    <t>plate 20160222</t>
  </si>
  <si>
    <t>plate 20160223</t>
  </si>
  <si>
    <t>IPC value epp 1</t>
  </si>
  <si>
    <t>plate 20160225</t>
  </si>
  <si>
    <t>plate 20160308</t>
  </si>
  <si>
    <t>plate 20160310</t>
  </si>
  <si>
    <t>plate 20160311</t>
  </si>
  <si>
    <t>plate 20160318</t>
  </si>
  <si>
    <t>plate 20160405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</si>
</sst>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1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vertAlign val="subscript"/>
      <sz val="11"/>
      <name val="Calibri"/>
      <scheme val="minor"/>
    </font>
    <font>
      <sz val="11"/>
      <color rgb="FF008000"/>
      <name val="Calibri"/>
      <scheme val="minor"/>
    </font>
    <font>
      <sz val="11"/>
      <color theme="1"/>
      <name val="Calibri"/>
      <family val="2"/>
      <scheme val="minor"/>
    </font>
    <font>
      <i/>
      <sz val="1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22F918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316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9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5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2" borderId="16" xfId="0" applyFill="1" applyBorder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24" fillId="0" borderId="16" xfId="0" applyFont="1" applyBorder="1" applyAlignment="1">
      <alignment horizont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0" fontId="25" fillId="0" borderId="0" xfId="0" applyFont="1"/>
    <xf numFmtId="2" fontId="25" fillId="0" borderId="0" xfId="0" applyNumberFormat="1" applyFont="1"/>
    <xf numFmtId="0" fontId="0" fillId="0" borderId="17" xfId="0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1" fontId="25" fillId="0" borderId="0" xfId="0" applyNumberFormat="1" applyFont="1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/>
    </xf>
    <xf numFmtId="2" fontId="18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1" fontId="25" fillId="0" borderId="16" xfId="0" applyNumberFormat="1" applyFont="1" applyBorder="1" applyAlignment="1">
      <alignment horizontal="center"/>
    </xf>
    <xf numFmtId="1" fontId="25" fillId="0" borderId="3" xfId="0" applyNumberFormat="1" applyFont="1" applyBorder="1" applyAlignment="1">
      <alignment horizontal="center"/>
    </xf>
    <xf numFmtId="1" fontId="25" fillId="0" borderId="20" xfId="0" applyNumberFormat="1" applyFont="1" applyBorder="1" applyAlignment="1">
      <alignment horizontal="center"/>
    </xf>
    <xf numFmtId="164" fontId="24" fillId="0" borderId="16" xfId="0" applyNumberFormat="1" applyFont="1" applyBorder="1" applyAlignment="1">
      <alignment horizontal="center" vertical="center"/>
    </xf>
    <xf numFmtId="164" fontId="0" fillId="0" borderId="16" xfId="0" applyNumberFormat="1" applyFon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165" fontId="0" fillId="0" borderId="0" xfId="0" applyNumberFormat="1"/>
    <xf numFmtId="0" fontId="0" fillId="12" borderId="0" xfId="0" applyFill="1"/>
    <xf numFmtId="165" fontId="18" fillId="0" borderId="0" xfId="0" applyNumberFormat="1" applyFont="1"/>
    <xf numFmtId="165" fontId="28" fillId="0" borderId="0" xfId="0" applyNumberFormat="1" applyFont="1"/>
    <xf numFmtId="165" fontId="24" fillId="0" borderId="0" xfId="0" applyNumberFormat="1" applyFont="1"/>
    <xf numFmtId="0" fontId="29" fillId="2" borderId="4" xfId="301" applyFill="1" applyBorder="1" applyAlignment="1">
      <alignment horizontal="center" vertical="center"/>
    </xf>
    <xf numFmtId="0" fontId="29" fillId="0" borderId="0" xfId="301"/>
    <xf numFmtId="0" fontId="29" fillId="2" borderId="16" xfId="301" applyFill="1" applyBorder="1" applyAlignment="1">
      <alignment horizontal="center" vertical="center"/>
    </xf>
    <xf numFmtId="0" fontId="29" fillId="2" borderId="3" xfId="301" applyFill="1" applyBorder="1" applyAlignment="1">
      <alignment horizontal="center" vertical="center"/>
    </xf>
    <xf numFmtId="0" fontId="29" fillId="0" borderId="3" xfId="301" applyFill="1" applyBorder="1" applyAlignment="1">
      <alignment horizontal="center" vertical="center"/>
    </xf>
    <xf numFmtId="0" fontId="29" fillId="0" borderId="16" xfId="301" applyFill="1" applyBorder="1" applyAlignment="1">
      <alignment horizontal="center" vertical="center"/>
    </xf>
    <xf numFmtId="11" fontId="29" fillId="0" borderId="16" xfId="301" applyNumberFormat="1" applyFill="1" applyBorder="1" applyAlignment="1">
      <alignment horizontal="center" vertical="center"/>
    </xf>
    <xf numFmtId="0" fontId="0" fillId="0" borderId="16" xfId="301" applyFont="1" applyBorder="1" applyAlignment="1">
      <alignment horizontal="center" vertical="center"/>
    </xf>
    <xf numFmtId="0" fontId="29" fillId="0" borderId="16" xfId="301" applyBorder="1" applyAlignment="1">
      <alignment horizontal="center" vertical="center"/>
    </xf>
    <xf numFmtId="11" fontId="29" fillId="0" borderId="16" xfId="301" applyNumberFormat="1" applyBorder="1" applyAlignment="1">
      <alignment horizontal="center" vertical="center"/>
    </xf>
    <xf numFmtId="2" fontId="29" fillId="0" borderId="16" xfId="301" applyNumberFormat="1" applyBorder="1" applyAlignment="1">
      <alignment horizontal="center" vertical="center"/>
    </xf>
    <xf numFmtId="0" fontId="29" fillId="2" borderId="21" xfId="301" applyFill="1" applyBorder="1" applyAlignment="1">
      <alignment wrapText="1"/>
    </xf>
    <xf numFmtId="0" fontId="0" fillId="2" borderId="21" xfId="301" applyFont="1" applyFill="1" applyBorder="1" applyAlignment="1">
      <alignment wrapText="1"/>
    </xf>
    <xf numFmtId="0" fontId="0" fillId="2" borderId="21" xfId="301" applyFont="1" applyFill="1" applyBorder="1" applyAlignment="1">
      <alignment horizontal="center" vertical="center" wrapText="1"/>
    </xf>
    <xf numFmtId="0" fontId="0" fillId="0" borderId="0" xfId="301" applyFont="1"/>
    <xf numFmtId="165" fontId="29" fillId="0" borderId="16" xfId="301" applyNumberFormat="1" applyBorder="1" applyAlignment="1">
      <alignment horizontal="center" vertical="center"/>
    </xf>
    <xf numFmtId="0" fontId="29" fillId="0" borderId="16" xfId="301" applyBorder="1"/>
    <xf numFmtId="0" fontId="29" fillId="0" borderId="0" xfId="301" applyFont="1"/>
    <xf numFmtId="0" fontId="29" fillId="2" borderId="16" xfId="301" applyFill="1" applyBorder="1"/>
    <xf numFmtId="0" fontId="30" fillId="13" borderId="0" xfId="301" applyFont="1" applyFill="1"/>
    <xf numFmtId="165" fontId="29" fillId="0" borderId="16" xfId="301" applyNumberFormat="1" applyBorder="1"/>
    <xf numFmtId="2" fontId="29" fillId="0" borderId="16" xfId="301" applyNumberFormat="1" applyBorder="1"/>
    <xf numFmtId="1" fontId="29" fillId="0" borderId="16" xfId="301" applyNumberFormat="1" applyBorder="1"/>
    <xf numFmtId="165" fontId="0" fillId="0" borderId="16" xfId="301" applyNumberFormat="1" applyFont="1" applyBorder="1" applyAlignment="1">
      <alignment horizontal="center" vertical="center"/>
    </xf>
    <xf numFmtId="0" fontId="0" fillId="0" borderId="16" xfId="301" applyFont="1" applyBorder="1"/>
    <xf numFmtId="165" fontId="25" fillId="0" borderId="18" xfId="0" applyNumberFormat="1" applyFont="1" applyBorder="1" applyAlignment="1">
      <alignment horizontal="center" vertical="center"/>
    </xf>
    <xf numFmtId="165" fontId="25" fillId="0" borderId="16" xfId="0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horizontal="center" vertical="center"/>
    </xf>
    <xf numFmtId="165" fontId="29" fillId="0" borderId="0" xfId="301" applyNumberFormat="1"/>
    <xf numFmtId="165" fontId="25" fillId="0" borderId="3" xfId="0" applyNumberFormat="1" applyFont="1" applyBorder="1" applyAlignment="1">
      <alignment horizontal="center" vertical="center"/>
    </xf>
    <xf numFmtId="165" fontId="25" fillId="0" borderId="20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5" fillId="11" borderId="17" xfId="0" applyFont="1" applyFill="1" applyBorder="1" applyAlignment="1">
      <alignment horizontal="center" vertical="center"/>
    </xf>
    <xf numFmtId="0" fontId="25" fillId="11" borderId="5" xfId="0" applyFont="1" applyFill="1" applyBorder="1" applyAlignment="1">
      <alignment horizontal="center" vertical="center"/>
    </xf>
    <xf numFmtId="0" fontId="25" fillId="11" borderId="1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9" fillId="0" borderId="17" xfId="301" applyNumberFormat="1" applyFill="1" applyBorder="1" applyAlignment="1">
      <alignment horizontal="center" vertical="center"/>
    </xf>
    <xf numFmtId="0" fontId="29" fillId="0" borderId="5" xfId="301" applyNumberFormat="1" applyFill="1" applyBorder="1" applyAlignment="1">
      <alignment horizontal="center" vertical="center"/>
    </xf>
    <xf numFmtId="0" fontId="29" fillId="0" borderId="18" xfId="301" applyNumberFormat="1" applyFill="1" applyBorder="1" applyAlignment="1">
      <alignment horizontal="center" vertical="center"/>
    </xf>
    <xf numFmtId="0" fontId="29" fillId="2" borderId="4" xfId="301" applyFill="1" applyBorder="1" applyAlignment="1">
      <alignment horizontal="center" vertical="center"/>
    </xf>
    <xf numFmtId="0" fontId="29" fillId="2" borderId="3" xfId="301" applyFill="1" applyBorder="1" applyAlignment="1">
      <alignment horizontal="center" vertical="center"/>
    </xf>
    <xf numFmtId="0" fontId="0" fillId="2" borderId="4" xfId="301" applyFont="1" applyFill="1" applyBorder="1" applyAlignment="1">
      <alignment horizontal="center" vertical="center"/>
    </xf>
    <xf numFmtId="0" fontId="29" fillId="2" borderId="16" xfId="301" applyFill="1" applyBorder="1" applyAlignment="1">
      <alignment horizontal="center" vertical="center"/>
    </xf>
    <xf numFmtId="0" fontId="21" fillId="0" borderId="23" xfId="301" applyFont="1" applyBorder="1" applyAlignment="1">
      <alignment horizontal="center"/>
    </xf>
    <xf numFmtId="0" fontId="29" fillId="0" borderId="23" xfId="301" applyBorder="1" applyAlignment="1">
      <alignment horizontal="center"/>
    </xf>
    <xf numFmtId="0" fontId="25" fillId="11" borderId="4" xfId="0" applyFont="1" applyFill="1" applyBorder="1" applyAlignment="1">
      <alignment horizontal="center" vertical="center"/>
    </xf>
    <xf numFmtId="0" fontId="25" fillId="11" borderId="22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316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Input" xfId="10"/>
    <cellStyle name="Linked Cell" xfId="11"/>
    <cellStyle name="Neutral" xfId="12"/>
    <cellStyle name="Normal" xfId="0" builtinId="0"/>
    <cellStyle name="Normal 2" xfId="301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FEC109"/>
      <color rgb="FF67FF65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hartsheet" Target="chartsheets/sheet2.xml"/><Relationship Id="rId21" Type="http://schemas.openxmlformats.org/officeDocument/2006/relationships/worksheet" Target="worksheets/sheet19.xml"/><Relationship Id="rId22" Type="http://schemas.openxmlformats.org/officeDocument/2006/relationships/theme" Target="theme/theme1.xml"/><Relationship Id="rId23" Type="http://schemas.openxmlformats.org/officeDocument/2006/relationships/connections" Target="connections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9"/>
          <c:order val="0"/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37079514650833"/>
                  <c:y val="0.0311659473528152"/>
                </c:manualLayout>
              </c:layout>
              <c:numFmt formatCode="General" sourceLinked="0"/>
            </c:trendlineLbl>
          </c:trendline>
          <c:xVal>
            <c:numRef>
              <c:f>'Flow cytometer'!$D$10:$D$13</c:f>
              <c:numCache>
                <c:formatCode>0</c:formatCode>
                <c:ptCount val="4"/>
                <c:pt idx="0">
                  <c:v>10.33333333333333</c:v>
                </c:pt>
                <c:pt idx="1">
                  <c:v>11.66666666666667</c:v>
                </c:pt>
                <c:pt idx="2">
                  <c:v>13.0</c:v>
                </c:pt>
                <c:pt idx="3">
                  <c:v>14.33333333333333</c:v>
                </c:pt>
              </c:numCache>
            </c:numRef>
          </c:xVal>
          <c:yVal>
            <c:numRef>
              <c:f>'Flow cytometer'!$S$10:$S$13</c:f>
              <c:numCache>
                <c:formatCode>0.00</c:formatCode>
                <c:ptCount val="4"/>
                <c:pt idx="0">
                  <c:v>9.630649702262625</c:v>
                </c:pt>
                <c:pt idx="1">
                  <c:v>9.68193798904425</c:v>
                </c:pt>
                <c:pt idx="2">
                  <c:v>9.72115839261521</c:v>
                </c:pt>
                <c:pt idx="3">
                  <c:v>9.780686363592321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271592"/>
        <c:axId val="2117433096"/>
      </c:scatterChart>
      <c:valAx>
        <c:axId val="2070271592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17433096"/>
        <c:crossesAt val="0.0"/>
        <c:crossBetween val="midCat"/>
        <c:majorUnit val="6.0"/>
      </c:valAx>
      <c:valAx>
        <c:axId val="2117433096"/>
        <c:scaling>
          <c:orientation val="minMax"/>
          <c:max val="10.0"/>
          <c:min val="8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Cell growth (log (events/ml))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7027159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9"/>
          <c:order val="0"/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37079514650833"/>
                  <c:y val="0.0311659473528152"/>
                </c:manualLayout>
              </c:layout>
              <c:numFmt formatCode="General" sourceLinked="0"/>
            </c:trendlineLbl>
          </c:trendline>
          <c:xVal>
            <c:numRef>
              <c:f>'Flow cytometer'!$D$10:$D$13</c:f>
              <c:numCache>
                <c:formatCode>0</c:formatCode>
                <c:ptCount val="4"/>
                <c:pt idx="0">
                  <c:v>10.33333333333333</c:v>
                </c:pt>
                <c:pt idx="1">
                  <c:v>11.66666666666667</c:v>
                </c:pt>
                <c:pt idx="2">
                  <c:v>13.0</c:v>
                </c:pt>
                <c:pt idx="3">
                  <c:v>14.33333333333333</c:v>
                </c:pt>
              </c:numCache>
            </c:numRef>
          </c:xVal>
          <c:yVal>
            <c:numRef>
              <c:f>'Flow cytometer'!$T$10:$T$13</c:f>
              <c:numCache>
                <c:formatCode>0.00</c:formatCode>
                <c:ptCount val="4"/>
                <c:pt idx="0">
                  <c:v>22.17539044027746</c:v>
                </c:pt>
                <c:pt idx="1">
                  <c:v>22.29348608486604</c:v>
                </c:pt>
                <c:pt idx="2">
                  <c:v>22.38379440146974</c:v>
                </c:pt>
                <c:pt idx="3">
                  <c:v>22.52086262005782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849944"/>
        <c:axId val="-2094150488"/>
      </c:scatterChart>
      <c:valAx>
        <c:axId val="-2089849944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94150488"/>
        <c:crossesAt val="0.0"/>
        <c:crossBetween val="midCat"/>
        <c:majorUnit val="6.0"/>
      </c:valAx>
      <c:valAx>
        <c:axId val="-2094150488"/>
        <c:scaling>
          <c:orientation val="minMax"/>
          <c:max val="23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Cell growth (ln (events/ml))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8984994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BE"/>
              <a:t>Calibration</a:t>
            </a:r>
            <a:r>
              <a:rPr lang="nl-BE" baseline="0"/>
              <a:t> </a:t>
            </a:r>
            <a:r>
              <a:rPr lang="nl-BE" i="1" baseline="0"/>
              <a:t>R. intestinalis</a:t>
            </a:r>
            <a:endParaRPr lang="nl-BE" i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9800524934383"/>
                  <c:y val="-0.318278652668416"/>
                </c:manualLayout>
              </c:layout>
              <c:numFmt formatCode="General" sourceLinked="0"/>
            </c:trendlineLbl>
          </c:trendline>
          <c:xVal>
            <c:numRef>
              <c:f>('Calibration R. intestinalis '!$R$4:$R$7,'Calibration R. intestinalis '!$R$9:$R$19)</c:f>
              <c:numCache>
                <c:formatCode>0.00</c:formatCode>
                <c:ptCount val="15"/>
                <c:pt idx="0">
                  <c:v>9.340913567641642</c:v>
                </c:pt>
                <c:pt idx="1">
                  <c:v>8.364361745916065</c:v>
                </c:pt>
                <c:pt idx="2">
                  <c:v>7.41501868403934</c:v>
                </c:pt>
                <c:pt idx="3">
                  <c:v>6.423175631952359</c:v>
                </c:pt>
                <c:pt idx="4">
                  <c:v>9.318402644082718</c:v>
                </c:pt>
                <c:pt idx="5">
                  <c:v>8.99449689289361</c:v>
                </c:pt>
                <c:pt idx="6">
                  <c:v>8.717506452759563</c:v>
                </c:pt>
                <c:pt idx="7">
                  <c:v>8.435095941696934</c:v>
                </c:pt>
                <c:pt idx="8">
                  <c:v>8.129456020849723</c:v>
                </c:pt>
                <c:pt idx="9">
                  <c:v>7.827516967148737</c:v>
                </c:pt>
                <c:pt idx="10">
                  <c:v>7.53584943027753</c:v>
                </c:pt>
                <c:pt idx="11">
                  <c:v>7.244489178658548</c:v>
                </c:pt>
                <c:pt idx="12">
                  <c:v>6.918410814648132</c:v>
                </c:pt>
                <c:pt idx="13">
                  <c:v>6.624850565395643</c:v>
                </c:pt>
                <c:pt idx="14">
                  <c:v>6.118853089115321</c:v>
                </c:pt>
              </c:numCache>
            </c:numRef>
          </c:xVal>
          <c:yVal>
            <c:numRef>
              <c:f>('Calibration R. intestinalis '!$L$23:$L$26,'Calibration R. intestinalis '!$L$28:$L$38)</c:f>
              <c:numCache>
                <c:formatCode>General</c:formatCode>
                <c:ptCount val="15"/>
                <c:pt idx="0">
                  <c:v>6.796308649797421</c:v>
                </c:pt>
                <c:pt idx="1">
                  <c:v>10.71828728240647</c:v>
                </c:pt>
                <c:pt idx="2">
                  <c:v>13.96980108143804</c:v>
                </c:pt>
                <c:pt idx="3">
                  <c:v>18.14686788441656</c:v>
                </c:pt>
                <c:pt idx="4">
                  <c:v>7.554405467811155</c:v>
                </c:pt>
                <c:pt idx="5">
                  <c:v>8.5896399191051</c:v>
                </c:pt>
                <c:pt idx="6">
                  <c:v>9.44354082852893</c:v>
                </c:pt>
                <c:pt idx="7">
                  <c:v>10.11613553474638</c:v>
                </c:pt>
                <c:pt idx="8">
                  <c:v>11.36988919685575</c:v>
                </c:pt>
                <c:pt idx="9">
                  <c:v>12.6170091004202</c:v>
                </c:pt>
                <c:pt idx="10">
                  <c:v>13.73197898974312</c:v>
                </c:pt>
                <c:pt idx="11">
                  <c:v>14.64585393379423</c:v>
                </c:pt>
                <c:pt idx="12">
                  <c:v>16.3368634552786</c:v>
                </c:pt>
                <c:pt idx="13">
                  <c:v>17.33992220670276</c:v>
                </c:pt>
                <c:pt idx="14">
                  <c:v>18.7174786896536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747800"/>
        <c:axId val="2117356728"/>
      </c:scatterChart>
      <c:valAx>
        <c:axId val="-2107747800"/>
        <c:scaling>
          <c:orientation val="minMax"/>
          <c:max val="15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Cel</a:t>
                </a:r>
                <a:r>
                  <a:rPr lang="nl-BE" baseline="0"/>
                  <a:t> concentration [log(cell counts/ml)]</a:t>
                </a:r>
                <a:endParaRPr lang="nl-BE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2117356728"/>
        <c:crosses val="autoZero"/>
        <c:crossBetween val="midCat"/>
        <c:majorUnit val="2.0"/>
      </c:valAx>
      <c:valAx>
        <c:axId val="2117356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BE"/>
                  <a:t>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07747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Metabolites!$M$4:$M$19</c:f>
                <c:numCache>
                  <c:formatCode>General</c:formatCode>
                  <c:ptCount val="16"/>
                  <c:pt idx="0">
                    <c:v>0.0339148586068372</c:v>
                  </c:pt>
                  <c:pt idx="1">
                    <c:v>0.0559127607334069</c:v>
                  </c:pt>
                  <c:pt idx="2">
                    <c:v>0.100323399573258</c:v>
                  </c:pt>
                  <c:pt idx="3">
                    <c:v>0.0560708019730682</c:v>
                  </c:pt>
                  <c:pt idx="4">
                    <c:v>0.0341345265240733</c:v>
                  </c:pt>
                  <c:pt idx="5">
                    <c:v>0.0129509942523085</c:v>
                  </c:pt>
                  <c:pt idx="6">
                    <c:v>0.0131049284153708</c:v>
                  </c:pt>
                  <c:pt idx="7">
                    <c:v>0.0228455551794647</c:v>
                  </c:pt>
                  <c:pt idx="8">
                    <c:v>0.0229792666228227</c:v>
                  </c:pt>
                  <c:pt idx="9">
                    <c:v>0.0230986394364478</c:v>
                  </c:pt>
                  <c:pt idx="10">
                    <c:v>0.023307110911506</c:v>
                  </c:pt>
                  <c:pt idx="11">
                    <c:v>0.0674077118740157</c:v>
                  </c:pt>
                  <c:pt idx="12">
                    <c:v>0.0674739277010039</c:v>
                  </c:pt>
                  <c:pt idx="13">
                    <c:v>0.336093204386243</c:v>
                  </c:pt>
                  <c:pt idx="14">
                    <c:v>0.0886797732260457</c:v>
                  </c:pt>
                  <c:pt idx="15">
                    <c:v>0.0270470772687831</c:v>
                  </c:pt>
                </c:numCache>
              </c:numRef>
            </c:plus>
            <c:minus>
              <c:numRef>
                <c:f>Metabolites!$M$4:$M$19</c:f>
                <c:numCache>
                  <c:formatCode>General</c:formatCode>
                  <c:ptCount val="16"/>
                  <c:pt idx="0">
                    <c:v>0.0339148586068372</c:v>
                  </c:pt>
                  <c:pt idx="1">
                    <c:v>0.0559127607334069</c:v>
                  </c:pt>
                  <c:pt idx="2">
                    <c:v>0.100323399573258</c:v>
                  </c:pt>
                  <c:pt idx="3">
                    <c:v>0.0560708019730682</c:v>
                  </c:pt>
                  <c:pt idx="4">
                    <c:v>0.0341345265240733</c:v>
                  </c:pt>
                  <c:pt idx="5">
                    <c:v>0.0129509942523085</c:v>
                  </c:pt>
                  <c:pt idx="6">
                    <c:v>0.0131049284153708</c:v>
                  </c:pt>
                  <c:pt idx="7">
                    <c:v>0.0228455551794647</c:v>
                  </c:pt>
                  <c:pt idx="8">
                    <c:v>0.0229792666228227</c:v>
                  </c:pt>
                  <c:pt idx="9">
                    <c:v>0.0230986394364478</c:v>
                  </c:pt>
                  <c:pt idx="10">
                    <c:v>0.023307110911506</c:v>
                  </c:pt>
                  <c:pt idx="11">
                    <c:v>0.0674077118740157</c:v>
                  </c:pt>
                  <c:pt idx="12">
                    <c:v>0.0674739277010039</c:v>
                  </c:pt>
                  <c:pt idx="13">
                    <c:v>0.336093204386243</c:v>
                  </c:pt>
                  <c:pt idx="14">
                    <c:v>0.0886797732260457</c:v>
                  </c:pt>
                  <c:pt idx="15">
                    <c:v>0.0270470772687831</c:v>
                  </c:pt>
                </c:numCache>
              </c:numRef>
            </c:minus>
          </c:errBars>
          <c:xVal>
            <c:numRef>
              <c:f>(Metabolites!$E$4,Metabolites!$E$6:$E$19)</c:f>
              <c:numCache>
                <c:formatCode>0</c:formatCode>
                <c:ptCount val="15"/>
                <c:pt idx="0">
                  <c:v>0.166666666666667</c:v>
                </c:pt>
                <c:pt idx="1">
                  <c:v>3.333333333333333</c:v>
                </c:pt>
                <c:pt idx="2">
                  <c:v>4.666666666666667</c:v>
                </c:pt>
                <c:pt idx="3">
                  <c:v>6.0</c:v>
                </c:pt>
                <c:pt idx="4">
                  <c:v>7.333333333333332</c:v>
                </c:pt>
                <c:pt idx="5">
                  <c:v>10.33333333333333</c:v>
                </c:pt>
                <c:pt idx="6">
                  <c:v>11.66666666666667</c:v>
                </c:pt>
                <c:pt idx="7">
                  <c:v>13.0</c:v>
                </c:pt>
                <c:pt idx="8">
                  <c:v>14.33333333333333</c:v>
                </c:pt>
                <c:pt idx="9">
                  <c:v>15.66666666666667</c:v>
                </c:pt>
                <c:pt idx="10">
                  <c:v>17.0</c:v>
                </c:pt>
                <c:pt idx="11">
                  <c:v>18.33333333333333</c:v>
                </c:pt>
                <c:pt idx="12">
                  <c:v>24.0</c:v>
                </c:pt>
                <c:pt idx="13">
                  <c:v>30.0</c:v>
                </c:pt>
                <c:pt idx="14">
                  <c:v>48.0</c:v>
                </c:pt>
              </c:numCache>
            </c:numRef>
          </c:xVal>
          <c:yVal>
            <c:numRef>
              <c:f>(Metabolites!$L$4,Metabolites!$L$6:$L$19)</c:f>
              <c:numCache>
                <c:formatCode>0</c:formatCode>
                <c:ptCount val="15"/>
                <c:pt idx="0">
                  <c:v>0.318235642391948</c:v>
                </c:pt>
                <c:pt idx="1">
                  <c:v>0.318893121037817</c:v>
                </c:pt>
                <c:pt idx="2">
                  <c:v>0.319350643449636</c:v>
                </c:pt>
                <c:pt idx="3">
                  <c:v>0.417130804288117</c:v>
                </c:pt>
                <c:pt idx="4">
                  <c:v>0.388817520927868</c:v>
                </c:pt>
                <c:pt idx="5">
                  <c:v>0.529629376382758</c:v>
                </c:pt>
                <c:pt idx="6">
                  <c:v>0.731057765742869</c:v>
                </c:pt>
                <c:pt idx="7">
                  <c:v>1.930258396317108</c:v>
                </c:pt>
                <c:pt idx="8">
                  <c:v>4.342544214052181</c:v>
                </c:pt>
                <c:pt idx="9">
                  <c:v>4.428351073186132</c:v>
                </c:pt>
                <c:pt idx="10">
                  <c:v>4.607874694556891</c:v>
                </c:pt>
                <c:pt idx="11">
                  <c:v>4.892884944374867</c:v>
                </c:pt>
                <c:pt idx="12">
                  <c:v>5.514081658201241</c:v>
                </c:pt>
                <c:pt idx="13">
                  <c:v>5.30931669625434</c:v>
                </c:pt>
                <c:pt idx="14">
                  <c:v>5.348355789609151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109"/>
              </a:solidFill>
            </a:ln>
          </c:spPr>
          <c:marker>
            <c:symbol val="triangle"/>
            <c:size val="8"/>
            <c:spPr>
              <a:solidFill>
                <a:srgbClr val="FEC109"/>
              </a:solidFill>
              <a:ln>
                <a:solidFill>
                  <a:srgbClr val="FEC1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Metabolites!$Q$4:$Q$19</c:f>
                <c:numCache>
                  <c:formatCode>General</c:formatCode>
                  <c:ptCount val="16"/>
                  <c:pt idx="0">
                    <c:v>0.576869544569152</c:v>
                  </c:pt>
                  <c:pt idx="1">
                    <c:v>0.841162387896729</c:v>
                  </c:pt>
                  <c:pt idx="2">
                    <c:v>3.630656942754117</c:v>
                  </c:pt>
                  <c:pt idx="3">
                    <c:v>1.421527428568992</c:v>
                  </c:pt>
                  <c:pt idx="4">
                    <c:v>0.425777698169174</c:v>
                  </c:pt>
                  <c:pt idx="5">
                    <c:v>0.154201554246742</c:v>
                  </c:pt>
                  <c:pt idx="6">
                    <c:v>0.16796215913857</c:v>
                  </c:pt>
                  <c:pt idx="7">
                    <c:v>0.274874915844508</c:v>
                  </c:pt>
                  <c:pt idx="8">
                    <c:v>0.325805416083908</c:v>
                  </c:pt>
                  <c:pt idx="9">
                    <c:v>0.250663422023697</c:v>
                  </c:pt>
                  <c:pt idx="10">
                    <c:v>0.297353495516937</c:v>
                  </c:pt>
                  <c:pt idx="11">
                    <c:v>0.105084056427391</c:v>
                  </c:pt>
                  <c:pt idx="12">
                    <c:v>0.158105242411521</c:v>
                  </c:pt>
                  <c:pt idx="13">
                    <c:v>1.631363658316712</c:v>
                  </c:pt>
                  <c:pt idx="14">
                    <c:v>0.180309769201948</c:v>
                  </c:pt>
                  <c:pt idx="15">
                    <c:v>0.182577905773088</c:v>
                  </c:pt>
                </c:numCache>
              </c:numRef>
            </c:plus>
            <c:minus>
              <c:numRef>
                <c:f>Metabolites!$Q$4:$Q$19</c:f>
                <c:numCache>
                  <c:formatCode>General</c:formatCode>
                  <c:ptCount val="16"/>
                  <c:pt idx="0">
                    <c:v>0.576869544569152</c:v>
                  </c:pt>
                  <c:pt idx="1">
                    <c:v>0.841162387896729</c:v>
                  </c:pt>
                  <c:pt idx="2">
                    <c:v>3.630656942754117</c:v>
                  </c:pt>
                  <c:pt idx="3">
                    <c:v>1.421527428568992</c:v>
                  </c:pt>
                  <c:pt idx="4">
                    <c:v>0.425777698169174</c:v>
                  </c:pt>
                  <c:pt idx="5">
                    <c:v>0.154201554246742</c:v>
                  </c:pt>
                  <c:pt idx="6">
                    <c:v>0.16796215913857</c:v>
                  </c:pt>
                  <c:pt idx="7">
                    <c:v>0.274874915844508</c:v>
                  </c:pt>
                  <c:pt idx="8">
                    <c:v>0.325805416083908</c:v>
                  </c:pt>
                  <c:pt idx="9">
                    <c:v>0.250663422023697</c:v>
                  </c:pt>
                  <c:pt idx="10">
                    <c:v>0.297353495516937</c:v>
                  </c:pt>
                  <c:pt idx="11">
                    <c:v>0.105084056427391</c:v>
                  </c:pt>
                  <c:pt idx="12">
                    <c:v>0.158105242411521</c:v>
                  </c:pt>
                  <c:pt idx="13">
                    <c:v>1.631363658316712</c:v>
                  </c:pt>
                  <c:pt idx="14">
                    <c:v>0.180309769201948</c:v>
                  </c:pt>
                  <c:pt idx="15">
                    <c:v>0.182577905773088</c:v>
                  </c:pt>
                </c:numCache>
              </c:numRef>
            </c:minus>
          </c:errBars>
          <c:xVal>
            <c:numRef>
              <c:f>(Metabolites!$E$4,Metabolites!$E$6:$E$19)</c:f>
              <c:numCache>
                <c:formatCode>0</c:formatCode>
                <c:ptCount val="15"/>
                <c:pt idx="0">
                  <c:v>0.166666666666667</c:v>
                </c:pt>
                <c:pt idx="1">
                  <c:v>3.333333333333333</c:v>
                </c:pt>
                <c:pt idx="2">
                  <c:v>4.666666666666667</c:v>
                </c:pt>
                <c:pt idx="3">
                  <c:v>6.0</c:v>
                </c:pt>
                <c:pt idx="4">
                  <c:v>7.333333333333332</c:v>
                </c:pt>
                <c:pt idx="5">
                  <c:v>10.33333333333333</c:v>
                </c:pt>
                <c:pt idx="6">
                  <c:v>11.66666666666667</c:v>
                </c:pt>
                <c:pt idx="7">
                  <c:v>13.0</c:v>
                </c:pt>
                <c:pt idx="8">
                  <c:v>14.33333333333333</c:v>
                </c:pt>
                <c:pt idx="9">
                  <c:v>15.66666666666667</c:v>
                </c:pt>
                <c:pt idx="10">
                  <c:v>17.0</c:v>
                </c:pt>
                <c:pt idx="11">
                  <c:v>18.33333333333333</c:v>
                </c:pt>
                <c:pt idx="12">
                  <c:v>24.0</c:v>
                </c:pt>
                <c:pt idx="13">
                  <c:v>30.0</c:v>
                </c:pt>
                <c:pt idx="14">
                  <c:v>48.0</c:v>
                </c:pt>
              </c:numCache>
            </c:numRef>
          </c:xVal>
          <c:yVal>
            <c:numRef>
              <c:f>(Metabolites!$P$4,Metabolites!$P$6:$P$19)</c:f>
              <c:numCache>
                <c:formatCode>0</c:formatCode>
                <c:ptCount val="15"/>
                <c:pt idx="0">
                  <c:v>47.42714404662781</c:v>
                </c:pt>
                <c:pt idx="1">
                  <c:v>47.01338847157749</c:v>
                </c:pt>
                <c:pt idx="2">
                  <c:v>47.22566937345903</c:v>
                </c:pt>
                <c:pt idx="3">
                  <c:v>46.03591903863661</c:v>
                </c:pt>
                <c:pt idx="4">
                  <c:v>43.0377588958703</c:v>
                </c:pt>
                <c:pt idx="5">
                  <c:v>36.13786161317839</c:v>
                </c:pt>
                <c:pt idx="6">
                  <c:v>32.5795700545919</c:v>
                </c:pt>
                <c:pt idx="7">
                  <c:v>30.25388378757552</c:v>
                </c:pt>
                <c:pt idx="8">
                  <c:v>29.15210109163743</c:v>
                </c:pt>
                <c:pt idx="9">
                  <c:v>28.99565541304602</c:v>
                </c:pt>
                <c:pt idx="10">
                  <c:v>28.89811551753239</c:v>
                </c:pt>
                <c:pt idx="11">
                  <c:v>29.19531460835825</c:v>
                </c:pt>
                <c:pt idx="12">
                  <c:v>29.56476199755107</c:v>
                </c:pt>
                <c:pt idx="13">
                  <c:v>28.19169412579244</c:v>
                </c:pt>
                <c:pt idx="14">
                  <c:v>27.89888467288641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triangle"/>
            <c:size val="8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Metabolites!$U$4:$U$19</c:f>
                <c:numCache>
                  <c:formatCode>General</c:formatCode>
                  <c:ptCount val="16"/>
                  <c:pt idx="0">
                    <c:v>0.239303521498418</c:v>
                  </c:pt>
                  <c:pt idx="1">
                    <c:v>0.130437786588701</c:v>
                  </c:pt>
                  <c:pt idx="2">
                    <c:v>0.304777844178881</c:v>
                  </c:pt>
                  <c:pt idx="3">
                    <c:v>0.226563465694885</c:v>
                  </c:pt>
                  <c:pt idx="4">
                    <c:v>0.165564222344943</c:v>
                  </c:pt>
                  <c:pt idx="5">
                    <c:v>0.0253448959862687</c:v>
                  </c:pt>
                  <c:pt idx="6">
                    <c:v>0.0444204222940555</c:v>
                  </c:pt>
                  <c:pt idx="7">
                    <c:v>0.0516248125106729</c:v>
                  </c:pt>
                  <c:pt idx="8">
                    <c:v>0.0519269644233612</c:v>
                  </c:pt>
                  <c:pt idx="9">
                    <c:v>0.0452036810870132</c:v>
                  </c:pt>
                  <c:pt idx="10">
                    <c:v>0.0</c:v>
                  </c:pt>
                  <c:pt idx="11">
                    <c:v>0.0951258739692976</c:v>
                  </c:pt>
                  <c:pt idx="12">
                    <c:v>0.0952193178533539</c:v>
                  </c:pt>
                  <c:pt idx="13">
                    <c:v>0.530706409229736</c:v>
                  </c:pt>
                  <c:pt idx="14">
                    <c:v>0.0700207516858884</c:v>
                  </c:pt>
                  <c:pt idx="15">
                    <c:v>0.0700207516858884</c:v>
                  </c:pt>
                </c:numCache>
              </c:numRef>
            </c:plus>
            <c:minus>
              <c:numRef>
                <c:f>Metabolites!$U$4:$U$19</c:f>
                <c:numCache>
                  <c:formatCode>General</c:formatCode>
                  <c:ptCount val="16"/>
                  <c:pt idx="0">
                    <c:v>0.239303521498418</c:v>
                  </c:pt>
                  <c:pt idx="1">
                    <c:v>0.130437786588701</c:v>
                  </c:pt>
                  <c:pt idx="2">
                    <c:v>0.304777844178881</c:v>
                  </c:pt>
                  <c:pt idx="3">
                    <c:v>0.226563465694885</c:v>
                  </c:pt>
                  <c:pt idx="4">
                    <c:v>0.165564222344943</c:v>
                  </c:pt>
                  <c:pt idx="5">
                    <c:v>0.0253448959862687</c:v>
                  </c:pt>
                  <c:pt idx="6">
                    <c:v>0.0444204222940555</c:v>
                  </c:pt>
                  <c:pt idx="7">
                    <c:v>0.0516248125106729</c:v>
                  </c:pt>
                  <c:pt idx="8">
                    <c:v>0.0519269644233612</c:v>
                  </c:pt>
                  <c:pt idx="9">
                    <c:v>0.0452036810870132</c:v>
                  </c:pt>
                  <c:pt idx="10">
                    <c:v>0.0</c:v>
                  </c:pt>
                  <c:pt idx="11">
                    <c:v>0.0951258739692976</c:v>
                  </c:pt>
                  <c:pt idx="12">
                    <c:v>0.0952193178533539</c:v>
                  </c:pt>
                  <c:pt idx="13">
                    <c:v>0.530706409229736</c:v>
                  </c:pt>
                  <c:pt idx="14">
                    <c:v>0.0700207516858884</c:v>
                  </c:pt>
                  <c:pt idx="15">
                    <c:v>0.0700207516858884</c:v>
                  </c:pt>
                </c:numCache>
              </c:numRef>
            </c:minus>
          </c:errBars>
          <c:xVal>
            <c:numRef>
              <c:f>(Metabolites!$E$4,Metabolites!$E$6:$E$19)</c:f>
              <c:numCache>
                <c:formatCode>0</c:formatCode>
                <c:ptCount val="15"/>
                <c:pt idx="0">
                  <c:v>0.166666666666667</c:v>
                </c:pt>
                <c:pt idx="1">
                  <c:v>3.333333333333333</c:v>
                </c:pt>
                <c:pt idx="2">
                  <c:v>4.666666666666667</c:v>
                </c:pt>
                <c:pt idx="3">
                  <c:v>6.0</c:v>
                </c:pt>
                <c:pt idx="4">
                  <c:v>7.333333333333332</c:v>
                </c:pt>
                <c:pt idx="5">
                  <c:v>10.33333333333333</c:v>
                </c:pt>
                <c:pt idx="6">
                  <c:v>11.66666666666667</c:v>
                </c:pt>
                <c:pt idx="7">
                  <c:v>13.0</c:v>
                </c:pt>
                <c:pt idx="8">
                  <c:v>14.33333333333333</c:v>
                </c:pt>
                <c:pt idx="9">
                  <c:v>15.66666666666667</c:v>
                </c:pt>
                <c:pt idx="10">
                  <c:v>17.0</c:v>
                </c:pt>
                <c:pt idx="11">
                  <c:v>18.33333333333333</c:v>
                </c:pt>
                <c:pt idx="12">
                  <c:v>24.0</c:v>
                </c:pt>
                <c:pt idx="13">
                  <c:v>30.0</c:v>
                </c:pt>
                <c:pt idx="14">
                  <c:v>48.0</c:v>
                </c:pt>
              </c:numCache>
            </c:numRef>
          </c:xVal>
          <c:yVal>
            <c:numRef>
              <c:f>(Metabolites!$T$4,Metabolites!$T$6:$T$19)</c:f>
              <c:numCache>
                <c:formatCode>0</c:formatCode>
                <c:ptCount val="15"/>
                <c:pt idx="0">
                  <c:v>0.753132015352306</c:v>
                </c:pt>
                <c:pt idx="1">
                  <c:v>0.914333532536643</c:v>
                </c:pt>
                <c:pt idx="2">
                  <c:v>0.959247504654827</c:v>
                </c:pt>
                <c:pt idx="3">
                  <c:v>0.670547380246029</c:v>
                </c:pt>
                <c:pt idx="4">
                  <c:v>0.146328825202553</c:v>
                </c:pt>
                <c:pt idx="5">
                  <c:v>2.620804915349279</c:v>
                </c:pt>
                <c:pt idx="6">
                  <c:v>4.500645509385075</c:v>
                </c:pt>
                <c:pt idx="7">
                  <c:v>5.876089190053423</c:v>
                </c:pt>
                <c:pt idx="8">
                  <c:v>6.78055216305197</c:v>
                </c:pt>
                <c:pt idx="9">
                  <c:v>6.978583451857351</c:v>
                </c:pt>
                <c:pt idx="10">
                  <c:v>7.052569057520945</c:v>
                </c:pt>
                <c:pt idx="11">
                  <c:v>7.120486099262232</c:v>
                </c:pt>
                <c:pt idx="12">
                  <c:v>7.310998512261013</c:v>
                </c:pt>
                <c:pt idx="13">
                  <c:v>6.982859782474217</c:v>
                </c:pt>
                <c:pt idx="14">
                  <c:v>6.998139563179851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'CO2'!$G$106:$G$202</c:f>
              <c:numCache>
                <c:formatCode>0.0</c:formatCode>
                <c:ptCount val="97"/>
                <c:pt idx="0">
                  <c:v>0.0798175852464551</c:v>
                </c:pt>
                <c:pt idx="1">
                  <c:v>0.248356157157326</c:v>
                </c:pt>
                <c:pt idx="2">
                  <c:v>0.435114259790682</c:v>
                </c:pt>
                <c:pt idx="3">
                  <c:v>0.641822564989872</c:v>
                </c:pt>
                <c:pt idx="4">
                  <c:v>0.872094112728098</c:v>
                </c:pt>
                <c:pt idx="5">
                  <c:v>1.12654655855687</c:v>
                </c:pt>
                <c:pt idx="6">
                  <c:v>1.417627589905305</c:v>
                </c:pt>
                <c:pt idx="7">
                  <c:v>1.778354378675716</c:v>
                </c:pt>
                <c:pt idx="8">
                  <c:v>2.238164256120002</c:v>
                </c:pt>
                <c:pt idx="9">
                  <c:v>2.786695658318782</c:v>
                </c:pt>
                <c:pt idx="10">
                  <c:v>3.42959742790499</c:v>
                </c:pt>
                <c:pt idx="11">
                  <c:v>4.212720214054222</c:v>
                </c:pt>
                <c:pt idx="12">
                  <c:v>5.199199093868004</c:v>
                </c:pt>
                <c:pt idx="13">
                  <c:v>6.450079509687613</c:v>
                </c:pt>
                <c:pt idx="14">
                  <c:v>7.956915984151282</c:v>
                </c:pt>
                <c:pt idx="15">
                  <c:v>9.736675737950415</c:v>
                </c:pt>
                <c:pt idx="16">
                  <c:v>11.79166795604101</c:v>
                </c:pt>
                <c:pt idx="17">
                  <c:v>14.09943277987151</c:v>
                </c:pt>
                <c:pt idx="18">
                  <c:v>16.62425987519615</c:v>
                </c:pt>
                <c:pt idx="19">
                  <c:v>19.32158328226306</c:v>
                </c:pt>
                <c:pt idx="20">
                  <c:v>22.18776888473185</c:v>
                </c:pt>
                <c:pt idx="21">
                  <c:v>25.26517807880622</c:v>
                </c:pt>
                <c:pt idx="22">
                  <c:v>28.53250903181872</c:v>
                </c:pt>
                <c:pt idx="23">
                  <c:v>31.92958472461309</c:v>
                </c:pt>
                <c:pt idx="24">
                  <c:v>35.56400779366268</c:v>
                </c:pt>
                <c:pt idx="25">
                  <c:v>39.41105186663052</c:v>
                </c:pt>
                <c:pt idx="26">
                  <c:v>43.4286220355755</c:v>
                </c:pt>
                <c:pt idx="27">
                  <c:v>47.45890060081378</c:v>
                </c:pt>
                <c:pt idx="28">
                  <c:v>51.54523685643969</c:v>
                </c:pt>
                <c:pt idx="29">
                  <c:v>55.76474618011868</c:v>
                </c:pt>
                <c:pt idx="30">
                  <c:v>59.62932250487163</c:v>
                </c:pt>
                <c:pt idx="31">
                  <c:v>62.74210883157728</c:v>
                </c:pt>
                <c:pt idx="32">
                  <c:v>65.47879455714981</c:v>
                </c:pt>
                <c:pt idx="33">
                  <c:v>68.06127675645519</c:v>
                </c:pt>
                <c:pt idx="34">
                  <c:v>70.3042346246922</c:v>
                </c:pt>
                <c:pt idx="35">
                  <c:v>72.25539090088975</c:v>
                </c:pt>
                <c:pt idx="36">
                  <c:v>73.9025265659338</c:v>
                </c:pt>
                <c:pt idx="37">
                  <c:v>75.2710261571934</c:v>
                </c:pt>
                <c:pt idx="38">
                  <c:v>76.42792214634457</c:v>
                </c:pt>
                <c:pt idx="39">
                  <c:v>77.41018616024472</c:v>
                </c:pt>
                <c:pt idx="40">
                  <c:v>78.21583154905878</c:v>
                </c:pt>
                <c:pt idx="41">
                  <c:v>78.8799588519436</c:v>
                </c:pt>
                <c:pt idx="42">
                  <c:v>79.43071151021176</c:v>
                </c:pt>
                <c:pt idx="43">
                  <c:v>79.88757877795483</c:v>
                </c:pt>
                <c:pt idx="44">
                  <c:v>80.26688768475142</c:v>
                </c:pt>
                <c:pt idx="45">
                  <c:v>80.58411238228075</c:v>
                </c:pt>
                <c:pt idx="46">
                  <c:v>80.8495516388179</c:v>
                </c:pt>
                <c:pt idx="47">
                  <c:v>81.07046128887732</c:v>
                </c:pt>
                <c:pt idx="48">
                  <c:v>81.26362730007045</c:v>
                </c:pt>
                <c:pt idx="49">
                  <c:v>81.4353779129829</c:v>
                </c:pt>
                <c:pt idx="50">
                  <c:v>81.58081347662771</c:v>
                </c:pt>
                <c:pt idx="51">
                  <c:v>81.70331227069701</c:v>
                </c:pt>
                <c:pt idx="52">
                  <c:v>81.80723188058812</c:v>
                </c:pt>
                <c:pt idx="53">
                  <c:v>81.89644944691931</c:v>
                </c:pt>
                <c:pt idx="54">
                  <c:v>81.97370951726154</c:v>
                </c:pt>
                <c:pt idx="55">
                  <c:v>82.04100536871388</c:v>
                </c:pt>
                <c:pt idx="56">
                  <c:v>82.10030265415476</c:v>
                </c:pt>
                <c:pt idx="57">
                  <c:v>82.15392939123955</c:v>
                </c:pt>
                <c:pt idx="58">
                  <c:v>82.2034525774269</c:v>
                </c:pt>
                <c:pt idx="59">
                  <c:v>82.24940682263438</c:v>
                </c:pt>
                <c:pt idx="60">
                  <c:v>82.2940492735102</c:v>
                </c:pt>
                <c:pt idx="61">
                  <c:v>82.3391944027852</c:v>
                </c:pt>
                <c:pt idx="62">
                  <c:v>82.38372209372281</c:v>
                </c:pt>
                <c:pt idx="63">
                  <c:v>82.4257696444978</c:v>
                </c:pt>
                <c:pt idx="64">
                  <c:v>82.46561692202006</c:v>
                </c:pt>
                <c:pt idx="65">
                  <c:v>82.50610068037047</c:v>
                </c:pt>
                <c:pt idx="66">
                  <c:v>82.54750136350415</c:v>
                </c:pt>
                <c:pt idx="67">
                  <c:v>82.58792741733707</c:v>
                </c:pt>
                <c:pt idx="68">
                  <c:v>82.62669331220118</c:v>
                </c:pt>
                <c:pt idx="69">
                  <c:v>82.66404083002486</c:v>
                </c:pt>
                <c:pt idx="70">
                  <c:v>82.7008095715379</c:v>
                </c:pt>
                <c:pt idx="71">
                  <c:v>82.7370087694631</c:v>
                </c:pt>
                <c:pt idx="72">
                  <c:v>82.7720209854631</c:v>
                </c:pt>
                <c:pt idx="73">
                  <c:v>82.80564367668143</c:v>
                </c:pt>
                <c:pt idx="74">
                  <c:v>82.83883185288289</c:v>
                </c:pt>
                <c:pt idx="75">
                  <c:v>82.87225142419958</c:v>
                </c:pt>
                <c:pt idx="76">
                  <c:v>82.90514011395516</c:v>
                </c:pt>
                <c:pt idx="77">
                  <c:v>82.93654291238482</c:v>
                </c:pt>
                <c:pt idx="78">
                  <c:v>82.96655618603281</c:v>
                </c:pt>
                <c:pt idx="79">
                  <c:v>82.99564272512957</c:v>
                </c:pt>
                <c:pt idx="80">
                  <c:v>83.0232041338285</c:v>
                </c:pt>
                <c:pt idx="81">
                  <c:v>83.05075573275946</c:v>
                </c:pt>
                <c:pt idx="82">
                  <c:v>83.07929177075916</c:v>
                </c:pt>
                <c:pt idx="83">
                  <c:v>83.1067856651726</c:v>
                </c:pt>
                <c:pt idx="84">
                  <c:v>83.13272615397464</c:v>
                </c:pt>
                <c:pt idx="85">
                  <c:v>83.15824193752781</c:v>
                </c:pt>
                <c:pt idx="86">
                  <c:v>83.18338148762679</c:v>
                </c:pt>
                <c:pt idx="87">
                  <c:v>83.2075948802197</c:v>
                </c:pt>
                <c:pt idx="88">
                  <c:v>83.23132528600108</c:v>
                </c:pt>
                <c:pt idx="89">
                  <c:v>83.25464079630153</c:v>
                </c:pt>
                <c:pt idx="90">
                  <c:v>83.27718422015767</c:v>
                </c:pt>
                <c:pt idx="91">
                  <c:v>83.29916791019397</c:v>
                </c:pt>
                <c:pt idx="92">
                  <c:v>83.3199357660463</c:v>
                </c:pt>
                <c:pt idx="93">
                  <c:v>83.33936199186648</c:v>
                </c:pt>
                <c:pt idx="94">
                  <c:v>83.35836351243779</c:v>
                </c:pt>
                <c:pt idx="95">
                  <c:v>83.37704650407244</c:v>
                </c:pt>
                <c:pt idx="96">
                  <c:v>83.39708566283881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Metabolites!$I$4:$I$19</c:f>
                <c:numCache>
                  <c:formatCode>General</c:formatCode>
                  <c:ptCount val="16"/>
                  <c:pt idx="0">
                    <c:v>0.607736043213632</c:v>
                  </c:pt>
                  <c:pt idx="1">
                    <c:v>1.042940428495674</c:v>
                  </c:pt>
                  <c:pt idx="2">
                    <c:v>3.95439646966671</c:v>
                  </c:pt>
                  <c:pt idx="3">
                    <c:v>1.280405370650097</c:v>
                  </c:pt>
                  <c:pt idx="4">
                    <c:v>0.347447132610886</c:v>
                  </c:pt>
                  <c:pt idx="5">
                    <c:v>0.102795330067905</c:v>
                  </c:pt>
                  <c:pt idx="6">
                    <c:v>0.143706759200227</c:v>
                  </c:pt>
                  <c:pt idx="7">
                    <c:v>0.131403322639628</c:v>
                  </c:pt>
                  <c:pt idx="8">
                    <c:v>0.0239175790106985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Metabolites!$I$4:$I$19</c:f>
                <c:numCache>
                  <c:formatCode>General</c:formatCode>
                  <c:ptCount val="16"/>
                  <c:pt idx="0">
                    <c:v>0.607736043213632</c:v>
                  </c:pt>
                  <c:pt idx="1">
                    <c:v>1.042940428495674</c:v>
                  </c:pt>
                  <c:pt idx="2">
                    <c:v>3.95439646966671</c:v>
                  </c:pt>
                  <c:pt idx="3">
                    <c:v>1.280405370650097</c:v>
                  </c:pt>
                  <c:pt idx="4">
                    <c:v>0.347447132610886</c:v>
                  </c:pt>
                  <c:pt idx="5">
                    <c:v>0.102795330067905</c:v>
                  </c:pt>
                  <c:pt idx="6">
                    <c:v>0.143706759200227</c:v>
                  </c:pt>
                  <c:pt idx="7">
                    <c:v>0.131403322639628</c:v>
                  </c:pt>
                  <c:pt idx="8">
                    <c:v>0.0239175790106985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Metabolites!$E$4:$E$19</c:f>
              <c:numCache>
                <c:formatCode>0</c:formatCode>
                <c:ptCount val="16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24.0</c:v>
                </c:pt>
                <c:pt idx="14">
                  <c:v>30.0</c:v>
                </c:pt>
                <c:pt idx="15">
                  <c:v>48.0</c:v>
                </c:pt>
              </c:numCache>
            </c:numRef>
          </c:xVal>
          <c:yVal>
            <c:numRef>
              <c:f>Metabolites!$H$4:$H$19</c:f>
              <c:numCache>
                <c:formatCode>0</c:formatCode>
                <c:ptCount val="16"/>
                <c:pt idx="0">
                  <c:v>47.71314387211367</c:v>
                </c:pt>
                <c:pt idx="1">
                  <c:v>47.4602364107589</c:v>
                </c:pt>
                <c:pt idx="2">
                  <c:v>47.39641712913229</c:v>
                </c:pt>
                <c:pt idx="3">
                  <c:v>47.17477412074623</c:v>
                </c:pt>
                <c:pt idx="4">
                  <c:v>43.96633164840377</c:v>
                </c:pt>
                <c:pt idx="5">
                  <c:v>38.79576360258158</c:v>
                </c:pt>
                <c:pt idx="6">
                  <c:v>24.13596729515711</c:v>
                </c:pt>
                <c:pt idx="7">
                  <c:v>15.34840548807033</c:v>
                </c:pt>
                <c:pt idx="8">
                  <c:v>7.058464730977042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Metabolites!$J$21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Metabolites!$M$24:$M$39</c:f>
                <c:numCache>
                  <c:formatCode>General</c:formatCode>
                  <c:ptCount val="16"/>
                  <c:pt idx="0">
                    <c:v>0.334375663662609</c:v>
                  </c:pt>
                  <c:pt idx="1">
                    <c:v>0.258317111037408</c:v>
                  </c:pt>
                  <c:pt idx="2">
                    <c:v>0.590953096788129</c:v>
                  </c:pt>
                  <c:pt idx="3">
                    <c:v>0.142251244468767</c:v>
                  </c:pt>
                  <c:pt idx="4">
                    <c:v>0.139590881819931</c:v>
                  </c:pt>
                  <c:pt idx="5">
                    <c:v>0.127687316889868</c:v>
                  </c:pt>
                  <c:pt idx="6">
                    <c:v>0.177238005265956</c:v>
                  </c:pt>
                  <c:pt idx="7">
                    <c:v>0.269358517582064</c:v>
                  </c:pt>
                  <c:pt idx="8">
                    <c:v>0.299325139579214</c:v>
                  </c:pt>
                  <c:pt idx="9">
                    <c:v>0.487981675071511</c:v>
                  </c:pt>
                  <c:pt idx="10">
                    <c:v>0.427139277487325</c:v>
                  </c:pt>
                  <c:pt idx="11">
                    <c:v>0.203969304391906</c:v>
                  </c:pt>
                  <c:pt idx="12">
                    <c:v>0.508602969798874</c:v>
                  </c:pt>
                  <c:pt idx="13">
                    <c:v>3.52466725756865</c:v>
                  </c:pt>
                  <c:pt idx="14">
                    <c:v>0.408508073597846</c:v>
                  </c:pt>
                  <c:pt idx="15">
                    <c:v>0.258289193262424</c:v>
                  </c:pt>
                </c:numCache>
              </c:numRef>
            </c:plus>
            <c:minus>
              <c:numRef>
                <c:f>Metabolites!$M$24:$M$39</c:f>
                <c:numCache>
                  <c:formatCode>General</c:formatCode>
                  <c:ptCount val="16"/>
                  <c:pt idx="0">
                    <c:v>0.334375663662609</c:v>
                  </c:pt>
                  <c:pt idx="1">
                    <c:v>0.258317111037408</c:v>
                  </c:pt>
                  <c:pt idx="2">
                    <c:v>0.590953096788129</c:v>
                  </c:pt>
                  <c:pt idx="3">
                    <c:v>0.142251244468767</c:v>
                  </c:pt>
                  <c:pt idx="4">
                    <c:v>0.139590881819931</c:v>
                  </c:pt>
                  <c:pt idx="5">
                    <c:v>0.127687316889868</c:v>
                  </c:pt>
                  <c:pt idx="6">
                    <c:v>0.177238005265956</c:v>
                  </c:pt>
                  <c:pt idx="7">
                    <c:v>0.269358517582064</c:v>
                  </c:pt>
                  <c:pt idx="8">
                    <c:v>0.299325139579214</c:v>
                  </c:pt>
                  <c:pt idx="9">
                    <c:v>0.487981675071511</c:v>
                  </c:pt>
                  <c:pt idx="10">
                    <c:v>0.427139277487325</c:v>
                  </c:pt>
                  <c:pt idx="11">
                    <c:v>0.203969304391906</c:v>
                  </c:pt>
                  <c:pt idx="12">
                    <c:v>0.508602969798874</c:v>
                  </c:pt>
                  <c:pt idx="13">
                    <c:v>3.52466725756865</c:v>
                  </c:pt>
                  <c:pt idx="14">
                    <c:v>0.408508073597846</c:v>
                  </c:pt>
                  <c:pt idx="15">
                    <c:v>0.258289193262424</c:v>
                  </c:pt>
                </c:numCache>
              </c:numRef>
            </c:minus>
          </c:errBars>
          <c:xVal>
            <c:numRef>
              <c:f>Metabolites!$E$4:$E$19</c:f>
              <c:numCache>
                <c:formatCode>0</c:formatCode>
                <c:ptCount val="16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24.0</c:v>
                </c:pt>
                <c:pt idx="14">
                  <c:v>30.0</c:v>
                </c:pt>
                <c:pt idx="15">
                  <c:v>48.0</c:v>
                </c:pt>
              </c:numCache>
            </c:numRef>
          </c:xVal>
          <c:yVal>
            <c:numRef>
              <c:f>Metabolites!$L$24:$L$39</c:f>
              <c:numCache>
                <c:formatCode>0</c:formatCode>
                <c:ptCount val="16"/>
                <c:pt idx="0">
                  <c:v>1.702417432754511</c:v>
                </c:pt>
                <c:pt idx="1">
                  <c:v>2.990706402461291</c:v>
                </c:pt>
                <c:pt idx="2">
                  <c:v>3.502852476293109</c:v>
                </c:pt>
                <c:pt idx="3">
                  <c:v>4.396236826579122</c:v>
                </c:pt>
                <c:pt idx="4">
                  <c:v>8.148378416952983</c:v>
                </c:pt>
                <c:pt idx="5">
                  <c:v>13.18665849112113</c:v>
                </c:pt>
                <c:pt idx="6">
                  <c:v>29.50243692988754</c:v>
                </c:pt>
                <c:pt idx="7">
                  <c:v>39.19194791204224</c:v>
                </c:pt>
                <c:pt idx="8">
                  <c:v>47.09572745063592</c:v>
                </c:pt>
                <c:pt idx="9">
                  <c:v>52.94502823125357</c:v>
                </c:pt>
                <c:pt idx="10">
                  <c:v>54.07417615323563</c:v>
                </c:pt>
                <c:pt idx="11">
                  <c:v>54.5254783492362</c:v>
                </c:pt>
                <c:pt idx="12">
                  <c:v>55.27203103282646</c:v>
                </c:pt>
                <c:pt idx="13">
                  <c:v>57.05143779449924</c:v>
                </c:pt>
                <c:pt idx="14">
                  <c:v>55.89268865933181</c:v>
                </c:pt>
                <c:pt idx="15">
                  <c:v>57.74460293653332</c:v>
                </c:pt>
              </c:numCache>
            </c:numRef>
          </c:yVal>
          <c:smooth val="0"/>
        </c:ser>
        <c:ser>
          <c:idx val="10"/>
          <c:order val="8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'H2'!$G$107:$G$203</c:f>
              <c:numCache>
                <c:formatCode>0.0</c:formatCode>
                <c:ptCount val="97"/>
                <c:pt idx="0">
                  <c:v>0.0431724763673194</c:v>
                </c:pt>
                <c:pt idx="1">
                  <c:v>0.234565854996624</c:v>
                </c:pt>
                <c:pt idx="2">
                  <c:v>0.631858541525996</c:v>
                </c:pt>
                <c:pt idx="3">
                  <c:v>1.169827186022958</c:v>
                </c:pt>
                <c:pt idx="4">
                  <c:v>1.809471706621843</c:v>
                </c:pt>
                <c:pt idx="5">
                  <c:v>2.5537332454723</c:v>
                </c:pt>
                <c:pt idx="6">
                  <c:v>3.521429188589401</c:v>
                </c:pt>
                <c:pt idx="7">
                  <c:v>4.924956784230416</c:v>
                </c:pt>
                <c:pt idx="8">
                  <c:v>6.796938095584718</c:v>
                </c:pt>
                <c:pt idx="9">
                  <c:v>8.71261838522569</c:v>
                </c:pt>
                <c:pt idx="10">
                  <c:v>10.66701339010838</c:v>
                </c:pt>
                <c:pt idx="11">
                  <c:v>13.19115899077527</c:v>
                </c:pt>
                <c:pt idx="12">
                  <c:v>16.41335768736648</c:v>
                </c:pt>
                <c:pt idx="13">
                  <c:v>20.19710866270996</c:v>
                </c:pt>
                <c:pt idx="14">
                  <c:v>24.25225288483817</c:v>
                </c:pt>
                <c:pt idx="15">
                  <c:v>28.36438062969487</c:v>
                </c:pt>
                <c:pt idx="16">
                  <c:v>32.56453273105298</c:v>
                </c:pt>
                <c:pt idx="17">
                  <c:v>36.92067300931093</c:v>
                </c:pt>
                <c:pt idx="18">
                  <c:v>41.44899249601627</c:v>
                </c:pt>
                <c:pt idx="19">
                  <c:v>46.3240015779215</c:v>
                </c:pt>
                <c:pt idx="20">
                  <c:v>51.57795622734413</c:v>
                </c:pt>
                <c:pt idx="21">
                  <c:v>57.09565403490483</c:v>
                </c:pt>
                <c:pt idx="22">
                  <c:v>62.85074382049998</c:v>
                </c:pt>
                <c:pt idx="23">
                  <c:v>68.77697145958379</c:v>
                </c:pt>
                <c:pt idx="24">
                  <c:v>75.0199128602578</c:v>
                </c:pt>
                <c:pt idx="25">
                  <c:v>82.41581053781988</c:v>
                </c:pt>
                <c:pt idx="26">
                  <c:v>90.01182458712318</c:v>
                </c:pt>
                <c:pt idx="27">
                  <c:v>96.7891677257431</c:v>
                </c:pt>
                <c:pt idx="28">
                  <c:v>103.6080800085182</c:v>
                </c:pt>
                <c:pt idx="29">
                  <c:v>109.5572594795674</c:v>
                </c:pt>
                <c:pt idx="30">
                  <c:v>112.9910937723472</c:v>
                </c:pt>
                <c:pt idx="31">
                  <c:v>114.2516133941978</c:v>
                </c:pt>
                <c:pt idx="32">
                  <c:v>114.6722222789854</c:v>
                </c:pt>
                <c:pt idx="33">
                  <c:v>114.8659929913706</c:v>
                </c:pt>
                <c:pt idx="34">
                  <c:v>114.9592009052809</c:v>
                </c:pt>
                <c:pt idx="35">
                  <c:v>115.0090376504943</c:v>
                </c:pt>
                <c:pt idx="36">
                  <c:v>115.0421262274397</c:v>
                </c:pt>
                <c:pt idx="37">
                  <c:v>115.0665506855233</c:v>
                </c:pt>
                <c:pt idx="38">
                  <c:v>115.0884599105585</c:v>
                </c:pt>
                <c:pt idx="39">
                  <c:v>115.1076305461879</c:v>
                </c:pt>
                <c:pt idx="40">
                  <c:v>115.1245759504778</c:v>
                </c:pt>
                <c:pt idx="41">
                  <c:v>115.1411787761973</c:v>
                </c:pt>
                <c:pt idx="42">
                  <c:v>115.1574395331358</c:v>
                </c:pt>
                <c:pt idx="43">
                  <c:v>115.1733582212933</c:v>
                </c:pt>
                <c:pt idx="44">
                  <c:v>115.1885066174569</c:v>
                </c:pt>
                <c:pt idx="45">
                  <c:v>115.2022857189175</c:v>
                </c:pt>
                <c:pt idx="46">
                  <c:v>115.2168779346935</c:v>
                </c:pt>
                <c:pt idx="47">
                  <c:v>115.2336525594878</c:v>
                </c:pt>
                <c:pt idx="48">
                  <c:v>115.251798741176</c:v>
                </c:pt>
                <c:pt idx="49">
                  <c:v>115.2703486761793</c:v>
                </c:pt>
                <c:pt idx="50">
                  <c:v>115.2897625451427</c:v>
                </c:pt>
                <c:pt idx="51">
                  <c:v>115.309039917957</c:v>
                </c:pt>
                <c:pt idx="52">
                  <c:v>115.3265899645025</c:v>
                </c:pt>
                <c:pt idx="53">
                  <c:v>115.3450949424408</c:v>
                </c:pt>
                <c:pt idx="54">
                  <c:v>115.3658277325282</c:v>
                </c:pt>
                <c:pt idx="55">
                  <c:v>115.3866515200484</c:v>
                </c:pt>
                <c:pt idx="56">
                  <c:v>115.4067023710414</c:v>
                </c:pt>
                <c:pt idx="57">
                  <c:v>115.4271621688304</c:v>
                </c:pt>
                <c:pt idx="58">
                  <c:v>115.44698498459</c:v>
                </c:pt>
                <c:pt idx="59">
                  <c:v>115.4670352939316</c:v>
                </c:pt>
                <c:pt idx="60">
                  <c:v>115.4890601766505</c:v>
                </c:pt>
                <c:pt idx="61">
                  <c:v>115.5128430935428</c:v>
                </c:pt>
                <c:pt idx="62">
                  <c:v>115.5354632644073</c:v>
                </c:pt>
                <c:pt idx="63">
                  <c:v>115.5582767454054</c:v>
                </c:pt>
                <c:pt idx="64">
                  <c:v>115.584384000263</c:v>
                </c:pt>
                <c:pt idx="65">
                  <c:v>115.6097647552452</c:v>
                </c:pt>
                <c:pt idx="66">
                  <c:v>115.6348067847096</c:v>
                </c:pt>
                <c:pt idx="67">
                  <c:v>115.6619319472561</c:v>
                </c:pt>
                <c:pt idx="68">
                  <c:v>115.6874102228729</c:v>
                </c:pt>
                <c:pt idx="69">
                  <c:v>115.7154073006791</c:v>
                </c:pt>
                <c:pt idx="70">
                  <c:v>115.7515412924995</c:v>
                </c:pt>
                <c:pt idx="71">
                  <c:v>115.7863186511132</c:v>
                </c:pt>
                <c:pt idx="72">
                  <c:v>115.8179476512515</c:v>
                </c:pt>
                <c:pt idx="73">
                  <c:v>115.8504000948547</c:v>
                </c:pt>
                <c:pt idx="74">
                  <c:v>115.8807699824209</c:v>
                </c:pt>
                <c:pt idx="75">
                  <c:v>115.911333757166</c:v>
                </c:pt>
                <c:pt idx="76">
                  <c:v>115.9443678623057</c:v>
                </c:pt>
                <c:pt idx="77">
                  <c:v>115.976820882954</c:v>
                </c:pt>
                <c:pt idx="78">
                  <c:v>116.0089830728342</c:v>
                </c:pt>
                <c:pt idx="79">
                  <c:v>116.0413385728479</c:v>
                </c:pt>
                <c:pt idx="80">
                  <c:v>116.0743721009425</c:v>
                </c:pt>
                <c:pt idx="81">
                  <c:v>116.1087622622437</c:v>
                </c:pt>
                <c:pt idx="82">
                  <c:v>116.1429591134113</c:v>
                </c:pt>
                <c:pt idx="83">
                  <c:v>116.1765743030423</c:v>
                </c:pt>
                <c:pt idx="84">
                  <c:v>116.2115940206296</c:v>
                </c:pt>
                <c:pt idx="85">
                  <c:v>116.245645456413</c:v>
                </c:pt>
                <c:pt idx="86">
                  <c:v>116.2758220338456</c:v>
                </c:pt>
                <c:pt idx="87">
                  <c:v>116.3072577238502</c:v>
                </c:pt>
                <c:pt idx="88">
                  <c:v>116.3389836675779</c:v>
                </c:pt>
                <c:pt idx="89">
                  <c:v>116.3689657807865</c:v>
                </c:pt>
                <c:pt idx="90">
                  <c:v>116.3976403096282</c:v>
                </c:pt>
                <c:pt idx="91">
                  <c:v>116.4305289993838</c:v>
                </c:pt>
                <c:pt idx="92">
                  <c:v>116.461528443236</c:v>
                </c:pt>
                <c:pt idx="93">
                  <c:v>116.4835184807693</c:v>
                </c:pt>
                <c:pt idx="94">
                  <c:v>116.5061386516337</c:v>
                </c:pt>
                <c:pt idx="95">
                  <c:v>116.5285170405698</c:v>
                </c:pt>
                <c:pt idx="96">
                  <c:v>116.5530703750573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594920"/>
        <c:axId val="-2109526040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10765.0</c:v>
                </c:pt>
                <c:pt idx="1">
                  <c:v>13743.0</c:v>
                </c:pt>
                <c:pt idx="2">
                  <c:v>17467.0</c:v>
                </c:pt>
                <c:pt idx="3">
                  <c:v>33883.0</c:v>
                </c:pt>
                <c:pt idx="4">
                  <c:v>7769.0</c:v>
                </c:pt>
                <c:pt idx="5">
                  <c:v>15219.0</c:v>
                </c:pt>
                <c:pt idx="6">
                  <c:v>29038.0</c:v>
                </c:pt>
                <c:pt idx="7">
                  <c:v>27803.0</c:v>
                </c:pt>
                <c:pt idx="8">
                  <c:v>36500.0</c:v>
                </c:pt>
                <c:pt idx="9">
                  <c:v>40307.0</c:v>
                </c:pt>
              </c:numCache>
            </c:numRef>
          </c:yVal>
          <c:smooth val="0"/>
        </c:ser>
        <c:ser>
          <c:idx val="9"/>
          <c:order val="7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cytometer'!$X$4:$X$19</c:f>
                <c:numCache>
                  <c:formatCode>General</c:formatCode>
                  <c:ptCount val="16"/>
                  <c:pt idx="0">
                    <c:v>0.00695120372252187</c:v>
                  </c:pt>
                  <c:pt idx="1">
                    <c:v>0.0161071105097881</c:v>
                  </c:pt>
                  <c:pt idx="2">
                    <c:v>0.0159827468491328</c:v>
                  </c:pt>
                  <c:pt idx="3">
                    <c:v>0.00890766870311633</c:v>
                  </c:pt>
                  <c:pt idx="4">
                    <c:v>0.0256824691754772</c:v>
                  </c:pt>
                  <c:pt idx="5">
                    <c:v>0.0191353690214691</c:v>
                  </c:pt>
                  <c:pt idx="6">
                    <c:v>0.0239924119747771</c:v>
                  </c:pt>
                  <c:pt idx="7">
                    <c:v>0.0534113098271347</c:v>
                  </c:pt>
                  <c:pt idx="8">
                    <c:v>0.0240038792348677</c:v>
                  </c:pt>
                  <c:pt idx="9">
                    <c:v>0.00570000091252129</c:v>
                  </c:pt>
                  <c:pt idx="10">
                    <c:v>0.0427189599312915</c:v>
                  </c:pt>
                  <c:pt idx="11">
                    <c:v>0.00594274060853499</c:v>
                  </c:pt>
                  <c:pt idx="12">
                    <c:v>0.0373799519901402</c:v>
                  </c:pt>
                  <c:pt idx="13">
                    <c:v>0.00889983462069216</c:v>
                  </c:pt>
                  <c:pt idx="14">
                    <c:v>0.0184187857395546</c:v>
                  </c:pt>
                  <c:pt idx="15">
                    <c:v>0.0108875040822097</c:v>
                  </c:pt>
                </c:numCache>
              </c:numRef>
            </c:plus>
            <c:minus>
              <c:numRef>
                <c:f>'Flow cytometer'!$X$4:$X$19</c:f>
                <c:numCache>
                  <c:formatCode>General</c:formatCode>
                  <c:ptCount val="16"/>
                  <c:pt idx="0">
                    <c:v>0.00695120372252187</c:v>
                  </c:pt>
                  <c:pt idx="1">
                    <c:v>0.0161071105097881</c:v>
                  </c:pt>
                  <c:pt idx="2">
                    <c:v>0.0159827468491328</c:v>
                  </c:pt>
                  <c:pt idx="3">
                    <c:v>0.00890766870311633</c:v>
                  </c:pt>
                  <c:pt idx="4">
                    <c:v>0.0256824691754772</c:v>
                  </c:pt>
                  <c:pt idx="5">
                    <c:v>0.0191353690214691</c:v>
                  </c:pt>
                  <c:pt idx="6">
                    <c:v>0.0239924119747771</c:v>
                  </c:pt>
                  <c:pt idx="7">
                    <c:v>0.0534113098271347</c:v>
                  </c:pt>
                  <c:pt idx="8">
                    <c:v>0.0240038792348677</c:v>
                  </c:pt>
                  <c:pt idx="9">
                    <c:v>0.00570000091252129</c:v>
                  </c:pt>
                  <c:pt idx="10">
                    <c:v>0.0427189599312915</c:v>
                  </c:pt>
                  <c:pt idx="11">
                    <c:v>0.00594274060853499</c:v>
                  </c:pt>
                  <c:pt idx="12">
                    <c:v>0.0373799519901402</c:v>
                  </c:pt>
                  <c:pt idx="13">
                    <c:v>0.00889983462069216</c:v>
                  </c:pt>
                  <c:pt idx="14">
                    <c:v>0.0184187857395546</c:v>
                  </c:pt>
                  <c:pt idx="15">
                    <c:v>0.0108875040822097</c:v>
                  </c:pt>
                </c:numCache>
              </c:numRef>
            </c:minus>
          </c:errBars>
          <c:xVal>
            <c:numRef>
              <c:f>'Flow cytometer'!$D$4:$D$19</c:f>
              <c:numCache>
                <c:formatCode>0</c:formatCode>
                <c:ptCount val="16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24.0</c:v>
                </c:pt>
                <c:pt idx="14">
                  <c:v>30.0</c:v>
                </c:pt>
                <c:pt idx="15">
                  <c:v>48.0</c:v>
                </c:pt>
              </c:numCache>
            </c:numRef>
          </c:xVal>
          <c:yVal>
            <c:numRef>
              <c:f>'Flow cytometer'!$S$4:$S$19</c:f>
              <c:numCache>
                <c:formatCode>0.00</c:formatCode>
                <c:ptCount val="16"/>
                <c:pt idx="0">
                  <c:v>8.202373870562464</c:v>
                </c:pt>
                <c:pt idx="1">
                  <c:v>8.297153191496204</c:v>
                </c:pt>
                <c:pt idx="2">
                  <c:v>8.41993628997175</c:v>
                </c:pt>
                <c:pt idx="3">
                  <c:v>8.68481848605073</c:v>
                </c:pt>
                <c:pt idx="4">
                  <c:v>9.080296363109557</c:v>
                </c:pt>
                <c:pt idx="5">
                  <c:v>9.334404233403073</c:v>
                </c:pt>
                <c:pt idx="6">
                  <c:v>9.630649702262625</c:v>
                </c:pt>
                <c:pt idx="7">
                  <c:v>9.68193798904425</c:v>
                </c:pt>
                <c:pt idx="8">
                  <c:v>9.72115839261521</c:v>
                </c:pt>
                <c:pt idx="9">
                  <c:v>9.780686363592321</c:v>
                </c:pt>
                <c:pt idx="10">
                  <c:v>9.735994221404114</c:v>
                </c:pt>
                <c:pt idx="11">
                  <c:v>9.741288836942383</c:v>
                </c:pt>
                <c:pt idx="12">
                  <c:v>9.572831139077194</c:v>
                </c:pt>
                <c:pt idx="13">
                  <c:v>9.760642540141414</c:v>
                </c:pt>
                <c:pt idx="14">
                  <c:v>9.753554175119717</c:v>
                </c:pt>
                <c:pt idx="15">
                  <c:v>9.476511329497652</c:v>
                </c:pt>
              </c:numCache>
            </c:numRef>
          </c:yVal>
          <c:smooth val="0"/>
        </c:ser>
        <c:ser>
          <c:idx val="5"/>
          <c:order val="9"/>
          <c:tx>
            <c:v>R. intestinalis qpCR</c:v>
          </c:tx>
          <c:marker>
            <c:symbol val="circl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('Determination cell counts RI'!$S$4:$S$16,'Determination cell counts RI'!$S$19)</c:f>
                <c:numCache>
                  <c:formatCode>General</c:formatCode>
                  <c:ptCount val="14"/>
                  <c:pt idx="0">
                    <c:v>0.0757542010384964</c:v>
                  </c:pt>
                  <c:pt idx="1">
                    <c:v>0.0167067155307793</c:v>
                  </c:pt>
                  <c:pt idx="2">
                    <c:v>0.102480188521985</c:v>
                  </c:pt>
                  <c:pt idx="3">
                    <c:v>0.122296351490389</c:v>
                  </c:pt>
                  <c:pt idx="4">
                    <c:v>0.0663543200855295</c:v>
                  </c:pt>
                  <c:pt idx="5">
                    <c:v>0.0987423356902942</c:v>
                  </c:pt>
                  <c:pt idx="6">
                    <c:v>0.0218377345633019</c:v>
                  </c:pt>
                  <c:pt idx="7">
                    <c:v>0.193188447004802</c:v>
                  </c:pt>
                  <c:pt idx="8">
                    <c:v>0.0816844902480209</c:v>
                  </c:pt>
                  <c:pt idx="9">
                    <c:v>0.052097435355724</c:v>
                  </c:pt>
                  <c:pt idx="10">
                    <c:v>0.0189661483378679</c:v>
                  </c:pt>
                  <c:pt idx="11">
                    <c:v>0.0990679569895528</c:v>
                  </c:pt>
                  <c:pt idx="12">
                    <c:v>0.0254825991936962</c:v>
                  </c:pt>
                  <c:pt idx="13">
                    <c:v>0.0683830679189144</c:v>
                  </c:pt>
                </c:numCache>
              </c:numRef>
            </c:plus>
            <c:minus>
              <c:numRef>
                <c:f>('Determination cell counts RI'!$S$4:$S$16,'Determination cell counts RI'!$S$19)</c:f>
                <c:numCache>
                  <c:formatCode>General</c:formatCode>
                  <c:ptCount val="14"/>
                  <c:pt idx="0">
                    <c:v>0.0757542010384964</c:v>
                  </c:pt>
                  <c:pt idx="1">
                    <c:v>0.0167067155307793</c:v>
                  </c:pt>
                  <c:pt idx="2">
                    <c:v>0.102480188521985</c:v>
                  </c:pt>
                  <c:pt idx="3">
                    <c:v>0.122296351490389</c:v>
                  </c:pt>
                  <c:pt idx="4">
                    <c:v>0.0663543200855295</c:v>
                  </c:pt>
                  <c:pt idx="5">
                    <c:v>0.0987423356902942</c:v>
                  </c:pt>
                  <c:pt idx="6">
                    <c:v>0.0218377345633019</c:v>
                  </c:pt>
                  <c:pt idx="7">
                    <c:v>0.193188447004802</c:v>
                  </c:pt>
                  <c:pt idx="8">
                    <c:v>0.0816844902480209</c:v>
                  </c:pt>
                  <c:pt idx="9">
                    <c:v>0.052097435355724</c:v>
                  </c:pt>
                  <c:pt idx="10">
                    <c:v>0.0189661483378679</c:v>
                  </c:pt>
                  <c:pt idx="11">
                    <c:v>0.0990679569895528</c:v>
                  </c:pt>
                  <c:pt idx="12">
                    <c:v>0.0254825991936962</c:v>
                  </c:pt>
                  <c:pt idx="13">
                    <c:v>0.0683830679189144</c:v>
                  </c:pt>
                </c:numCache>
              </c:numRef>
            </c:minus>
          </c:errBars>
          <c:xVal>
            <c:numRef>
              <c:f>('Determination cell counts RI'!$D$4:$D$16,'Determination cell counts RI'!$D$19)</c:f>
              <c:numCache>
                <c:formatCode>0</c:formatCode>
                <c:ptCount val="14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48.0</c:v>
                </c:pt>
              </c:numCache>
            </c:numRef>
          </c:xVal>
          <c:yVal>
            <c:numRef>
              <c:f>('Determination cell counts RI'!$R$4:$R$16,'Determination cell counts RI'!$R$19)</c:f>
              <c:numCache>
                <c:formatCode>0.00</c:formatCode>
                <c:ptCount val="14"/>
                <c:pt idx="0">
                  <c:v>8.167110501711067</c:v>
                </c:pt>
                <c:pt idx="1">
                  <c:v>8.480357176736747</c:v>
                </c:pt>
                <c:pt idx="2">
                  <c:v>8.57229377285523</c:v>
                </c:pt>
                <c:pt idx="3">
                  <c:v>8.844125050160875</c:v>
                </c:pt>
                <c:pt idx="4">
                  <c:v>9.20774024684695</c:v>
                </c:pt>
                <c:pt idx="5">
                  <c:v>9.511399758336406</c:v>
                </c:pt>
                <c:pt idx="6">
                  <c:v>9.708108880435089</c:v>
                </c:pt>
                <c:pt idx="7">
                  <c:v>9.587083260849484</c:v>
                </c:pt>
                <c:pt idx="8">
                  <c:v>9.780279654399931</c:v>
                </c:pt>
                <c:pt idx="9">
                  <c:v>9.779934950567337</c:v>
                </c:pt>
                <c:pt idx="10">
                  <c:v>9.837309995802755</c:v>
                </c:pt>
                <c:pt idx="11">
                  <c:v>9.743815779700437</c:v>
                </c:pt>
                <c:pt idx="12">
                  <c:v>9.681154922533745</c:v>
                </c:pt>
                <c:pt idx="13">
                  <c:v>9.310769763794147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44808"/>
        <c:axId val="-2126944600"/>
      </c:scatterChart>
      <c:valAx>
        <c:axId val="-2077594920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09526040"/>
        <c:crosses val="autoZero"/>
        <c:crossBetween val="midCat"/>
        <c:majorUnit val="6.0"/>
      </c:valAx>
      <c:valAx>
        <c:axId val="-2109526040"/>
        <c:scaling>
          <c:orientation val="minMax"/>
          <c:max val="11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77594920"/>
        <c:crosses val="autoZero"/>
        <c:crossBetween val="midCat"/>
      </c:valAx>
      <c:valAx>
        <c:axId val="-2126944600"/>
        <c:scaling>
          <c:orientation val="minMax"/>
          <c:max val="12.0"/>
          <c:min val="6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076744808"/>
        <c:crosses val="max"/>
        <c:crossBetween val="midCat"/>
        <c:majorUnit val="1.0"/>
        <c:minorUnit val="0.2"/>
      </c:valAx>
      <c:valAx>
        <c:axId val="-2076744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2694460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Metabolites!$M$4:$M$19</c:f>
                <c:numCache>
                  <c:formatCode>General</c:formatCode>
                  <c:ptCount val="16"/>
                  <c:pt idx="0">
                    <c:v>0.0339148586068372</c:v>
                  </c:pt>
                  <c:pt idx="1">
                    <c:v>0.0559127607334069</c:v>
                  </c:pt>
                  <c:pt idx="2">
                    <c:v>0.100323399573258</c:v>
                  </c:pt>
                  <c:pt idx="3">
                    <c:v>0.0560708019730682</c:v>
                  </c:pt>
                  <c:pt idx="4">
                    <c:v>0.0341345265240733</c:v>
                  </c:pt>
                  <c:pt idx="5">
                    <c:v>0.0129509942523085</c:v>
                  </c:pt>
                  <c:pt idx="6">
                    <c:v>0.0131049284153708</c:v>
                  </c:pt>
                  <c:pt idx="7">
                    <c:v>0.0228455551794647</c:v>
                  </c:pt>
                  <c:pt idx="8">
                    <c:v>0.0229792666228227</c:v>
                  </c:pt>
                  <c:pt idx="9">
                    <c:v>0.0230986394364478</c:v>
                  </c:pt>
                  <c:pt idx="10">
                    <c:v>0.023307110911506</c:v>
                  </c:pt>
                  <c:pt idx="11">
                    <c:v>0.0674077118740157</c:v>
                  </c:pt>
                  <c:pt idx="12">
                    <c:v>0.0674739277010039</c:v>
                  </c:pt>
                  <c:pt idx="13">
                    <c:v>0.336093204386243</c:v>
                  </c:pt>
                  <c:pt idx="14">
                    <c:v>0.0886797732260457</c:v>
                  </c:pt>
                  <c:pt idx="15">
                    <c:v>0.0270470772687831</c:v>
                  </c:pt>
                </c:numCache>
              </c:numRef>
            </c:plus>
            <c:minus>
              <c:numRef>
                <c:f>Metabolites!$M$4:$M$19</c:f>
                <c:numCache>
                  <c:formatCode>General</c:formatCode>
                  <c:ptCount val="16"/>
                  <c:pt idx="0">
                    <c:v>0.0339148586068372</c:v>
                  </c:pt>
                  <c:pt idx="1">
                    <c:v>0.0559127607334069</c:v>
                  </c:pt>
                  <c:pt idx="2">
                    <c:v>0.100323399573258</c:v>
                  </c:pt>
                  <c:pt idx="3">
                    <c:v>0.0560708019730682</c:v>
                  </c:pt>
                  <c:pt idx="4">
                    <c:v>0.0341345265240733</c:v>
                  </c:pt>
                  <c:pt idx="5">
                    <c:v>0.0129509942523085</c:v>
                  </c:pt>
                  <c:pt idx="6">
                    <c:v>0.0131049284153708</c:v>
                  </c:pt>
                  <c:pt idx="7">
                    <c:v>0.0228455551794647</c:v>
                  </c:pt>
                  <c:pt idx="8">
                    <c:v>0.0229792666228227</c:v>
                  </c:pt>
                  <c:pt idx="9">
                    <c:v>0.0230986394364478</c:v>
                  </c:pt>
                  <c:pt idx="10">
                    <c:v>0.023307110911506</c:v>
                  </c:pt>
                  <c:pt idx="11">
                    <c:v>0.0674077118740157</c:v>
                  </c:pt>
                  <c:pt idx="12">
                    <c:v>0.0674739277010039</c:v>
                  </c:pt>
                  <c:pt idx="13">
                    <c:v>0.336093204386243</c:v>
                  </c:pt>
                  <c:pt idx="14">
                    <c:v>0.0886797732260457</c:v>
                  </c:pt>
                  <c:pt idx="15">
                    <c:v>0.0270470772687831</c:v>
                  </c:pt>
                </c:numCache>
              </c:numRef>
            </c:minus>
          </c:errBars>
          <c:xVal>
            <c:numRef>
              <c:f>Metabolites!$E$4:$E$19</c:f>
              <c:numCache>
                <c:formatCode>0</c:formatCode>
                <c:ptCount val="16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24.0</c:v>
                </c:pt>
                <c:pt idx="14">
                  <c:v>30.0</c:v>
                </c:pt>
                <c:pt idx="15">
                  <c:v>48.0</c:v>
                </c:pt>
              </c:numCache>
            </c:numRef>
          </c:xVal>
          <c:yVal>
            <c:numRef>
              <c:f>Metabolites!$L$4:$L$19</c:f>
              <c:numCache>
                <c:formatCode>0</c:formatCode>
                <c:ptCount val="16"/>
                <c:pt idx="0">
                  <c:v>0.318235642391948</c:v>
                </c:pt>
                <c:pt idx="1">
                  <c:v>0.162928173681313</c:v>
                </c:pt>
                <c:pt idx="2">
                  <c:v>0.318893121037817</c:v>
                </c:pt>
                <c:pt idx="3">
                  <c:v>0.319350643449636</c:v>
                </c:pt>
                <c:pt idx="4">
                  <c:v>0.417130804288117</c:v>
                </c:pt>
                <c:pt idx="5">
                  <c:v>0.388817520927868</c:v>
                </c:pt>
                <c:pt idx="6">
                  <c:v>0.529629376382758</c:v>
                </c:pt>
                <c:pt idx="7">
                  <c:v>0.731057765742869</c:v>
                </c:pt>
                <c:pt idx="8">
                  <c:v>1.930258396317108</c:v>
                </c:pt>
                <c:pt idx="9">
                  <c:v>4.342544214052181</c:v>
                </c:pt>
                <c:pt idx="10">
                  <c:v>4.428351073186132</c:v>
                </c:pt>
                <c:pt idx="11">
                  <c:v>4.607874694556891</c:v>
                </c:pt>
                <c:pt idx="12">
                  <c:v>4.892884944374867</c:v>
                </c:pt>
                <c:pt idx="13">
                  <c:v>5.514081658201241</c:v>
                </c:pt>
                <c:pt idx="14">
                  <c:v>5.30931669625434</c:v>
                </c:pt>
                <c:pt idx="15">
                  <c:v>5.348355789609151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109"/>
              </a:solidFill>
            </a:ln>
          </c:spPr>
          <c:marker>
            <c:symbol val="triangle"/>
            <c:size val="8"/>
            <c:spPr>
              <a:solidFill>
                <a:srgbClr val="FEC109"/>
              </a:solidFill>
              <a:ln>
                <a:solidFill>
                  <a:srgbClr val="FEC1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Metabolites!$Q$4:$Q$19</c:f>
                <c:numCache>
                  <c:formatCode>General</c:formatCode>
                  <c:ptCount val="16"/>
                  <c:pt idx="0">
                    <c:v>0.576869544569152</c:v>
                  </c:pt>
                  <c:pt idx="1">
                    <c:v>0.841162387896729</c:v>
                  </c:pt>
                  <c:pt idx="2">
                    <c:v>3.630656942754117</c:v>
                  </c:pt>
                  <c:pt idx="3">
                    <c:v>1.421527428568992</c:v>
                  </c:pt>
                  <c:pt idx="4">
                    <c:v>0.425777698169174</c:v>
                  </c:pt>
                  <c:pt idx="5">
                    <c:v>0.154201554246742</c:v>
                  </c:pt>
                  <c:pt idx="6">
                    <c:v>0.16796215913857</c:v>
                  </c:pt>
                  <c:pt idx="7">
                    <c:v>0.274874915844508</c:v>
                  </c:pt>
                  <c:pt idx="8">
                    <c:v>0.325805416083908</c:v>
                  </c:pt>
                  <c:pt idx="9">
                    <c:v>0.250663422023697</c:v>
                  </c:pt>
                  <c:pt idx="10">
                    <c:v>0.297353495516937</c:v>
                  </c:pt>
                  <c:pt idx="11">
                    <c:v>0.105084056427391</c:v>
                  </c:pt>
                  <c:pt idx="12">
                    <c:v>0.158105242411521</c:v>
                  </c:pt>
                  <c:pt idx="13">
                    <c:v>1.631363658316712</c:v>
                  </c:pt>
                  <c:pt idx="14">
                    <c:v>0.180309769201948</c:v>
                  </c:pt>
                  <c:pt idx="15">
                    <c:v>0.182577905773088</c:v>
                  </c:pt>
                </c:numCache>
              </c:numRef>
            </c:plus>
            <c:minus>
              <c:numRef>
                <c:f>Metabolites!$Q$4:$Q$19</c:f>
                <c:numCache>
                  <c:formatCode>General</c:formatCode>
                  <c:ptCount val="16"/>
                  <c:pt idx="0">
                    <c:v>0.576869544569152</c:v>
                  </c:pt>
                  <c:pt idx="1">
                    <c:v>0.841162387896729</c:v>
                  </c:pt>
                  <c:pt idx="2">
                    <c:v>3.630656942754117</c:v>
                  </c:pt>
                  <c:pt idx="3">
                    <c:v>1.421527428568992</c:v>
                  </c:pt>
                  <c:pt idx="4">
                    <c:v>0.425777698169174</c:v>
                  </c:pt>
                  <c:pt idx="5">
                    <c:v>0.154201554246742</c:v>
                  </c:pt>
                  <c:pt idx="6">
                    <c:v>0.16796215913857</c:v>
                  </c:pt>
                  <c:pt idx="7">
                    <c:v>0.274874915844508</c:v>
                  </c:pt>
                  <c:pt idx="8">
                    <c:v>0.325805416083908</c:v>
                  </c:pt>
                  <c:pt idx="9">
                    <c:v>0.250663422023697</c:v>
                  </c:pt>
                  <c:pt idx="10">
                    <c:v>0.297353495516937</c:v>
                  </c:pt>
                  <c:pt idx="11">
                    <c:v>0.105084056427391</c:v>
                  </c:pt>
                  <c:pt idx="12">
                    <c:v>0.158105242411521</c:v>
                  </c:pt>
                  <c:pt idx="13">
                    <c:v>1.631363658316712</c:v>
                  </c:pt>
                  <c:pt idx="14">
                    <c:v>0.180309769201948</c:v>
                  </c:pt>
                  <c:pt idx="15">
                    <c:v>0.182577905773088</c:v>
                  </c:pt>
                </c:numCache>
              </c:numRef>
            </c:minus>
          </c:errBars>
          <c:xVal>
            <c:numRef>
              <c:f>Metabolites!$E$4:$E$19</c:f>
              <c:numCache>
                <c:formatCode>0</c:formatCode>
                <c:ptCount val="16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24.0</c:v>
                </c:pt>
                <c:pt idx="14">
                  <c:v>30.0</c:v>
                </c:pt>
                <c:pt idx="15">
                  <c:v>48.0</c:v>
                </c:pt>
              </c:numCache>
            </c:numRef>
          </c:xVal>
          <c:yVal>
            <c:numRef>
              <c:f>Metabolites!$P$4:$P$19</c:f>
              <c:numCache>
                <c:formatCode>0</c:formatCode>
                <c:ptCount val="16"/>
                <c:pt idx="0">
                  <c:v>47.42714404662781</c:v>
                </c:pt>
                <c:pt idx="1">
                  <c:v>47.12588710398323</c:v>
                </c:pt>
                <c:pt idx="2">
                  <c:v>47.01338847157749</c:v>
                </c:pt>
                <c:pt idx="3">
                  <c:v>47.22566937345903</c:v>
                </c:pt>
                <c:pt idx="4">
                  <c:v>46.03591903863661</c:v>
                </c:pt>
                <c:pt idx="5">
                  <c:v>43.0377588958703</c:v>
                </c:pt>
                <c:pt idx="6">
                  <c:v>36.13786161317839</c:v>
                </c:pt>
                <c:pt idx="7">
                  <c:v>32.5795700545919</c:v>
                </c:pt>
                <c:pt idx="8">
                  <c:v>30.25388378757552</c:v>
                </c:pt>
                <c:pt idx="9">
                  <c:v>29.15210109163743</c:v>
                </c:pt>
                <c:pt idx="10">
                  <c:v>28.99565541304602</c:v>
                </c:pt>
                <c:pt idx="11">
                  <c:v>28.89811551753239</c:v>
                </c:pt>
                <c:pt idx="12">
                  <c:v>29.19531460835825</c:v>
                </c:pt>
                <c:pt idx="13">
                  <c:v>29.56476199755107</c:v>
                </c:pt>
                <c:pt idx="14">
                  <c:v>28.19169412579244</c:v>
                </c:pt>
                <c:pt idx="15">
                  <c:v>27.89888467288641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triangle"/>
            <c:size val="8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Metabolites!$U$4:$U$19</c:f>
                <c:numCache>
                  <c:formatCode>General</c:formatCode>
                  <c:ptCount val="16"/>
                  <c:pt idx="0">
                    <c:v>0.239303521498418</c:v>
                  </c:pt>
                  <c:pt idx="1">
                    <c:v>0.130437786588701</c:v>
                  </c:pt>
                  <c:pt idx="2">
                    <c:v>0.304777844178881</c:v>
                  </c:pt>
                  <c:pt idx="3">
                    <c:v>0.226563465694885</c:v>
                  </c:pt>
                  <c:pt idx="4">
                    <c:v>0.165564222344943</c:v>
                  </c:pt>
                  <c:pt idx="5">
                    <c:v>0.0253448959862687</c:v>
                  </c:pt>
                  <c:pt idx="6">
                    <c:v>0.0444204222940555</c:v>
                  </c:pt>
                  <c:pt idx="7">
                    <c:v>0.0516248125106729</c:v>
                  </c:pt>
                  <c:pt idx="8">
                    <c:v>0.0519269644233612</c:v>
                  </c:pt>
                  <c:pt idx="9">
                    <c:v>0.0452036810870132</c:v>
                  </c:pt>
                  <c:pt idx="10">
                    <c:v>0.0</c:v>
                  </c:pt>
                  <c:pt idx="11">
                    <c:v>0.0951258739692976</c:v>
                  </c:pt>
                  <c:pt idx="12">
                    <c:v>0.0952193178533539</c:v>
                  </c:pt>
                  <c:pt idx="13">
                    <c:v>0.530706409229736</c:v>
                  </c:pt>
                  <c:pt idx="14">
                    <c:v>0.0700207516858884</c:v>
                  </c:pt>
                  <c:pt idx="15">
                    <c:v>0.0700207516858884</c:v>
                  </c:pt>
                </c:numCache>
              </c:numRef>
            </c:plus>
            <c:minus>
              <c:numRef>
                <c:f>Metabolites!$U$4:$U$19</c:f>
                <c:numCache>
                  <c:formatCode>General</c:formatCode>
                  <c:ptCount val="16"/>
                  <c:pt idx="0">
                    <c:v>0.239303521498418</c:v>
                  </c:pt>
                  <c:pt idx="1">
                    <c:v>0.130437786588701</c:v>
                  </c:pt>
                  <c:pt idx="2">
                    <c:v>0.304777844178881</c:v>
                  </c:pt>
                  <c:pt idx="3">
                    <c:v>0.226563465694885</c:v>
                  </c:pt>
                  <c:pt idx="4">
                    <c:v>0.165564222344943</c:v>
                  </c:pt>
                  <c:pt idx="5">
                    <c:v>0.0253448959862687</c:v>
                  </c:pt>
                  <c:pt idx="6">
                    <c:v>0.0444204222940555</c:v>
                  </c:pt>
                  <c:pt idx="7">
                    <c:v>0.0516248125106729</c:v>
                  </c:pt>
                  <c:pt idx="8">
                    <c:v>0.0519269644233612</c:v>
                  </c:pt>
                  <c:pt idx="9">
                    <c:v>0.0452036810870132</c:v>
                  </c:pt>
                  <c:pt idx="10">
                    <c:v>0.0</c:v>
                  </c:pt>
                  <c:pt idx="11">
                    <c:v>0.0951258739692976</c:v>
                  </c:pt>
                  <c:pt idx="12">
                    <c:v>0.0952193178533539</c:v>
                  </c:pt>
                  <c:pt idx="13">
                    <c:v>0.530706409229736</c:v>
                  </c:pt>
                  <c:pt idx="14">
                    <c:v>0.0700207516858884</c:v>
                  </c:pt>
                  <c:pt idx="15">
                    <c:v>0.0700207516858884</c:v>
                  </c:pt>
                </c:numCache>
              </c:numRef>
            </c:minus>
          </c:errBars>
          <c:xVal>
            <c:numRef>
              <c:f>Metabolites!$E$4:$E$19</c:f>
              <c:numCache>
                <c:formatCode>0</c:formatCode>
                <c:ptCount val="16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24.0</c:v>
                </c:pt>
                <c:pt idx="14">
                  <c:v>30.0</c:v>
                </c:pt>
                <c:pt idx="15">
                  <c:v>48.0</c:v>
                </c:pt>
              </c:numCache>
            </c:numRef>
          </c:xVal>
          <c:yVal>
            <c:numRef>
              <c:f>Metabolites!$T$4:$T$19</c:f>
              <c:numCache>
                <c:formatCode>0</c:formatCode>
                <c:ptCount val="16"/>
                <c:pt idx="0">
                  <c:v>0.753132015352306</c:v>
                </c:pt>
                <c:pt idx="1">
                  <c:v>0.739147457335974</c:v>
                </c:pt>
                <c:pt idx="2">
                  <c:v>0.914333532536643</c:v>
                </c:pt>
                <c:pt idx="3">
                  <c:v>0.959247504654827</c:v>
                </c:pt>
                <c:pt idx="4">
                  <c:v>0.670547380246029</c:v>
                </c:pt>
                <c:pt idx="5">
                  <c:v>0.146328825202553</c:v>
                </c:pt>
                <c:pt idx="6">
                  <c:v>2.620804915349279</c:v>
                </c:pt>
                <c:pt idx="7">
                  <c:v>4.500645509385075</c:v>
                </c:pt>
                <c:pt idx="8">
                  <c:v>5.876089190053423</c:v>
                </c:pt>
                <c:pt idx="9">
                  <c:v>6.78055216305197</c:v>
                </c:pt>
                <c:pt idx="10">
                  <c:v>6.978583451857351</c:v>
                </c:pt>
                <c:pt idx="11">
                  <c:v>7.052569057520945</c:v>
                </c:pt>
                <c:pt idx="12">
                  <c:v>7.120486099262232</c:v>
                </c:pt>
                <c:pt idx="13">
                  <c:v>7.310998512261013</c:v>
                </c:pt>
                <c:pt idx="14">
                  <c:v>6.982859782474217</c:v>
                </c:pt>
                <c:pt idx="15">
                  <c:v>6.998139563179851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'CO2'!$G$106:$G$202</c:f>
              <c:numCache>
                <c:formatCode>0.0</c:formatCode>
                <c:ptCount val="97"/>
                <c:pt idx="0">
                  <c:v>0.0798175852464551</c:v>
                </c:pt>
                <c:pt idx="1">
                  <c:v>0.248356157157326</c:v>
                </c:pt>
                <c:pt idx="2">
                  <c:v>0.435114259790682</c:v>
                </c:pt>
                <c:pt idx="3">
                  <c:v>0.641822564989872</c:v>
                </c:pt>
                <c:pt idx="4">
                  <c:v>0.872094112728098</c:v>
                </c:pt>
                <c:pt idx="5">
                  <c:v>1.12654655855687</c:v>
                </c:pt>
                <c:pt idx="6">
                  <c:v>1.417627589905305</c:v>
                </c:pt>
                <c:pt idx="7">
                  <c:v>1.778354378675716</c:v>
                </c:pt>
                <c:pt idx="8">
                  <c:v>2.238164256120002</c:v>
                </c:pt>
                <c:pt idx="9">
                  <c:v>2.786695658318782</c:v>
                </c:pt>
                <c:pt idx="10">
                  <c:v>3.42959742790499</c:v>
                </c:pt>
                <c:pt idx="11">
                  <c:v>4.212720214054222</c:v>
                </c:pt>
                <c:pt idx="12">
                  <c:v>5.199199093868004</c:v>
                </c:pt>
                <c:pt idx="13">
                  <c:v>6.450079509687613</c:v>
                </c:pt>
                <c:pt idx="14">
                  <c:v>7.956915984151282</c:v>
                </c:pt>
                <c:pt idx="15">
                  <c:v>9.736675737950415</c:v>
                </c:pt>
                <c:pt idx="16">
                  <c:v>11.79166795604101</c:v>
                </c:pt>
                <c:pt idx="17">
                  <c:v>14.09943277987151</c:v>
                </c:pt>
                <c:pt idx="18">
                  <c:v>16.62425987519615</c:v>
                </c:pt>
                <c:pt idx="19">
                  <c:v>19.32158328226306</c:v>
                </c:pt>
                <c:pt idx="20">
                  <c:v>22.18776888473185</c:v>
                </c:pt>
                <c:pt idx="21">
                  <c:v>25.26517807880622</c:v>
                </c:pt>
                <c:pt idx="22">
                  <c:v>28.53250903181872</c:v>
                </c:pt>
                <c:pt idx="23">
                  <c:v>31.92958472461309</c:v>
                </c:pt>
                <c:pt idx="24">
                  <c:v>35.56400779366268</c:v>
                </c:pt>
                <c:pt idx="25">
                  <c:v>39.41105186663052</c:v>
                </c:pt>
                <c:pt idx="26">
                  <c:v>43.4286220355755</c:v>
                </c:pt>
                <c:pt idx="27">
                  <c:v>47.45890060081378</c:v>
                </c:pt>
                <c:pt idx="28">
                  <c:v>51.54523685643969</c:v>
                </c:pt>
                <c:pt idx="29">
                  <c:v>55.76474618011868</c:v>
                </c:pt>
                <c:pt idx="30">
                  <c:v>59.62932250487163</c:v>
                </c:pt>
                <c:pt idx="31">
                  <c:v>62.74210883157728</c:v>
                </c:pt>
                <c:pt idx="32">
                  <c:v>65.47879455714981</c:v>
                </c:pt>
                <c:pt idx="33">
                  <c:v>68.06127675645519</c:v>
                </c:pt>
                <c:pt idx="34">
                  <c:v>70.3042346246922</c:v>
                </c:pt>
                <c:pt idx="35">
                  <c:v>72.25539090088975</c:v>
                </c:pt>
                <c:pt idx="36">
                  <c:v>73.9025265659338</c:v>
                </c:pt>
                <c:pt idx="37">
                  <c:v>75.2710261571934</c:v>
                </c:pt>
                <c:pt idx="38">
                  <c:v>76.42792214634457</c:v>
                </c:pt>
                <c:pt idx="39">
                  <c:v>77.41018616024472</c:v>
                </c:pt>
                <c:pt idx="40">
                  <c:v>78.21583154905878</c:v>
                </c:pt>
                <c:pt idx="41">
                  <c:v>78.8799588519436</c:v>
                </c:pt>
                <c:pt idx="42">
                  <c:v>79.43071151021176</c:v>
                </c:pt>
                <c:pt idx="43">
                  <c:v>79.88757877795483</c:v>
                </c:pt>
                <c:pt idx="44">
                  <c:v>80.26688768475142</c:v>
                </c:pt>
                <c:pt idx="45">
                  <c:v>80.58411238228075</c:v>
                </c:pt>
                <c:pt idx="46">
                  <c:v>80.8495516388179</c:v>
                </c:pt>
                <c:pt idx="47">
                  <c:v>81.07046128887732</c:v>
                </c:pt>
                <c:pt idx="48">
                  <c:v>81.26362730007045</c:v>
                </c:pt>
                <c:pt idx="49">
                  <c:v>81.4353779129829</c:v>
                </c:pt>
                <c:pt idx="50">
                  <c:v>81.58081347662771</c:v>
                </c:pt>
                <c:pt idx="51">
                  <c:v>81.70331227069701</c:v>
                </c:pt>
                <c:pt idx="52">
                  <c:v>81.80723188058812</c:v>
                </c:pt>
                <c:pt idx="53">
                  <c:v>81.89644944691931</c:v>
                </c:pt>
                <c:pt idx="54">
                  <c:v>81.97370951726154</c:v>
                </c:pt>
                <c:pt idx="55">
                  <c:v>82.04100536871388</c:v>
                </c:pt>
                <c:pt idx="56">
                  <c:v>82.10030265415476</c:v>
                </c:pt>
                <c:pt idx="57">
                  <c:v>82.15392939123955</c:v>
                </c:pt>
                <c:pt idx="58">
                  <c:v>82.2034525774269</c:v>
                </c:pt>
                <c:pt idx="59">
                  <c:v>82.24940682263438</c:v>
                </c:pt>
                <c:pt idx="60">
                  <c:v>82.2940492735102</c:v>
                </c:pt>
                <c:pt idx="61">
                  <c:v>82.3391944027852</c:v>
                </c:pt>
                <c:pt idx="62">
                  <c:v>82.38372209372281</c:v>
                </c:pt>
                <c:pt idx="63">
                  <c:v>82.4257696444978</c:v>
                </c:pt>
                <c:pt idx="64">
                  <c:v>82.46561692202006</c:v>
                </c:pt>
                <c:pt idx="65">
                  <c:v>82.50610068037047</c:v>
                </c:pt>
                <c:pt idx="66">
                  <c:v>82.54750136350415</c:v>
                </c:pt>
                <c:pt idx="67">
                  <c:v>82.58792741733707</c:v>
                </c:pt>
                <c:pt idx="68">
                  <c:v>82.62669331220118</c:v>
                </c:pt>
                <c:pt idx="69">
                  <c:v>82.66404083002486</c:v>
                </c:pt>
                <c:pt idx="70">
                  <c:v>82.7008095715379</c:v>
                </c:pt>
                <c:pt idx="71">
                  <c:v>82.7370087694631</c:v>
                </c:pt>
                <c:pt idx="72">
                  <c:v>82.7720209854631</c:v>
                </c:pt>
                <c:pt idx="73">
                  <c:v>82.80564367668143</c:v>
                </c:pt>
                <c:pt idx="74">
                  <c:v>82.83883185288289</c:v>
                </c:pt>
                <c:pt idx="75">
                  <c:v>82.87225142419958</c:v>
                </c:pt>
                <c:pt idx="76">
                  <c:v>82.90514011395516</c:v>
                </c:pt>
                <c:pt idx="77">
                  <c:v>82.93654291238482</c:v>
                </c:pt>
                <c:pt idx="78">
                  <c:v>82.96655618603281</c:v>
                </c:pt>
                <c:pt idx="79">
                  <c:v>82.99564272512957</c:v>
                </c:pt>
                <c:pt idx="80">
                  <c:v>83.0232041338285</c:v>
                </c:pt>
                <c:pt idx="81">
                  <c:v>83.05075573275946</c:v>
                </c:pt>
                <c:pt idx="82">
                  <c:v>83.07929177075916</c:v>
                </c:pt>
                <c:pt idx="83">
                  <c:v>83.1067856651726</c:v>
                </c:pt>
                <c:pt idx="84">
                  <c:v>83.13272615397464</c:v>
                </c:pt>
                <c:pt idx="85">
                  <c:v>83.15824193752781</c:v>
                </c:pt>
                <c:pt idx="86">
                  <c:v>83.18338148762679</c:v>
                </c:pt>
                <c:pt idx="87">
                  <c:v>83.2075948802197</c:v>
                </c:pt>
                <c:pt idx="88">
                  <c:v>83.23132528600108</c:v>
                </c:pt>
                <c:pt idx="89">
                  <c:v>83.25464079630153</c:v>
                </c:pt>
                <c:pt idx="90">
                  <c:v>83.27718422015767</c:v>
                </c:pt>
                <c:pt idx="91">
                  <c:v>83.29916791019397</c:v>
                </c:pt>
                <c:pt idx="92">
                  <c:v>83.3199357660463</c:v>
                </c:pt>
                <c:pt idx="93">
                  <c:v>83.33936199186648</c:v>
                </c:pt>
                <c:pt idx="94">
                  <c:v>83.35836351243779</c:v>
                </c:pt>
                <c:pt idx="95">
                  <c:v>83.37704650407244</c:v>
                </c:pt>
                <c:pt idx="96">
                  <c:v>83.39708566283881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67FF65"/>
              </a:solidFill>
            </a:ln>
          </c:spPr>
          <c:marker>
            <c:symbol val="circle"/>
            <c:size val="8"/>
            <c:spPr>
              <a:solidFill>
                <a:srgbClr val="67FF65"/>
              </a:solidFill>
              <a:ln>
                <a:solidFill>
                  <a:srgbClr val="67FF65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Metabolites!$I$4:$I$19</c:f>
                <c:numCache>
                  <c:formatCode>General</c:formatCode>
                  <c:ptCount val="16"/>
                  <c:pt idx="0">
                    <c:v>0.607736043213632</c:v>
                  </c:pt>
                  <c:pt idx="1">
                    <c:v>1.042940428495674</c:v>
                  </c:pt>
                  <c:pt idx="2">
                    <c:v>3.95439646966671</c:v>
                  </c:pt>
                  <c:pt idx="3">
                    <c:v>1.280405370650097</c:v>
                  </c:pt>
                  <c:pt idx="4">
                    <c:v>0.347447132610886</c:v>
                  </c:pt>
                  <c:pt idx="5">
                    <c:v>0.102795330067905</c:v>
                  </c:pt>
                  <c:pt idx="6">
                    <c:v>0.143706759200227</c:v>
                  </c:pt>
                  <c:pt idx="7">
                    <c:v>0.131403322639628</c:v>
                  </c:pt>
                  <c:pt idx="8">
                    <c:v>0.0239175790106985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Metabolites!$I$4:$I$19</c:f>
                <c:numCache>
                  <c:formatCode>General</c:formatCode>
                  <c:ptCount val="16"/>
                  <c:pt idx="0">
                    <c:v>0.607736043213632</c:v>
                  </c:pt>
                  <c:pt idx="1">
                    <c:v>1.042940428495674</c:v>
                  </c:pt>
                  <c:pt idx="2">
                    <c:v>3.95439646966671</c:v>
                  </c:pt>
                  <c:pt idx="3">
                    <c:v>1.280405370650097</c:v>
                  </c:pt>
                  <c:pt idx="4">
                    <c:v>0.347447132610886</c:v>
                  </c:pt>
                  <c:pt idx="5">
                    <c:v>0.102795330067905</c:v>
                  </c:pt>
                  <c:pt idx="6">
                    <c:v>0.143706759200227</c:v>
                  </c:pt>
                  <c:pt idx="7">
                    <c:v>0.131403322639628</c:v>
                  </c:pt>
                  <c:pt idx="8">
                    <c:v>0.0239175790106985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Metabolites!$E$4:$E$19</c:f>
              <c:numCache>
                <c:formatCode>0</c:formatCode>
                <c:ptCount val="16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24.0</c:v>
                </c:pt>
                <c:pt idx="14">
                  <c:v>30.0</c:v>
                </c:pt>
                <c:pt idx="15">
                  <c:v>48.0</c:v>
                </c:pt>
              </c:numCache>
            </c:numRef>
          </c:xVal>
          <c:yVal>
            <c:numRef>
              <c:f>Metabolites!$H$4:$H$19</c:f>
              <c:numCache>
                <c:formatCode>0</c:formatCode>
                <c:ptCount val="16"/>
                <c:pt idx="0">
                  <c:v>47.71314387211367</c:v>
                </c:pt>
                <c:pt idx="1">
                  <c:v>47.4602364107589</c:v>
                </c:pt>
                <c:pt idx="2">
                  <c:v>47.39641712913229</c:v>
                </c:pt>
                <c:pt idx="3">
                  <c:v>47.17477412074623</c:v>
                </c:pt>
                <c:pt idx="4">
                  <c:v>43.96633164840377</c:v>
                </c:pt>
                <c:pt idx="5">
                  <c:v>38.79576360258158</c:v>
                </c:pt>
                <c:pt idx="6">
                  <c:v>24.13596729515711</c:v>
                </c:pt>
                <c:pt idx="7">
                  <c:v>15.34840548807033</c:v>
                </c:pt>
                <c:pt idx="8">
                  <c:v>7.058464730977042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Metabolites!$J$21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Metabolites!$M$24:$M$39</c:f>
                <c:numCache>
                  <c:formatCode>General</c:formatCode>
                  <c:ptCount val="16"/>
                  <c:pt idx="0">
                    <c:v>0.334375663662609</c:v>
                  </c:pt>
                  <c:pt idx="1">
                    <c:v>0.258317111037408</c:v>
                  </c:pt>
                  <c:pt idx="2">
                    <c:v>0.590953096788129</c:v>
                  </c:pt>
                  <c:pt idx="3">
                    <c:v>0.142251244468767</c:v>
                  </c:pt>
                  <c:pt idx="4">
                    <c:v>0.139590881819931</c:v>
                  </c:pt>
                  <c:pt idx="5">
                    <c:v>0.127687316889868</c:v>
                  </c:pt>
                  <c:pt idx="6">
                    <c:v>0.177238005265956</c:v>
                  </c:pt>
                  <c:pt idx="7">
                    <c:v>0.269358517582064</c:v>
                  </c:pt>
                  <c:pt idx="8">
                    <c:v>0.299325139579214</c:v>
                  </c:pt>
                  <c:pt idx="9">
                    <c:v>0.487981675071511</c:v>
                  </c:pt>
                  <c:pt idx="10">
                    <c:v>0.427139277487325</c:v>
                  </c:pt>
                  <c:pt idx="11">
                    <c:v>0.203969304391906</c:v>
                  </c:pt>
                  <c:pt idx="12">
                    <c:v>0.508602969798874</c:v>
                  </c:pt>
                  <c:pt idx="13">
                    <c:v>3.52466725756865</c:v>
                  </c:pt>
                  <c:pt idx="14">
                    <c:v>0.408508073597846</c:v>
                  </c:pt>
                  <c:pt idx="15">
                    <c:v>0.258289193262424</c:v>
                  </c:pt>
                </c:numCache>
              </c:numRef>
            </c:plus>
            <c:minus>
              <c:numRef>
                <c:f>Metabolites!$M$24:$M$39</c:f>
                <c:numCache>
                  <c:formatCode>General</c:formatCode>
                  <c:ptCount val="16"/>
                  <c:pt idx="0">
                    <c:v>0.334375663662609</c:v>
                  </c:pt>
                  <c:pt idx="1">
                    <c:v>0.258317111037408</c:v>
                  </c:pt>
                  <c:pt idx="2">
                    <c:v>0.590953096788129</c:v>
                  </c:pt>
                  <c:pt idx="3">
                    <c:v>0.142251244468767</c:v>
                  </c:pt>
                  <c:pt idx="4">
                    <c:v>0.139590881819931</c:v>
                  </c:pt>
                  <c:pt idx="5">
                    <c:v>0.127687316889868</c:v>
                  </c:pt>
                  <c:pt idx="6">
                    <c:v>0.177238005265956</c:v>
                  </c:pt>
                  <c:pt idx="7">
                    <c:v>0.269358517582064</c:v>
                  </c:pt>
                  <c:pt idx="8">
                    <c:v>0.299325139579214</c:v>
                  </c:pt>
                  <c:pt idx="9">
                    <c:v>0.487981675071511</c:v>
                  </c:pt>
                  <c:pt idx="10">
                    <c:v>0.427139277487325</c:v>
                  </c:pt>
                  <c:pt idx="11">
                    <c:v>0.203969304391906</c:v>
                  </c:pt>
                  <c:pt idx="12">
                    <c:v>0.508602969798874</c:v>
                  </c:pt>
                  <c:pt idx="13">
                    <c:v>3.52466725756865</c:v>
                  </c:pt>
                  <c:pt idx="14">
                    <c:v>0.408508073597846</c:v>
                  </c:pt>
                  <c:pt idx="15">
                    <c:v>0.258289193262424</c:v>
                  </c:pt>
                </c:numCache>
              </c:numRef>
            </c:minus>
          </c:errBars>
          <c:xVal>
            <c:numRef>
              <c:f>Metabolites!$E$4:$E$19</c:f>
              <c:numCache>
                <c:formatCode>0</c:formatCode>
                <c:ptCount val="16"/>
                <c:pt idx="0">
                  <c:v>0.166666666666667</c:v>
                </c:pt>
                <c:pt idx="1">
                  <c:v>2.0</c:v>
                </c:pt>
                <c:pt idx="2">
                  <c:v>3.333333333333333</c:v>
                </c:pt>
                <c:pt idx="3">
                  <c:v>4.666666666666667</c:v>
                </c:pt>
                <c:pt idx="4">
                  <c:v>6.0</c:v>
                </c:pt>
                <c:pt idx="5">
                  <c:v>7.333333333333332</c:v>
                </c:pt>
                <c:pt idx="6">
                  <c:v>10.33333333333333</c:v>
                </c:pt>
                <c:pt idx="7">
                  <c:v>11.66666666666667</c:v>
                </c:pt>
                <c:pt idx="8">
                  <c:v>13.0</c:v>
                </c:pt>
                <c:pt idx="9">
                  <c:v>14.33333333333333</c:v>
                </c:pt>
                <c:pt idx="10">
                  <c:v>15.66666666666667</c:v>
                </c:pt>
                <c:pt idx="11">
                  <c:v>17.0</c:v>
                </c:pt>
                <c:pt idx="12">
                  <c:v>18.33333333333333</c:v>
                </c:pt>
                <c:pt idx="13">
                  <c:v>24.0</c:v>
                </c:pt>
                <c:pt idx="14">
                  <c:v>30.0</c:v>
                </c:pt>
                <c:pt idx="15">
                  <c:v>48.0</c:v>
                </c:pt>
              </c:numCache>
            </c:numRef>
          </c:xVal>
          <c:yVal>
            <c:numRef>
              <c:f>Metabolites!$L$24:$L$39</c:f>
              <c:numCache>
                <c:formatCode>0</c:formatCode>
                <c:ptCount val="16"/>
                <c:pt idx="0">
                  <c:v>1.702417432754511</c:v>
                </c:pt>
                <c:pt idx="1">
                  <c:v>2.990706402461291</c:v>
                </c:pt>
                <c:pt idx="2">
                  <c:v>3.502852476293109</c:v>
                </c:pt>
                <c:pt idx="3">
                  <c:v>4.396236826579122</c:v>
                </c:pt>
                <c:pt idx="4">
                  <c:v>8.148378416952983</c:v>
                </c:pt>
                <c:pt idx="5">
                  <c:v>13.18665849112113</c:v>
                </c:pt>
                <c:pt idx="6">
                  <c:v>29.50243692988754</c:v>
                </c:pt>
                <c:pt idx="7">
                  <c:v>39.19194791204224</c:v>
                </c:pt>
                <c:pt idx="8">
                  <c:v>47.09572745063592</c:v>
                </c:pt>
                <c:pt idx="9">
                  <c:v>52.94502823125357</c:v>
                </c:pt>
                <c:pt idx="10">
                  <c:v>54.07417615323563</c:v>
                </c:pt>
                <c:pt idx="11">
                  <c:v>54.5254783492362</c:v>
                </c:pt>
                <c:pt idx="12">
                  <c:v>55.27203103282646</c:v>
                </c:pt>
                <c:pt idx="13">
                  <c:v>57.05143779449924</c:v>
                </c:pt>
                <c:pt idx="14">
                  <c:v>55.89268865933181</c:v>
                </c:pt>
                <c:pt idx="15">
                  <c:v>57.74460293653332</c:v>
                </c:pt>
              </c:numCache>
            </c:numRef>
          </c:yVal>
          <c:smooth val="0"/>
        </c:ser>
        <c:ser>
          <c:idx val="10"/>
          <c:order val="7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'H2'!$G$107:$G$203</c:f>
              <c:numCache>
                <c:formatCode>0.0</c:formatCode>
                <c:ptCount val="97"/>
                <c:pt idx="0">
                  <c:v>0.0431724763673194</c:v>
                </c:pt>
                <c:pt idx="1">
                  <c:v>0.234565854996624</c:v>
                </c:pt>
                <c:pt idx="2">
                  <c:v>0.631858541525996</c:v>
                </c:pt>
                <c:pt idx="3">
                  <c:v>1.169827186022958</c:v>
                </c:pt>
                <c:pt idx="4">
                  <c:v>1.809471706621843</c:v>
                </c:pt>
                <c:pt idx="5">
                  <c:v>2.5537332454723</c:v>
                </c:pt>
                <c:pt idx="6">
                  <c:v>3.521429188589401</c:v>
                </c:pt>
                <c:pt idx="7">
                  <c:v>4.924956784230416</c:v>
                </c:pt>
                <c:pt idx="8">
                  <c:v>6.796938095584718</c:v>
                </c:pt>
                <c:pt idx="9">
                  <c:v>8.71261838522569</c:v>
                </c:pt>
                <c:pt idx="10">
                  <c:v>10.66701339010838</c:v>
                </c:pt>
                <c:pt idx="11">
                  <c:v>13.19115899077527</c:v>
                </c:pt>
                <c:pt idx="12">
                  <c:v>16.41335768736648</c:v>
                </c:pt>
                <c:pt idx="13">
                  <c:v>20.19710866270996</c:v>
                </c:pt>
                <c:pt idx="14">
                  <c:v>24.25225288483817</c:v>
                </c:pt>
                <c:pt idx="15">
                  <c:v>28.36438062969487</c:v>
                </c:pt>
                <c:pt idx="16">
                  <c:v>32.56453273105298</c:v>
                </c:pt>
                <c:pt idx="17">
                  <c:v>36.92067300931093</c:v>
                </c:pt>
                <c:pt idx="18">
                  <c:v>41.44899249601627</c:v>
                </c:pt>
                <c:pt idx="19">
                  <c:v>46.3240015779215</c:v>
                </c:pt>
                <c:pt idx="20">
                  <c:v>51.57795622734413</c:v>
                </c:pt>
                <c:pt idx="21">
                  <c:v>57.09565403490483</c:v>
                </c:pt>
                <c:pt idx="22">
                  <c:v>62.85074382049998</c:v>
                </c:pt>
                <c:pt idx="23">
                  <c:v>68.77697145958379</c:v>
                </c:pt>
                <c:pt idx="24">
                  <c:v>75.0199128602578</c:v>
                </c:pt>
                <c:pt idx="25">
                  <c:v>82.41581053781988</c:v>
                </c:pt>
                <c:pt idx="26">
                  <c:v>90.01182458712318</c:v>
                </c:pt>
                <c:pt idx="27">
                  <c:v>96.7891677257431</c:v>
                </c:pt>
                <c:pt idx="28">
                  <c:v>103.6080800085182</c:v>
                </c:pt>
                <c:pt idx="29">
                  <c:v>109.5572594795674</c:v>
                </c:pt>
                <c:pt idx="30">
                  <c:v>112.9910937723472</c:v>
                </c:pt>
                <c:pt idx="31">
                  <c:v>114.2516133941978</c:v>
                </c:pt>
                <c:pt idx="32">
                  <c:v>114.6722222789854</c:v>
                </c:pt>
                <c:pt idx="33">
                  <c:v>114.8659929913706</c:v>
                </c:pt>
                <c:pt idx="34">
                  <c:v>114.9592009052809</c:v>
                </c:pt>
                <c:pt idx="35">
                  <c:v>115.0090376504943</c:v>
                </c:pt>
                <c:pt idx="36">
                  <c:v>115.0421262274397</c:v>
                </c:pt>
                <c:pt idx="37">
                  <c:v>115.0665506855233</c:v>
                </c:pt>
                <c:pt idx="38">
                  <c:v>115.0884599105585</c:v>
                </c:pt>
                <c:pt idx="39">
                  <c:v>115.1076305461879</c:v>
                </c:pt>
                <c:pt idx="40">
                  <c:v>115.1245759504778</c:v>
                </c:pt>
                <c:pt idx="41">
                  <c:v>115.1411787761973</c:v>
                </c:pt>
                <c:pt idx="42">
                  <c:v>115.1574395331358</c:v>
                </c:pt>
                <c:pt idx="43">
                  <c:v>115.1733582212933</c:v>
                </c:pt>
                <c:pt idx="44">
                  <c:v>115.1885066174569</c:v>
                </c:pt>
                <c:pt idx="45">
                  <c:v>115.2022857189175</c:v>
                </c:pt>
                <c:pt idx="46">
                  <c:v>115.2168779346935</c:v>
                </c:pt>
                <c:pt idx="47">
                  <c:v>115.2336525594878</c:v>
                </c:pt>
                <c:pt idx="48">
                  <c:v>115.251798741176</c:v>
                </c:pt>
                <c:pt idx="49">
                  <c:v>115.2703486761793</c:v>
                </c:pt>
                <c:pt idx="50">
                  <c:v>115.2897625451427</c:v>
                </c:pt>
                <c:pt idx="51">
                  <c:v>115.309039917957</c:v>
                </c:pt>
                <c:pt idx="52">
                  <c:v>115.3265899645025</c:v>
                </c:pt>
                <c:pt idx="53">
                  <c:v>115.3450949424408</c:v>
                </c:pt>
                <c:pt idx="54">
                  <c:v>115.3658277325282</c:v>
                </c:pt>
                <c:pt idx="55">
                  <c:v>115.3866515200484</c:v>
                </c:pt>
                <c:pt idx="56">
                  <c:v>115.4067023710414</c:v>
                </c:pt>
                <c:pt idx="57">
                  <c:v>115.4271621688304</c:v>
                </c:pt>
                <c:pt idx="58">
                  <c:v>115.44698498459</c:v>
                </c:pt>
                <c:pt idx="59">
                  <c:v>115.4670352939316</c:v>
                </c:pt>
                <c:pt idx="60">
                  <c:v>115.4890601766505</c:v>
                </c:pt>
                <c:pt idx="61">
                  <c:v>115.5128430935428</c:v>
                </c:pt>
                <c:pt idx="62">
                  <c:v>115.5354632644073</c:v>
                </c:pt>
                <c:pt idx="63">
                  <c:v>115.5582767454054</c:v>
                </c:pt>
                <c:pt idx="64">
                  <c:v>115.584384000263</c:v>
                </c:pt>
                <c:pt idx="65">
                  <c:v>115.6097647552452</c:v>
                </c:pt>
                <c:pt idx="66">
                  <c:v>115.6348067847096</c:v>
                </c:pt>
                <c:pt idx="67">
                  <c:v>115.6619319472561</c:v>
                </c:pt>
                <c:pt idx="68">
                  <c:v>115.6874102228729</c:v>
                </c:pt>
                <c:pt idx="69">
                  <c:v>115.7154073006791</c:v>
                </c:pt>
                <c:pt idx="70">
                  <c:v>115.7515412924995</c:v>
                </c:pt>
                <c:pt idx="71">
                  <c:v>115.7863186511132</c:v>
                </c:pt>
                <c:pt idx="72">
                  <c:v>115.8179476512515</c:v>
                </c:pt>
                <c:pt idx="73">
                  <c:v>115.8504000948547</c:v>
                </c:pt>
                <c:pt idx="74">
                  <c:v>115.8807699824209</c:v>
                </c:pt>
                <c:pt idx="75">
                  <c:v>115.911333757166</c:v>
                </c:pt>
                <c:pt idx="76">
                  <c:v>115.9443678623057</c:v>
                </c:pt>
                <c:pt idx="77">
                  <c:v>115.976820882954</c:v>
                </c:pt>
                <c:pt idx="78">
                  <c:v>116.0089830728342</c:v>
                </c:pt>
                <c:pt idx="79">
                  <c:v>116.0413385728479</c:v>
                </c:pt>
                <c:pt idx="80">
                  <c:v>116.0743721009425</c:v>
                </c:pt>
                <c:pt idx="81">
                  <c:v>116.1087622622437</c:v>
                </c:pt>
                <c:pt idx="82">
                  <c:v>116.1429591134113</c:v>
                </c:pt>
                <c:pt idx="83">
                  <c:v>116.1765743030423</c:v>
                </c:pt>
                <c:pt idx="84">
                  <c:v>116.2115940206296</c:v>
                </c:pt>
                <c:pt idx="85">
                  <c:v>116.245645456413</c:v>
                </c:pt>
                <c:pt idx="86">
                  <c:v>116.2758220338456</c:v>
                </c:pt>
                <c:pt idx="87">
                  <c:v>116.3072577238502</c:v>
                </c:pt>
                <c:pt idx="88">
                  <c:v>116.3389836675779</c:v>
                </c:pt>
                <c:pt idx="89">
                  <c:v>116.3689657807865</c:v>
                </c:pt>
                <c:pt idx="90">
                  <c:v>116.3976403096282</c:v>
                </c:pt>
                <c:pt idx="91">
                  <c:v>116.4305289993838</c:v>
                </c:pt>
                <c:pt idx="92">
                  <c:v>116.461528443236</c:v>
                </c:pt>
                <c:pt idx="93">
                  <c:v>116.4835184807693</c:v>
                </c:pt>
                <c:pt idx="94">
                  <c:v>116.5061386516337</c:v>
                </c:pt>
                <c:pt idx="95">
                  <c:v>116.5285170405698</c:v>
                </c:pt>
                <c:pt idx="96">
                  <c:v>116.5530703750573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256328"/>
        <c:axId val="-2112776584"/>
      </c:scatterChart>
      <c:scatterChart>
        <c:scatterStyle val="lineMarker"/>
        <c:varyColors val="0"/>
        <c:ser>
          <c:idx val="8"/>
          <c:order val="6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10765.0</c:v>
                </c:pt>
                <c:pt idx="1">
                  <c:v>13743.0</c:v>
                </c:pt>
                <c:pt idx="2">
                  <c:v>17467.0</c:v>
                </c:pt>
                <c:pt idx="3">
                  <c:v>33883.0</c:v>
                </c:pt>
                <c:pt idx="4">
                  <c:v>7769.0</c:v>
                </c:pt>
                <c:pt idx="5">
                  <c:v>15219.0</c:v>
                </c:pt>
                <c:pt idx="6">
                  <c:v>29038.0</c:v>
                </c:pt>
                <c:pt idx="7">
                  <c:v>27803.0</c:v>
                </c:pt>
                <c:pt idx="8">
                  <c:v>36500.0</c:v>
                </c:pt>
                <c:pt idx="9">
                  <c:v>40307.0</c:v>
                </c:pt>
              </c:numCache>
            </c:numRef>
          </c:yVal>
          <c:smooth val="0"/>
        </c:ser>
        <c:ser>
          <c:idx val="5"/>
          <c:order val="8"/>
          <c:tx>
            <c:v>OD 600 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OD600nm!$J$4:$J$19</c:f>
                <c:numCache>
                  <c:formatCode>General</c:formatCode>
                  <c:ptCount val="16"/>
                  <c:pt idx="0">
                    <c:v>5.44133936696422E-17</c:v>
                  </c:pt>
                  <c:pt idx="1">
                    <c:v>0.0</c:v>
                  </c:pt>
                  <c:pt idx="2">
                    <c:v>0.0697728953892555</c:v>
                  </c:pt>
                  <c:pt idx="3">
                    <c:v>0.112049</c:v>
                  </c:pt>
                  <c:pt idx="4">
                    <c:v>0.056214736540638</c:v>
                  </c:pt>
                  <c:pt idx="5">
                    <c:v>0.0402833999351263</c:v>
                  </c:pt>
                  <c:pt idx="6">
                    <c:v>0.16007</c:v>
                  </c:pt>
                  <c:pt idx="7">
                    <c:v>0.0184832915178367</c:v>
                  </c:pt>
                  <c:pt idx="8">
                    <c:v>0.406632413392407</c:v>
                  </c:pt>
                  <c:pt idx="9">
                    <c:v>0.462082287945917</c:v>
                  </c:pt>
                  <c:pt idx="10">
                    <c:v>0.432287797349559</c:v>
                  </c:pt>
                  <c:pt idx="11">
                    <c:v>0.242406095709933</c:v>
                  </c:pt>
                  <c:pt idx="12">
                    <c:v>0.187584921380513</c:v>
                  </c:pt>
                  <c:pt idx="13">
                    <c:v>0.0847010824724219</c:v>
                  </c:pt>
                  <c:pt idx="14">
                    <c:v>0.163501404007223</c:v>
                  </c:pt>
                  <c:pt idx="15">
                    <c:v>0.032014</c:v>
                  </c:pt>
                </c:numCache>
              </c:numRef>
            </c:plus>
            <c:minus>
              <c:numRef>
                <c:f>OD600nm!$J$4:$J$19</c:f>
                <c:numCache>
                  <c:formatCode>General</c:formatCode>
                  <c:ptCount val="16"/>
                  <c:pt idx="0">
                    <c:v>5.44133936696422E-17</c:v>
                  </c:pt>
                  <c:pt idx="1">
                    <c:v>0.0</c:v>
                  </c:pt>
                  <c:pt idx="2">
                    <c:v>0.0697728953892555</c:v>
                  </c:pt>
                  <c:pt idx="3">
                    <c:v>0.112049</c:v>
                  </c:pt>
                  <c:pt idx="4">
                    <c:v>0.056214736540638</c:v>
                  </c:pt>
                  <c:pt idx="5">
                    <c:v>0.0402833999351263</c:v>
                  </c:pt>
                  <c:pt idx="6">
                    <c:v>0.16007</c:v>
                  </c:pt>
                  <c:pt idx="7">
                    <c:v>0.0184832915178367</c:v>
                  </c:pt>
                  <c:pt idx="8">
                    <c:v>0.406632413392407</c:v>
                  </c:pt>
                  <c:pt idx="9">
                    <c:v>0.462082287945917</c:v>
                  </c:pt>
                  <c:pt idx="10">
                    <c:v>0.432287797349559</c:v>
                  </c:pt>
                  <c:pt idx="11">
                    <c:v>0.242406095709933</c:v>
                  </c:pt>
                  <c:pt idx="12">
                    <c:v>0.187584921380513</c:v>
                  </c:pt>
                  <c:pt idx="13">
                    <c:v>0.0847010824724219</c:v>
                  </c:pt>
                  <c:pt idx="14">
                    <c:v>0.163501404007223</c:v>
                  </c:pt>
                  <c:pt idx="15">
                    <c:v>0.032014</c:v>
                  </c:pt>
                </c:numCache>
              </c:numRef>
            </c:minus>
          </c:errBars>
          <c:xVal>
            <c:numRef>
              <c:f>(OD600nm!$D$4,OD600nm!$D$6:$D$19)</c:f>
              <c:numCache>
                <c:formatCode>0</c:formatCode>
                <c:ptCount val="15"/>
                <c:pt idx="0">
                  <c:v>0.166666666666667</c:v>
                </c:pt>
                <c:pt idx="1">
                  <c:v>3.333333333333333</c:v>
                </c:pt>
                <c:pt idx="2">
                  <c:v>4.666666666666667</c:v>
                </c:pt>
                <c:pt idx="3">
                  <c:v>6.0</c:v>
                </c:pt>
                <c:pt idx="4">
                  <c:v>7.333333333333332</c:v>
                </c:pt>
                <c:pt idx="5">
                  <c:v>10.33333333333333</c:v>
                </c:pt>
                <c:pt idx="6">
                  <c:v>11.66666666666667</c:v>
                </c:pt>
                <c:pt idx="7">
                  <c:v>13.0</c:v>
                </c:pt>
                <c:pt idx="8">
                  <c:v>14.33333333333333</c:v>
                </c:pt>
                <c:pt idx="9">
                  <c:v>15.66666666666667</c:v>
                </c:pt>
                <c:pt idx="10">
                  <c:v>17.0</c:v>
                </c:pt>
                <c:pt idx="11">
                  <c:v>18.33333333333333</c:v>
                </c:pt>
                <c:pt idx="12">
                  <c:v>24.0</c:v>
                </c:pt>
                <c:pt idx="13">
                  <c:v>30.0</c:v>
                </c:pt>
                <c:pt idx="14">
                  <c:v>48.0</c:v>
                </c:pt>
              </c:numCache>
            </c:numRef>
          </c:xVal>
          <c:yVal>
            <c:numRef>
              <c:f>(OD600nm!$I$4,OD600nm!$I$6:$I$19)</c:f>
              <c:numCache>
                <c:formatCode>0.000</c:formatCode>
                <c:ptCount val="15"/>
                <c:pt idx="0">
                  <c:v>0.2955344</c:v>
                </c:pt>
                <c:pt idx="1">
                  <c:v>0.714364</c:v>
                </c:pt>
                <c:pt idx="2">
                  <c:v>1.00249</c:v>
                </c:pt>
                <c:pt idx="3">
                  <c:v>1.861532333333333</c:v>
                </c:pt>
                <c:pt idx="4">
                  <c:v>2.757924333333333</c:v>
                </c:pt>
                <c:pt idx="5">
                  <c:v>5.078324</c:v>
                </c:pt>
                <c:pt idx="6">
                  <c:v>6.465597333333334</c:v>
                </c:pt>
                <c:pt idx="7">
                  <c:v>7.020506666666668</c:v>
                </c:pt>
                <c:pt idx="8">
                  <c:v>7.137891333333334</c:v>
                </c:pt>
                <c:pt idx="9">
                  <c:v>6.337541333333334</c:v>
                </c:pt>
                <c:pt idx="10">
                  <c:v>5.281079333333334</c:v>
                </c:pt>
                <c:pt idx="11">
                  <c:v>4.960939333333333</c:v>
                </c:pt>
                <c:pt idx="12">
                  <c:v>3.733735999999999</c:v>
                </c:pt>
                <c:pt idx="13">
                  <c:v>2.592518666666667</c:v>
                </c:pt>
                <c:pt idx="14">
                  <c:v>1.450686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967816"/>
        <c:axId val="-2112438216"/>
      </c:scatterChart>
      <c:valAx>
        <c:axId val="-2076256328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112776584"/>
        <c:crosses val="autoZero"/>
        <c:crossBetween val="midCat"/>
        <c:majorUnit val="6.0"/>
      </c:valAx>
      <c:valAx>
        <c:axId val="-2112776584"/>
        <c:scaling>
          <c:orientation val="minMax"/>
          <c:max val="15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-2076256328"/>
        <c:crosses val="autoZero"/>
        <c:crossBetween val="midCat"/>
      </c:valAx>
      <c:valAx>
        <c:axId val="-2112438216"/>
        <c:scaling>
          <c:orientation val="minMax"/>
          <c:max val="9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 i="0" kern="1200" baseline="0">
                    <a:solidFill>
                      <a:srgbClr val="000000"/>
                    </a:solidFill>
                    <a:effectLst/>
                  </a:rPr>
                  <a:t>cell growth (OD 600 nm)</a:t>
                </a:r>
                <a:endParaRPr lang="en-US" sz="1050">
                  <a:effectLst/>
                </a:endParaRP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-2106967816"/>
        <c:crosses val="max"/>
        <c:crossBetween val="midCat"/>
        <c:majorUnit val="1.0"/>
        <c:minorUnit val="0.2"/>
      </c:valAx>
      <c:valAx>
        <c:axId val="-2106967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211243821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73100" y="3733800"/>
    <xdr:ext cx="9296400" cy="6070600"/>
    <xdr:graphicFrame macro="">
      <xdr:nvGraphicFramePr>
        <xdr:cNvPr id="3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73100" y="10312400"/>
    <xdr:ext cx="9296400" cy="6070600"/>
    <xdr:graphicFrame macro="">
      <xdr:nvGraphicFramePr>
        <xdr:cNvPr id="4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436880</xdr:colOff>
      <xdr:row>21</xdr:row>
      <xdr:rowOff>0</xdr:rowOff>
    </xdr:from>
    <xdr:to>
      <xdr:col>22</xdr:col>
      <xdr:colOff>152400</xdr:colOff>
      <xdr:row>46</xdr:row>
      <xdr:rowOff>5080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G18" sqref="G18"/>
    </sheetView>
  </sheetViews>
  <sheetFormatPr baseColWidth="10" defaultColWidth="8.83203125" defaultRowHeight="14" x14ac:dyDescent="0"/>
  <cols>
    <col min="1" max="1" width="22.5" style="2" bestFit="1" customWidth="1"/>
    <col min="2" max="2" width="13.6640625" style="2" bestFit="1" customWidth="1"/>
    <col min="3" max="3" width="27.1640625" style="2" customWidth="1"/>
    <col min="4" max="16384" width="8.83203125" style="2"/>
  </cols>
  <sheetData>
    <row r="1" spans="1:3">
      <c r="A1" s="118" t="s">
        <v>0</v>
      </c>
      <c r="B1" s="119"/>
      <c r="C1" s="34">
        <v>41843</v>
      </c>
    </row>
    <row r="2" spans="1:3" ht="16">
      <c r="A2" s="118" t="s">
        <v>1</v>
      </c>
      <c r="B2" s="120"/>
      <c r="C2" s="32" t="s">
        <v>117</v>
      </c>
    </row>
    <row r="3" spans="1:3">
      <c r="A3" s="11"/>
      <c r="B3" s="11"/>
      <c r="C3" s="10"/>
    </row>
    <row r="4" spans="1:3">
      <c r="A4" s="121" t="s">
        <v>48</v>
      </c>
      <c r="B4" s="121"/>
      <c r="C4" s="7" t="s">
        <v>95</v>
      </c>
    </row>
    <row r="6" spans="1:3">
      <c r="A6" s="41" t="s">
        <v>82</v>
      </c>
      <c r="B6" s="41" t="s">
        <v>83</v>
      </c>
      <c r="C6" s="41" t="s">
        <v>68</v>
      </c>
    </row>
    <row r="7" spans="1:3">
      <c r="A7" s="37" t="s">
        <v>84</v>
      </c>
      <c r="B7" s="80">
        <v>6.5</v>
      </c>
      <c r="C7" s="37" t="s">
        <v>91</v>
      </c>
    </row>
    <row r="8" spans="1:3">
      <c r="A8" s="37" t="s">
        <v>85</v>
      </c>
      <c r="B8" s="80">
        <v>5</v>
      </c>
      <c r="C8" s="37" t="s">
        <v>91</v>
      </c>
    </row>
    <row r="9" spans="1:3">
      <c r="A9" s="37" t="s">
        <v>86</v>
      </c>
      <c r="B9" s="80">
        <v>2.5</v>
      </c>
      <c r="C9" s="37" t="s">
        <v>91</v>
      </c>
    </row>
    <row r="10" spans="1:3">
      <c r="A10" s="37" t="s">
        <v>87</v>
      </c>
      <c r="B10" s="80">
        <v>3</v>
      </c>
      <c r="C10" s="37" t="s">
        <v>91</v>
      </c>
    </row>
    <row r="11" spans="1:3">
      <c r="A11" s="30" t="s">
        <v>88</v>
      </c>
      <c r="B11" s="81">
        <v>6.8</v>
      </c>
      <c r="C11" s="30" t="s">
        <v>91</v>
      </c>
    </row>
    <row r="12" spans="1:3">
      <c r="A12" s="37" t="s">
        <v>72</v>
      </c>
      <c r="B12" s="80">
        <v>1.5</v>
      </c>
      <c r="C12" s="37" t="s">
        <v>91</v>
      </c>
    </row>
    <row r="13" spans="1:3" ht="16">
      <c r="A13" s="40" t="s">
        <v>76</v>
      </c>
      <c r="B13" s="80">
        <v>1</v>
      </c>
      <c r="C13" s="37" t="s">
        <v>91</v>
      </c>
    </row>
    <row r="14" spans="1:3" ht="16">
      <c r="A14" s="10" t="s">
        <v>75</v>
      </c>
      <c r="B14" s="80">
        <v>1</v>
      </c>
      <c r="C14" s="37" t="s">
        <v>91</v>
      </c>
    </row>
    <row r="15" spans="1:3" ht="16">
      <c r="A15" s="69" t="s">
        <v>153</v>
      </c>
      <c r="B15" s="69">
        <v>2</v>
      </c>
      <c r="C15" s="69" t="s">
        <v>91</v>
      </c>
    </row>
    <row r="16" spans="1:3" ht="16">
      <c r="A16" s="37" t="s">
        <v>96</v>
      </c>
      <c r="B16" s="80">
        <v>1</v>
      </c>
      <c r="C16" s="37" t="s">
        <v>91</v>
      </c>
    </row>
    <row r="17" spans="1:3" ht="16">
      <c r="A17" s="37" t="s">
        <v>97</v>
      </c>
      <c r="B17" s="80">
        <v>1</v>
      </c>
      <c r="C17" s="37" t="s">
        <v>91</v>
      </c>
    </row>
    <row r="18" spans="1:3" ht="16">
      <c r="A18" s="37" t="s">
        <v>98</v>
      </c>
      <c r="B18" s="80">
        <v>0.4</v>
      </c>
      <c r="C18" s="37" t="s">
        <v>91</v>
      </c>
    </row>
    <row r="19" spans="1:3" ht="16">
      <c r="A19" s="37" t="s">
        <v>74</v>
      </c>
      <c r="B19" s="80">
        <v>0.2</v>
      </c>
      <c r="C19" s="37" t="s">
        <v>91</v>
      </c>
    </row>
    <row r="20" spans="1:3" ht="16">
      <c r="A20" s="37" t="s">
        <v>99</v>
      </c>
      <c r="B20" s="80">
        <v>0.1</v>
      </c>
      <c r="C20" s="37" t="s">
        <v>91</v>
      </c>
    </row>
    <row r="21" spans="1:3" ht="16">
      <c r="A21" s="37" t="s">
        <v>100</v>
      </c>
      <c r="B21" s="80">
        <v>0.05</v>
      </c>
      <c r="C21" s="37" t="s">
        <v>91</v>
      </c>
    </row>
    <row r="22" spans="1:3" ht="16">
      <c r="A22" s="37" t="s">
        <v>101</v>
      </c>
      <c r="B22" s="51">
        <v>5.0000000000000001E-3</v>
      </c>
      <c r="C22" s="37" t="s">
        <v>91</v>
      </c>
    </row>
    <row r="23" spans="1:3" ht="16">
      <c r="A23" s="37" t="s">
        <v>102</v>
      </c>
      <c r="B23" s="51">
        <v>5.0000000000000001E-3</v>
      </c>
      <c r="C23" s="37" t="s">
        <v>91</v>
      </c>
    </row>
    <row r="24" spans="1:3">
      <c r="A24" s="37" t="s">
        <v>89</v>
      </c>
      <c r="B24" s="51">
        <v>5.0000000000000001E-3</v>
      </c>
      <c r="C24" s="37" t="s">
        <v>91</v>
      </c>
    </row>
    <row r="25" spans="1:3">
      <c r="A25" s="37" t="s">
        <v>90</v>
      </c>
      <c r="B25" s="51">
        <v>5.0000000000000001E-3</v>
      </c>
      <c r="C25" s="37" t="s">
        <v>91</v>
      </c>
    </row>
    <row r="26" spans="1:3">
      <c r="A26" s="37" t="s">
        <v>73</v>
      </c>
      <c r="B26" s="51">
        <v>1E-3</v>
      </c>
      <c r="C26" s="37" t="s">
        <v>148</v>
      </c>
    </row>
    <row r="27" spans="1:3">
      <c r="A27" s="37" t="s">
        <v>92</v>
      </c>
      <c r="B27" s="80" t="s">
        <v>91</v>
      </c>
      <c r="C27" s="37" t="s">
        <v>93</v>
      </c>
    </row>
    <row r="28" spans="1:3">
      <c r="A28" s="37" t="s">
        <v>94</v>
      </c>
      <c r="B28" s="80" t="s">
        <v>91</v>
      </c>
      <c r="C28" s="37" t="s">
        <v>93</v>
      </c>
    </row>
    <row r="29" spans="1:3">
      <c r="A29" s="30" t="s">
        <v>144</v>
      </c>
      <c r="B29" s="81">
        <v>9</v>
      </c>
      <c r="C29" s="30" t="s">
        <v>159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202"/>
  <sheetViews>
    <sheetView topLeftCell="A39" zoomScale="98" zoomScaleNormal="98" zoomScalePageLayoutView="98" workbookViewId="0">
      <selection activeCell="F106" sqref="F106:F202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7">
      <c r="A1" s="8" t="s">
        <v>49</v>
      </c>
      <c r="B1" s="12">
        <v>70</v>
      </c>
      <c r="C1" s="9" t="s">
        <v>50</v>
      </c>
    </row>
    <row r="3" spans="1:7">
      <c r="A3" s="121" t="s">
        <v>5</v>
      </c>
      <c r="B3" s="121" t="s">
        <v>36</v>
      </c>
      <c r="C3" s="121"/>
      <c r="D3" s="121" t="s">
        <v>51</v>
      </c>
      <c r="E3" s="121"/>
      <c r="F3" s="121"/>
      <c r="G3" s="8" t="s">
        <v>52</v>
      </c>
    </row>
    <row r="4" spans="1:7">
      <c r="A4" s="121"/>
      <c r="B4" s="8" t="s">
        <v>53</v>
      </c>
      <c r="C4" s="8" t="s">
        <v>54</v>
      </c>
      <c r="D4" s="8" t="s">
        <v>55</v>
      </c>
      <c r="E4" s="8" t="s">
        <v>56</v>
      </c>
      <c r="F4" s="8" t="s">
        <v>57</v>
      </c>
      <c r="G4" s="8" t="s">
        <v>58</v>
      </c>
    </row>
    <row r="5" spans="1:7">
      <c r="A5" s="35">
        <v>0</v>
      </c>
      <c r="B5" s="12">
        <v>2447.7800000000002</v>
      </c>
      <c r="C5" s="36">
        <f>B5/1000</f>
        <v>2.4477800000000003</v>
      </c>
      <c r="D5" s="12">
        <f>C5/1000*$B$1</f>
        <v>0.17134460000000001</v>
      </c>
      <c r="E5" s="12">
        <f>D5/22.4</f>
        <v>7.6493125000000007E-3</v>
      </c>
      <c r="F5" s="12">
        <f>E5/Calculation!K$4*1000</f>
        <v>5.1649645509790681E-3</v>
      </c>
      <c r="G5" s="12">
        <f>(0+F5)/2*30</f>
        <v>7.7474468264686028E-2</v>
      </c>
    </row>
    <row r="6" spans="1:7">
      <c r="A6" s="35">
        <v>0.5</v>
      </c>
      <c r="B6" s="12">
        <v>2720.82</v>
      </c>
      <c r="C6" s="36">
        <f t="shared" ref="C6:C69" si="0">B6/1000</f>
        <v>2.7208200000000002</v>
      </c>
      <c r="D6" s="12">
        <f t="shared" ref="D6:D69" si="1">C6/1000*$B$1</f>
        <v>0.1904574</v>
      </c>
      <c r="E6" s="12">
        <f t="shared" ref="E6:E69" si="2">D6/22.4</f>
        <v>8.5025624999999997E-3</v>
      </c>
      <c r="F6" s="12">
        <f>E6/Calculation!K$4*1000</f>
        <v>5.7410955435516541E-3</v>
      </c>
      <c r="G6" s="12">
        <f>G5+(F6+F5)/2*30</f>
        <v>0.24106536968264686</v>
      </c>
    </row>
    <row r="7" spans="1:7">
      <c r="A7" s="35">
        <v>1</v>
      </c>
      <c r="B7" s="12">
        <v>3006.53</v>
      </c>
      <c r="C7" s="36">
        <f t="shared" si="0"/>
        <v>3.0065300000000001</v>
      </c>
      <c r="D7" s="12">
        <f t="shared" si="1"/>
        <v>0.21045710000000001</v>
      </c>
      <c r="E7" s="12">
        <f t="shared" si="2"/>
        <v>9.3954062500000001E-3</v>
      </c>
      <c r="F7" s="12">
        <f>E7/Calculation!K$4*1000</f>
        <v>6.3439610060769753E-3</v>
      </c>
      <c r="G7" s="12">
        <f>G6+(F7+F6)/2*30</f>
        <v>0.4223412179270763</v>
      </c>
    </row>
    <row r="8" spans="1:7">
      <c r="A8" s="35">
        <v>1.5</v>
      </c>
      <c r="B8" s="12">
        <v>3332.65</v>
      </c>
      <c r="C8" s="36">
        <f t="shared" si="0"/>
        <v>3.3326500000000001</v>
      </c>
      <c r="D8" s="12">
        <f t="shared" si="1"/>
        <v>0.23328550000000001</v>
      </c>
      <c r="E8" s="12">
        <f t="shared" si="2"/>
        <v>1.0414531250000001E-2</v>
      </c>
      <c r="F8" s="12">
        <f>E8/Calculation!K$4*1000</f>
        <v>7.0320940243079012E-3</v>
      </c>
      <c r="G8" s="12">
        <f t="shared" ref="G8:G70" si="3">G7+(F8+F7)/2*30</f>
        <v>0.62298204338284946</v>
      </c>
    </row>
    <row r="9" spans="1:7">
      <c r="A9" s="35">
        <v>2</v>
      </c>
      <c r="B9" s="12">
        <v>3620.95</v>
      </c>
      <c r="C9" s="36">
        <f t="shared" si="0"/>
        <v>3.6209499999999997</v>
      </c>
      <c r="D9" s="12">
        <f t="shared" si="1"/>
        <v>0.25346649999999998</v>
      </c>
      <c r="E9" s="12">
        <f t="shared" si="2"/>
        <v>1.131546875E-2</v>
      </c>
      <c r="F9" s="12">
        <f>E9/Calculation!K$5*1000</f>
        <v>7.8687346591690254E-3</v>
      </c>
      <c r="G9" s="12">
        <f t="shared" si="3"/>
        <v>0.8464944736350033</v>
      </c>
    </row>
    <row r="10" spans="1:7">
      <c r="A10" s="35">
        <v>2.5</v>
      </c>
      <c r="B10" s="12">
        <v>3956</v>
      </c>
      <c r="C10" s="36">
        <f t="shared" si="0"/>
        <v>3.956</v>
      </c>
      <c r="D10" s="12">
        <f t="shared" si="1"/>
        <v>0.27692</v>
      </c>
      <c r="E10" s="12">
        <f t="shared" si="2"/>
        <v>1.23625E-2</v>
      </c>
      <c r="F10" s="12">
        <f>E10/Calculation!K$5*1000</f>
        <v>8.5968362754726413E-3</v>
      </c>
      <c r="G10" s="12">
        <f t="shared" si="3"/>
        <v>1.0934780376546283</v>
      </c>
    </row>
    <row r="11" spans="1:7">
      <c r="A11" s="35">
        <v>3</v>
      </c>
      <c r="B11" s="12">
        <v>4711.6499999999996</v>
      </c>
      <c r="C11" s="36">
        <f t="shared" si="0"/>
        <v>4.7116499999999997</v>
      </c>
      <c r="D11" s="12">
        <f t="shared" si="1"/>
        <v>0.32981549999999998</v>
      </c>
      <c r="E11" s="12">
        <f t="shared" si="2"/>
        <v>1.472390625E-2</v>
      </c>
      <c r="F11" s="12">
        <f>E11/Calculation!K$5*1000</f>
        <v>1.0238949352206945E-2</v>
      </c>
      <c r="G11" s="12">
        <f t="shared" si="3"/>
        <v>1.3760148220698221</v>
      </c>
    </row>
    <row r="12" spans="1:7">
      <c r="A12" s="35">
        <v>3.5</v>
      </c>
      <c r="B12" s="12">
        <v>5833.19</v>
      </c>
      <c r="C12" s="36">
        <f t="shared" si="0"/>
        <v>5.8331899999999992</v>
      </c>
      <c r="D12" s="12">
        <f t="shared" si="1"/>
        <v>0.40832329999999994</v>
      </c>
      <c r="E12" s="12">
        <f t="shared" si="2"/>
        <v>1.8228718749999998E-2</v>
      </c>
      <c r="F12" s="12">
        <f>E12/Calculation!K$6*1000</f>
        <v>1.3103572095481545E-2</v>
      </c>
      <c r="G12" s="12">
        <f t="shared" si="3"/>
        <v>1.7261526437851493</v>
      </c>
    </row>
    <row r="13" spans="1:7">
      <c r="A13" s="35">
        <v>4</v>
      </c>
      <c r="B13" s="12">
        <v>7412.18</v>
      </c>
      <c r="C13" s="36">
        <f t="shared" si="0"/>
        <v>7.4121800000000002</v>
      </c>
      <c r="D13" s="12">
        <f t="shared" si="1"/>
        <v>0.5188526</v>
      </c>
      <c r="E13" s="12">
        <f t="shared" si="2"/>
        <v>2.3163062500000001E-2</v>
      </c>
      <c r="F13" s="12">
        <f>E13/Calculation!K$6*1000</f>
        <v>1.665058655978743E-2</v>
      </c>
      <c r="G13" s="12">
        <f t="shared" si="3"/>
        <v>2.1724650236141838</v>
      </c>
    </row>
    <row r="14" spans="1:7">
      <c r="A14" s="35">
        <v>4.5</v>
      </c>
      <c r="B14" s="12">
        <v>8388.92</v>
      </c>
      <c r="C14" s="36">
        <f t="shared" si="0"/>
        <v>8.3889200000000006</v>
      </c>
      <c r="D14" s="12">
        <f t="shared" si="1"/>
        <v>0.58722440000000009</v>
      </c>
      <c r="E14" s="12">
        <f t="shared" si="2"/>
        <v>2.6215375000000006E-2</v>
      </c>
      <c r="F14" s="12">
        <f>E14/Calculation!K$6*1000</f>
        <v>1.8844717559898975E-2</v>
      </c>
      <c r="G14" s="12">
        <f t="shared" si="3"/>
        <v>2.7048945854094799</v>
      </c>
    </row>
    <row r="15" spans="1:7">
      <c r="A15" s="35">
        <v>5</v>
      </c>
      <c r="B15" s="12">
        <v>9796.82</v>
      </c>
      <c r="C15" s="36">
        <f t="shared" si="0"/>
        <v>9.7968200000000003</v>
      </c>
      <c r="D15" s="12">
        <f t="shared" si="1"/>
        <v>0.68577739999999998</v>
      </c>
      <c r="E15" s="12">
        <f t="shared" si="2"/>
        <v>3.0615062500000002E-2</v>
      </c>
      <c r="F15" s="12">
        <f>E15/Calculation!K$7*1000</f>
        <v>2.2757280283437053E-2</v>
      </c>
      <c r="G15" s="12">
        <f t="shared" si="3"/>
        <v>3.3289245530595202</v>
      </c>
    </row>
    <row r="16" spans="1:7">
      <c r="A16" s="35">
        <v>5.5</v>
      </c>
      <c r="B16" s="12">
        <v>12018.64</v>
      </c>
      <c r="C16" s="36">
        <f t="shared" si="0"/>
        <v>12.01864</v>
      </c>
      <c r="D16" s="12">
        <f t="shared" si="1"/>
        <v>0.84130479999999996</v>
      </c>
      <c r="E16" s="12">
        <f t="shared" si="2"/>
        <v>3.7558250000000001E-2</v>
      </c>
      <c r="F16" s="12">
        <f>E16/Calculation!K$7*1000</f>
        <v>2.7918402002458747E-2</v>
      </c>
      <c r="G16" s="12">
        <f t="shared" si="3"/>
        <v>4.0890597873479573</v>
      </c>
    </row>
    <row r="17" spans="1:7">
      <c r="A17" s="35">
        <v>6</v>
      </c>
      <c r="B17" s="12">
        <v>14925</v>
      </c>
      <c r="C17" s="36">
        <f t="shared" si="0"/>
        <v>14.925000000000001</v>
      </c>
      <c r="D17" s="12">
        <f t="shared" si="1"/>
        <v>1.0447500000000001</v>
      </c>
      <c r="E17" s="12">
        <f t="shared" si="2"/>
        <v>4.6640625000000005E-2</v>
      </c>
      <c r="F17" s="12">
        <f>E17/Calculation!K$8*1000</f>
        <v>3.5916387316941231E-2</v>
      </c>
      <c r="G17" s="12">
        <f t="shared" si="3"/>
        <v>5.0465816271389574</v>
      </c>
    </row>
    <row r="18" spans="1:7">
      <c r="A18" s="35">
        <v>6.5</v>
      </c>
      <c r="B18" s="12">
        <v>18711.2</v>
      </c>
      <c r="C18" s="36">
        <f t="shared" si="0"/>
        <v>18.711200000000002</v>
      </c>
      <c r="D18" s="12">
        <f t="shared" si="1"/>
        <v>1.3097840000000001</v>
      </c>
      <c r="E18" s="12">
        <f t="shared" si="2"/>
        <v>5.8472500000000004E-2</v>
      </c>
      <c r="F18" s="12">
        <f>E18/Calculation!K$8*1000</f>
        <v>4.5027719019413784E-2</v>
      </c>
      <c r="G18" s="12">
        <f t="shared" si="3"/>
        <v>6.2607432221842831</v>
      </c>
    </row>
    <row r="19" spans="1:7">
      <c r="A19" s="35">
        <v>7</v>
      </c>
      <c r="B19" s="12">
        <v>21807.66</v>
      </c>
      <c r="C19" s="36">
        <f t="shared" si="0"/>
        <v>21.807659999999998</v>
      </c>
      <c r="D19" s="12">
        <f t="shared" si="1"/>
        <v>1.5265362</v>
      </c>
      <c r="E19" s="12">
        <f t="shared" si="2"/>
        <v>6.8148937500000006E-2</v>
      </c>
      <c r="F19" s="12">
        <f>E19/Calculation!K$8*1000</f>
        <v>5.2479220303930763E-2</v>
      </c>
      <c r="G19" s="12">
        <f t="shared" si="3"/>
        <v>7.7233473120344511</v>
      </c>
    </row>
    <row r="20" spans="1:7">
      <c r="A20" s="35">
        <v>7.5</v>
      </c>
      <c r="B20" s="12">
        <v>25057.360000000001</v>
      </c>
      <c r="C20" s="36">
        <f t="shared" si="0"/>
        <v>25.057359999999999</v>
      </c>
      <c r="D20" s="12">
        <f t="shared" si="1"/>
        <v>1.7540152</v>
      </c>
      <c r="E20" s="12">
        <f t="shared" si="2"/>
        <v>7.8304250000000006E-2</v>
      </c>
      <c r="F20" s="12">
        <f>E20/Calculation!K$9*1000</f>
        <v>6.2688531889921878E-2</v>
      </c>
      <c r="G20" s="12">
        <f t="shared" si="3"/>
        <v>9.4508635949422413</v>
      </c>
    </row>
    <row r="21" spans="1:7">
      <c r="A21" s="35">
        <v>8</v>
      </c>
      <c r="B21" s="12">
        <v>28095.54</v>
      </c>
      <c r="C21" s="36">
        <f t="shared" si="0"/>
        <v>28.09554</v>
      </c>
      <c r="D21" s="12">
        <f t="shared" si="1"/>
        <v>1.9666877999999999</v>
      </c>
      <c r="E21" s="12">
        <f t="shared" si="2"/>
        <v>8.7798562499999996E-2</v>
      </c>
      <c r="F21" s="12">
        <f>E21/Calculation!K$9*1000</f>
        <v>7.0289454086726433E-2</v>
      </c>
      <c r="G21" s="12">
        <f t="shared" si="3"/>
        <v>11.445533384591966</v>
      </c>
    </row>
    <row r="22" spans="1:7">
      <c r="A22" s="35">
        <v>8.5</v>
      </c>
      <c r="B22" s="12">
        <v>31595.39</v>
      </c>
      <c r="C22" s="36">
        <f t="shared" si="0"/>
        <v>31.595389999999998</v>
      </c>
      <c r="D22" s="12">
        <f t="shared" si="1"/>
        <v>2.2116772999999998</v>
      </c>
      <c r="E22" s="12">
        <f t="shared" si="2"/>
        <v>9.8735593750000003E-2</v>
      </c>
      <c r="F22" s="12">
        <f>E22/Calculation!K$9*1000</f>
        <v>7.9045382817244866E-2</v>
      </c>
      <c r="G22" s="12">
        <f t="shared" si="3"/>
        <v>13.685555938151536</v>
      </c>
    </row>
    <row r="23" spans="1:7">
      <c r="A23" s="35">
        <v>9</v>
      </c>
      <c r="B23" s="12">
        <v>33709.9</v>
      </c>
      <c r="C23" s="36">
        <f t="shared" si="0"/>
        <v>33.709900000000005</v>
      </c>
      <c r="D23" s="12">
        <f t="shared" si="1"/>
        <v>2.3596930000000005</v>
      </c>
      <c r="E23" s="12">
        <f t="shared" si="2"/>
        <v>0.10534343750000003</v>
      </c>
      <c r="F23" s="12">
        <f>E23/Calculation!K$9*1000</f>
        <v>8.4335466352244523E-2</v>
      </c>
      <c r="G23" s="12">
        <f t="shared" si="3"/>
        <v>16.136268675693877</v>
      </c>
    </row>
    <row r="24" spans="1:7">
      <c r="A24" s="35">
        <v>9.5</v>
      </c>
      <c r="B24" s="12">
        <v>36057.040000000001</v>
      </c>
      <c r="C24" s="36">
        <f t="shared" si="0"/>
        <v>36.057040000000001</v>
      </c>
      <c r="D24" s="12">
        <f t="shared" si="1"/>
        <v>2.5239927999999998</v>
      </c>
      <c r="E24" s="12">
        <f t="shared" si="2"/>
        <v>0.11267824999999999</v>
      </c>
      <c r="F24" s="12">
        <f>E24/Calculation!K$9*1000</f>
        <v>9.0207543887152852E-2</v>
      </c>
      <c r="G24" s="12">
        <f t="shared" si="3"/>
        <v>18.754413829284839</v>
      </c>
    </row>
    <row r="25" spans="1:7">
      <c r="A25" s="35">
        <v>10</v>
      </c>
      <c r="B25" s="12">
        <v>38077.57</v>
      </c>
      <c r="C25" s="36">
        <f t="shared" si="0"/>
        <v>38.077570000000001</v>
      </c>
      <c r="D25" s="12">
        <f t="shared" si="1"/>
        <v>2.6654298999999999</v>
      </c>
      <c r="E25" s="12">
        <f t="shared" si="2"/>
        <v>0.11899240625</v>
      </c>
      <c r="F25" s="12">
        <f>E25/Calculation!K$9*1000</f>
        <v>9.5262508150728273E-2</v>
      </c>
      <c r="G25" s="12">
        <f t="shared" si="3"/>
        <v>21.536464609853056</v>
      </c>
    </row>
    <row r="26" spans="1:7">
      <c r="A26" s="35">
        <v>10.5</v>
      </c>
      <c r="B26" s="12">
        <v>40122.29</v>
      </c>
      <c r="C26" s="36">
        <f t="shared" si="0"/>
        <v>40.12229</v>
      </c>
      <c r="D26" s="12">
        <f t="shared" si="1"/>
        <v>2.8085602999999999</v>
      </c>
      <c r="E26" s="12">
        <f t="shared" si="2"/>
        <v>0.12538215625000002</v>
      </c>
      <c r="F26" s="12">
        <f>E26/Calculation!K$10*1000</f>
        <v>0.1038757653861503</v>
      </c>
      <c r="G26" s="12">
        <f t="shared" si="3"/>
        <v>24.523538712906234</v>
      </c>
    </row>
    <row r="27" spans="1:7">
      <c r="A27" s="35">
        <v>11</v>
      </c>
      <c r="B27" s="12">
        <v>41542.36</v>
      </c>
      <c r="C27" s="36">
        <f t="shared" si="0"/>
        <v>41.542360000000002</v>
      </c>
      <c r="D27" s="12">
        <f t="shared" si="1"/>
        <v>2.9079652</v>
      </c>
      <c r="E27" s="12">
        <f t="shared" si="2"/>
        <v>0.129819875</v>
      </c>
      <c r="F27" s="12">
        <f>E27/Calculation!K$10*1000</f>
        <v>0.10755229676439192</v>
      </c>
      <c r="G27" s="12">
        <f t="shared" si="3"/>
        <v>27.694959645164367</v>
      </c>
    </row>
    <row r="28" spans="1:7">
      <c r="A28" s="35">
        <v>11.5</v>
      </c>
      <c r="B28" s="12">
        <v>43365.17</v>
      </c>
      <c r="C28" s="36">
        <f t="shared" si="0"/>
        <v>43.365169999999999</v>
      </c>
      <c r="D28" s="12">
        <f t="shared" si="1"/>
        <v>3.0355619000000003</v>
      </c>
      <c r="E28" s="12">
        <f t="shared" si="2"/>
        <v>0.13551615625000002</v>
      </c>
      <c r="F28" s="12">
        <f>E28/Calculation!K$10*1000</f>
        <v>0.11227151353650361</v>
      </c>
      <c r="G28" s="12">
        <f t="shared" si="3"/>
        <v>30.992316799677802</v>
      </c>
    </row>
    <row r="29" spans="1:7">
      <c r="A29" s="35">
        <v>12</v>
      </c>
      <c r="B29" s="12">
        <v>45716.37</v>
      </c>
      <c r="C29" s="36">
        <f t="shared" si="0"/>
        <v>45.716370000000005</v>
      </c>
      <c r="D29" s="12">
        <f t="shared" si="1"/>
        <v>3.2001459000000003</v>
      </c>
      <c r="E29" s="12">
        <f t="shared" si="2"/>
        <v>0.14286365625000003</v>
      </c>
      <c r="F29" s="12">
        <f>E29/Calculation!K$11*1000</f>
        <v>0.12291097940773826</v>
      </c>
      <c r="G29" s="12">
        <f t="shared" si="3"/>
        <v>34.520054193841432</v>
      </c>
    </row>
    <row r="30" spans="1:7">
      <c r="A30" s="35">
        <v>12.5</v>
      </c>
      <c r="B30" s="12">
        <v>46876.54</v>
      </c>
      <c r="C30" s="36">
        <f t="shared" si="0"/>
        <v>46.876539999999999</v>
      </c>
      <c r="D30" s="12">
        <f t="shared" si="1"/>
        <v>3.2813577999999999</v>
      </c>
      <c r="E30" s="12">
        <f t="shared" si="2"/>
        <v>0.14648918750000001</v>
      </c>
      <c r="F30" s="12">
        <f>E30/Calculation!K$11*1000</f>
        <v>0.12603016037025727</v>
      </c>
      <c r="G30" s="12">
        <f t="shared" si="3"/>
        <v>38.254171290511366</v>
      </c>
    </row>
    <row r="31" spans="1:7">
      <c r="A31" s="35">
        <v>13</v>
      </c>
      <c r="B31" s="12">
        <v>47832.83</v>
      </c>
      <c r="C31" s="36">
        <f t="shared" si="0"/>
        <v>47.832830000000001</v>
      </c>
      <c r="D31" s="12">
        <f t="shared" si="1"/>
        <v>3.3482981000000001</v>
      </c>
      <c r="E31" s="12">
        <f t="shared" si="2"/>
        <v>0.14947759375</v>
      </c>
      <c r="F31" s="12">
        <f>E31/Calculation!K$12*1000</f>
        <v>0.13394566412173334</v>
      </c>
      <c r="G31" s="12">
        <f t="shared" si="3"/>
        <v>42.153808657891226</v>
      </c>
    </row>
    <row r="32" spans="1:7">
      <c r="A32" s="35">
        <v>13.5</v>
      </c>
      <c r="B32" s="12">
        <v>45299.83</v>
      </c>
      <c r="C32" s="36">
        <f t="shared" si="0"/>
        <v>45.29983</v>
      </c>
      <c r="D32" s="12">
        <f t="shared" si="1"/>
        <v>3.1709880999999998</v>
      </c>
      <c r="E32" s="12">
        <f t="shared" si="2"/>
        <v>0.14156196874999999</v>
      </c>
      <c r="F32" s="12">
        <f>E32/Calculation!K$12*1000</f>
        <v>0.12685253650999992</v>
      </c>
      <c r="G32" s="12">
        <f t="shared" si="3"/>
        <v>46.065781667367226</v>
      </c>
    </row>
    <row r="33" spans="1:7">
      <c r="A33" s="35">
        <v>14</v>
      </c>
      <c r="B33" s="12">
        <v>49128.23</v>
      </c>
      <c r="C33" s="36">
        <f t="shared" si="0"/>
        <v>49.128230000000002</v>
      </c>
      <c r="D33" s="12">
        <f t="shared" si="1"/>
        <v>3.4389761000000001</v>
      </c>
      <c r="E33" s="12">
        <f t="shared" si="2"/>
        <v>0.15352571875000001</v>
      </c>
      <c r="F33" s="12">
        <f>E33/Calculation!K$12*1000</f>
        <v>0.13757315622921043</v>
      </c>
      <c r="G33" s="12">
        <f t="shared" si="3"/>
        <v>50.032167058455379</v>
      </c>
    </row>
    <row r="34" spans="1:7">
      <c r="A34" s="35">
        <v>14.5</v>
      </c>
      <c r="B34" s="12">
        <v>46168.78</v>
      </c>
      <c r="C34" s="36">
        <f t="shared" si="0"/>
        <v>46.168779999999998</v>
      </c>
      <c r="D34" s="12">
        <f t="shared" si="1"/>
        <v>3.2318145999999999</v>
      </c>
      <c r="E34" s="12">
        <f t="shared" si="2"/>
        <v>0.14427743749999999</v>
      </c>
      <c r="F34" s="12">
        <f>E34/Calculation!K$13*1000</f>
        <v>0.13547009688043846</v>
      </c>
      <c r="G34" s="12">
        <f t="shared" si="3"/>
        <v>54.12781585510011</v>
      </c>
    </row>
    <row r="35" spans="1:7">
      <c r="A35" s="35">
        <v>15</v>
      </c>
      <c r="B35" s="12">
        <v>39058.050000000003</v>
      </c>
      <c r="C35" s="36">
        <f t="shared" si="0"/>
        <v>39.058050000000001</v>
      </c>
      <c r="D35" s="12">
        <f t="shared" si="1"/>
        <v>2.7340635000000004</v>
      </c>
      <c r="E35" s="12">
        <f t="shared" si="2"/>
        <v>0.12205640625000003</v>
      </c>
      <c r="F35" s="12">
        <f>E35/Calculation!K$13*1000</f>
        <v>0.11460553684678286</v>
      </c>
      <c r="G35" s="12">
        <f t="shared" si="3"/>
        <v>57.878950361008428</v>
      </c>
    </row>
    <row r="36" spans="1:7">
      <c r="A36" s="35">
        <v>15.5</v>
      </c>
      <c r="B36" s="12">
        <v>29589.3</v>
      </c>
      <c r="C36" s="36">
        <f t="shared" si="0"/>
        <v>29.589299999999998</v>
      </c>
      <c r="D36" s="12">
        <f t="shared" si="1"/>
        <v>2.0712509999999997</v>
      </c>
      <c r="E36" s="12">
        <f t="shared" si="2"/>
        <v>9.2466562499999988E-2</v>
      </c>
      <c r="F36" s="12">
        <f>E36/Calculation!K$13*1000</f>
        <v>8.6821989613421829E-2</v>
      </c>
      <c r="G36" s="12">
        <f t="shared" si="3"/>
        <v>60.900363257911501</v>
      </c>
    </row>
    <row r="37" spans="1:7">
      <c r="A37" s="35">
        <v>16</v>
      </c>
      <c r="B37" s="12">
        <v>29415.45</v>
      </c>
      <c r="C37" s="36">
        <f t="shared" si="0"/>
        <v>29.41545</v>
      </c>
      <c r="D37" s="12">
        <f t="shared" si="1"/>
        <v>2.0590815</v>
      </c>
      <c r="E37" s="12">
        <f t="shared" si="2"/>
        <v>9.1923281250000002E-2</v>
      </c>
      <c r="F37" s="12">
        <f>E37/Calculation!K$14*1000</f>
        <v>9.0268169933963055E-2</v>
      </c>
      <c r="G37" s="12">
        <f t="shared" si="3"/>
        <v>63.556715651122275</v>
      </c>
    </row>
    <row r="38" spans="1:7">
      <c r="A38" s="35">
        <v>16.5</v>
      </c>
      <c r="B38" s="12">
        <v>25040.799999999999</v>
      </c>
      <c r="C38" s="36">
        <f t="shared" si="0"/>
        <v>25.040800000000001</v>
      </c>
      <c r="D38" s="12">
        <f t="shared" si="1"/>
        <v>1.7528560000000002</v>
      </c>
      <c r="E38" s="12">
        <f t="shared" si="2"/>
        <v>7.8252500000000016E-2</v>
      </c>
      <c r="F38" s="12">
        <f>E38/Calculation!K$14*1000</f>
        <v>7.6843535954145961E-2</v>
      </c>
      <c r="G38" s="12">
        <f t="shared" si="3"/>
        <v>66.063391239443916</v>
      </c>
    </row>
    <row r="39" spans="1:7">
      <c r="A39" s="35">
        <v>17</v>
      </c>
      <c r="B39" s="12">
        <v>21154.6</v>
      </c>
      <c r="C39" s="36">
        <f t="shared" si="0"/>
        <v>21.154599999999999</v>
      </c>
      <c r="D39" s="12">
        <f t="shared" si="1"/>
        <v>1.4808219999999999</v>
      </c>
      <c r="E39" s="12">
        <f t="shared" si="2"/>
        <v>6.6108125000000004E-2</v>
      </c>
      <c r="F39" s="12">
        <f>E39/Calculation!K$15*1000</f>
        <v>6.829763290200222E-2</v>
      </c>
      <c r="G39" s="12">
        <f t="shared" si="3"/>
        <v>68.240508772286134</v>
      </c>
    </row>
    <row r="40" spans="1:7">
      <c r="A40" s="35">
        <v>17.5</v>
      </c>
      <c r="B40" s="12">
        <v>17952.96</v>
      </c>
      <c r="C40" s="36">
        <f t="shared" si="0"/>
        <v>17.952959999999997</v>
      </c>
      <c r="D40" s="12">
        <f t="shared" si="1"/>
        <v>1.2567071999999997</v>
      </c>
      <c r="E40" s="12">
        <f t="shared" si="2"/>
        <v>5.6102999999999993E-2</v>
      </c>
      <c r="F40" s="12">
        <f>E40/Calculation!K$15*1000</f>
        <v>5.796113713255413E-2</v>
      </c>
      <c r="G40" s="12">
        <f t="shared" si="3"/>
        <v>70.134390322804478</v>
      </c>
    </row>
    <row r="41" spans="1:7">
      <c r="A41" s="35">
        <v>18</v>
      </c>
      <c r="B41" s="12">
        <v>15061.04</v>
      </c>
      <c r="C41" s="36">
        <f t="shared" si="0"/>
        <v>15.06104</v>
      </c>
      <c r="D41" s="12">
        <f t="shared" si="1"/>
        <v>1.0542727999999999</v>
      </c>
      <c r="E41" s="12">
        <f t="shared" si="2"/>
        <v>4.7065749999999996E-2</v>
      </c>
      <c r="F41" s="12">
        <f>E41/Calculation!K$15*1000</f>
        <v>4.8624572482692724E-2</v>
      </c>
      <c r="G41" s="12">
        <f t="shared" si="3"/>
        <v>71.733175967033176</v>
      </c>
    </row>
    <row r="42" spans="1:7">
      <c r="A42" s="35">
        <v>18.5</v>
      </c>
      <c r="B42" s="12">
        <v>11749.17</v>
      </c>
      <c r="C42" s="36">
        <f t="shared" si="0"/>
        <v>11.749169999999999</v>
      </c>
      <c r="D42" s="12">
        <f t="shared" si="1"/>
        <v>0.82244189999999995</v>
      </c>
      <c r="E42" s="12">
        <f t="shared" si="2"/>
        <v>3.671615625E-2</v>
      </c>
      <c r="F42" s="12">
        <f>E42/Calculation!K$16*1000</f>
        <v>3.9930693084849971E-2</v>
      </c>
      <c r="G42" s="12">
        <f t="shared" si="3"/>
        <v>73.061504950546322</v>
      </c>
    </row>
    <row r="43" spans="1:7">
      <c r="A43" s="35">
        <v>19</v>
      </c>
      <c r="B43" s="12">
        <v>10278.290000000001</v>
      </c>
      <c r="C43" s="36">
        <f t="shared" si="0"/>
        <v>10.27829</v>
      </c>
      <c r="D43" s="12">
        <f t="shared" si="1"/>
        <v>0.71948030000000007</v>
      </c>
      <c r="E43" s="12">
        <f t="shared" si="2"/>
        <v>3.2119656250000003E-2</v>
      </c>
      <c r="F43" s="12">
        <f>E43/Calculation!K$16*1000</f>
        <v>3.4931764833352703E-2</v>
      </c>
      <c r="G43" s="12">
        <f t="shared" si="3"/>
        <v>74.18444181931936</v>
      </c>
    </row>
    <row r="44" spans="1:7">
      <c r="A44" s="35">
        <v>19.5</v>
      </c>
      <c r="B44" s="12">
        <v>8424.15</v>
      </c>
      <c r="C44" s="36">
        <f t="shared" si="0"/>
        <v>8.4241499999999991</v>
      </c>
      <c r="D44" s="12">
        <f t="shared" si="1"/>
        <v>0.5896904999999999</v>
      </c>
      <c r="E44" s="12">
        <f t="shared" si="2"/>
        <v>2.6325468749999997E-2</v>
      </c>
      <c r="F44" s="12">
        <f>E44/Calculation!K$16*1000</f>
        <v>2.8630290322698437E-2</v>
      </c>
      <c r="G44" s="12">
        <f t="shared" si="3"/>
        <v>75.137872646660128</v>
      </c>
    </row>
    <row r="45" spans="1:7">
      <c r="A45" s="35">
        <v>20</v>
      </c>
      <c r="B45" s="12">
        <v>6915.45</v>
      </c>
      <c r="C45" s="36">
        <f t="shared" si="0"/>
        <v>6.9154499999999999</v>
      </c>
      <c r="D45" s="12">
        <f t="shared" si="1"/>
        <v>0.4840815</v>
      </c>
      <c r="E45" s="12">
        <f t="shared" si="2"/>
        <v>2.1610781250000002E-2</v>
      </c>
      <c r="F45" s="12">
        <f>E45/Calculation!K$16*1000</f>
        <v>2.350282713533175E-2</v>
      </c>
      <c r="G45" s="12">
        <f t="shared" si="3"/>
        <v>75.919869408530587</v>
      </c>
    </row>
    <row r="46" spans="1:7">
      <c r="A46" s="35">
        <v>20.5</v>
      </c>
      <c r="B46" s="12">
        <v>5729.62</v>
      </c>
      <c r="C46" s="36">
        <f t="shared" si="0"/>
        <v>5.7296199999999997</v>
      </c>
      <c r="D46" s="12">
        <f t="shared" si="1"/>
        <v>0.40107339999999997</v>
      </c>
      <c r="E46" s="12">
        <f t="shared" si="2"/>
        <v>1.7905062499999999E-2</v>
      </c>
      <c r="F46" s="12">
        <f>E46/Calculation!K$16*1000</f>
        <v>1.9472668938556346E-2</v>
      </c>
      <c r="G46" s="12">
        <f t="shared" si="3"/>
        <v>76.564501849638916</v>
      </c>
    </row>
    <row r="47" spans="1:7">
      <c r="A47" s="35">
        <v>21</v>
      </c>
      <c r="B47" s="12">
        <v>4756.7700000000004</v>
      </c>
      <c r="C47" s="36">
        <f t="shared" si="0"/>
        <v>4.7567700000000004</v>
      </c>
      <c r="D47" s="12">
        <f t="shared" si="1"/>
        <v>0.33297390000000004</v>
      </c>
      <c r="E47" s="12">
        <f t="shared" si="2"/>
        <v>1.4864906250000002E-2</v>
      </c>
      <c r="F47" s="12">
        <f>E47/Calculation!K$16*1000</f>
        <v>1.6166343915801865E-2</v>
      </c>
      <c r="G47" s="12">
        <f t="shared" si="3"/>
        <v>77.099087042454286</v>
      </c>
    </row>
    <row r="48" spans="1:7">
      <c r="A48" s="35">
        <v>21.5</v>
      </c>
      <c r="B48" s="12">
        <v>3942.04</v>
      </c>
      <c r="C48" s="36">
        <f t="shared" si="0"/>
        <v>3.94204</v>
      </c>
      <c r="D48" s="12">
        <f t="shared" si="1"/>
        <v>0.27594279999999999</v>
      </c>
      <c r="E48" s="12">
        <f t="shared" si="2"/>
        <v>1.2318875E-2</v>
      </c>
      <c r="F48" s="12">
        <f>E48/Calculation!K$16*1000</f>
        <v>1.3397405039522107E-2</v>
      </c>
      <c r="G48" s="12">
        <f t="shared" si="3"/>
        <v>77.542543276784144</v>
      </c>
    </row>
    <row r="49" spans="1:7">
      <c r="A49" s="35">
        <v>22</v>
      </c>
      <c r="B49" s="12">
        <v>3280.05</v>
      </c>
      <c r="C49" s="36">
        <f t="shared" si="0"/>
        <v>3.2800500000000001</v>
      </c>
      <c r="D49" s="12">
        <f t="shared" si="1"/>
        <v>0.22960350000000002</v>
      </c>
      <c r="E49" s="12">
        <f t="shared" si="2"/>
        <v>1.0250156250000001E-2</v>
      </c>
      <c r="F49" s="12">
        <f>E49/Calculation!K$16*1000</f>
        <v>1.1147567858236977E-2</v>
      </c>
      <c r="G49" s="12">
        <f t="shared" si="3"/>
        <v>77.910717870250537</v>
      </c>
    </row>
    <row r="50" spans="1:7">
      <c r="A50" s="35">
        <v>22.5</v>
      </c>
      <c r="B50" s="12">
        <v>2759.95</v>
      </c>
      <c r="C50" s="36">
        <f t="shared" si="0"/>
        <v>2.7599499999999999</v>
      </c>
      <c r="D50" s="12">
        <f t="shared" si="1"/>
        <v>0.19319649999999999</v>
      </c>
      <c r="E50" s="12">
        <f t="shared" si="2"/>
        <v>8.6248437499999997E-3</v>
      </c>
      <c r="F50" s="12">
        <f>E50/Calculation!K$16*1000</f>
        <v>9.3799575952626148E-3</v>
      </c>
      <c r="G50" s="12">
        <f t="shared" si="3"/>
        <v>78.218630752053031</v>
      </c>
    </row>
    <row r="51" spans="1:7">
      <c r="A51" s="35">
        <v>23</v>
      </c>
      <c r="B51" s="12">
        <v>2294.06</v>
      </c>
      <c r="C51" s="36">
        <f t="shared" si="0"/>
        <v>2.29406</v>
      </c>
      <c r="D51" s="12">
        <f t="shared" si="1"/>
        <v>0.16058420000000001</v>
      </c>
      <c r="E51" s="12">
        <f t="shared" si="2"/>
        <v>7.1689375000000008E-3</v>
      </c>
      <c r="F51" s="12">
        <f>E51/Calculation!K$16*1000</f>
        <v>7.7965852718303438E-3</v>
      </c>
      <c r="G51" s="12">
        <f t="shared" si="3"/>
        <v>78.476278895059423</v>
      </c>
    </row>
    <row r="52" spans="1:7">
      <c r="A52" s="35">
        <v>23.5</v>
      </c>
      <c r="B52" s="12">
        <v>1912.09</v>
      </c>
      <c r="C52" s="36">
        <f t="shared" si="0"/>
        <v>1.9120899999999998</v>
      </c>
      <c r="D52" s="12">
        <f t="shared" si="1"/>
        <v>0.13384629999999997</v>
      </c>
      <c r="E52" s="12">
        <f t="shared" si="2"/>
        <v>5.9752812499999988E-3</v>
      </c>
      <c r="F52" s="12">
        <f>E52/Calculation!K$16*1000</f>
        <v>6.4984232027122564E-3</v>
      </c>
      <c r="G52" s="12">
        <f t="shared" si="3"/>
        <v>78.690704022177556</v>
      </c>
    </row>
    <row r="53" spans="1:7">
      <c r="A53" s="35">
        <v>24</v>
      </c>
      <c r="B53" s="12">
        <v>1661.94</v>
      </c>
      <c r="C53" s="36">
        <f t="shared" si="0"/>
        <v>1.66194</v>
      </c>
      <c r="D53" s="12">
        <f t="shared" si="1"/>
        <v>0.1163358</v>
      </c>
      <c r="E53" s="12">
        <f t="shared" si="2"/>
        <v>5.1935625000000003E-3</v>
      </c>
      <c r="F53" s="12">
        <f>E53/Calculation!K$17*1000</f>
        <v>6.0012806921276377E-3</v>
      </c>
      <c r="G53" s="12">
        <f t="shared" si="3"/>
        <v>78.878199580600153</v>
      </c>
    </row>
    <row r="54" spans="1:7">
      <c r="A54" s="35">
        <v>24.5</v>
      </c>
      <c r="B54" s="12">
        <v>1415.85</v>
      </c>
      <c r="C54" s="36">
        <f t="shared" si="0"/>
        <v>1.4158499999999998</v>
      </c>
      <c r="D54" s="12">
        <f t="shared" si="1"/>
        <v>9.9109499999999989E-2</v>
      </c>
      <c r="E54" s="12">
        <f t="shared" si="2"/>
        <v>4.4245312499999996E-3</v>
      </c>
      <c r="F54" s="12">
        <f>E54/Calculation!K$17*1000</f>
        <v>5.1126474288776457E-3</v>
      </c>
      <c r="G54" s="12">
        <f t="shared" si="3"/>
        <v>79.04490850241524</v>
      </c>
    </row>
    <row r="55" spans="1:7">
      <c r="A55" s="35">
        <v>25</v>
      </c>
      <c r="B55" s="12">
        <v>1190.3699999999999</v>
      </c>
      <c r="C55" s="36">
        <f t="shared" si="0"/>
        <v>1.1903699999999999</v>
      </c>
      <c r="D55" s="12">
        <f t="shared" si="1"/>
        <v>8.3325899999999994E-2</v>
      </c>
      <c r="E55" s="12">
        <f t="shared" si="2"/>
        <v>3.7199062500000001E-3</v>
      </c>
      <c r="F55" s="12">
        <f>E55/Calculation!K$17*1000</f>
        <v>4.2984370660119958E-3</v>
      </c>
      <c r="G55" s="12">
        <f t="shared" si="3"/>
        <v>79.186074769838584</v>
      </c>
    </row>
    <row r="56" spans="1:7">
      <c r="A56" s="35">
        <v>25.5</v>
      </c>
      <c r="B56" s="12">
        <v>1004.83</v>
      </c>
      <c r="C56" s="36">
        <f t="shared" si="0"/>
        <v>1.0048300000000001</v>
      </c>
      <c r="D56" s="12">
        <f t="shared" si="1"/>
        <v>7.0338100000000015E-2</v>
      </c>
      <c r="E56" s="12">
        <f t="shared" si="2"/>
        <v>3.140093750000001E-3</v>
      </c>
      <c r="F56" s="12">
        <f>E56/Calculation!K$17*1000</f>
        <v>3.6284504120910601E-3</v>
      </c>
      <c r="G56" s="12">
        <f t="shared" si="3"/>
        <v>79.304978082010123</v>
      </c>
    </row>
    <row r="57" spans="1:7">
      <c r="A57" s="35">
        <v>26</v>
      </c>
      <c r="B57" s="12">
        <v>857.43</v>
      </c>
      <c r="C57" s="36">
        <f t="shared" si="0"/>
        <v>0.85742999999999991</v>
      </c>
      <c r="D57" s="12">
        <f t="shared" si="1"/>
        <v>6.00201E-2</v>
      </c>
      <c r="E57" s="12">
        <f t="shared" si="2"/>
        <v>2.67946875E-3</v>
      </c>
      <c r="F57" s="12">
        <f>E57/Calculation!K$17*1000</f>
        <v>3.0961876504873825E-3</v>
      </c>
      <c r="G57" s="12">
        <f t="shared" si="3"/>
        <v>79.405847652948793</v>
      </c>
    </row>
    <row r="58" spans="1:7">
      <c r="A58" s="35">
        <v>26.5</v>
      </c>
      <c r="B58" s="12">
        <v>741.36</v>
      </c>
      <c r="C58" s="36">
        <f t="shared" si="0"/>
        <v>0.74136000000000002</v>
      </c>
      <c r="D58" s="12">
        <f t="shared" si="1"/>
        <v>5.1895200000000002E-2</v>
      </c>
      <c r="E58" s="12">
        <f t="shared" si="2"/>
        <v>2.3167500000000002E-3</v>
      </c>
      <c r="F58" s="12">
        <f>E58/Calculation!K$17*1000</f>
        <v>2.6770578082937688E-3</v>
      </c>
      <c r="G58" s="12">
        <f t="shared" si="3"/>
        <v>79.492446334830504</v>
      </c>
    </row>
    <row r="59" spans="1:7">
      <c r="A59" s="35">
        <v>27</v>
      </c>
      <c r="B59" s="12">
        <v>643.15</v>
      </c>
      <c r="C59" s="36">
        <f t="shared" si="0"/>
        <v>0.64315</v>
      </c>
      <c r="D59" s="12">
        <f t="shared" si="1"/>
        <v>4.5020499999999998E-2</v>
      </c>
      <c r="E59" s="12">
        <f t="shared" si="2"/>
        <v>2.0098437499999999E-3</v>
      </c>
      <c r="F59" s="12">
        <f>E59/Calculation!K$17*1000</f>
        <v>2.3224205910814411E-3</v>
      </c>
      <c r="G59" s="12">
        <f t="shared" si="3"/>
        <v>79.567438510821134</v>
      </c>
    </row>
    <row r="60" spans="1:7">
      <c r="A60" s="35">
        <v>27.5</v>
      </c>
      <c r="B60" s="12">
        <v>562.79999999999995</v>
      </c>
      <c r="C60" s="36">
        <f t="shared" si="0"/>
        <v>0.56279999999999997</v>
      </c>
      <c r="D60" s="12">
        <f t="shared" si="1"/>
        <v>3.9396E-2</v>
      </c>
      <c r="E60" s="12">
        <f t="shared" si="2"/>
        <v>1.7587500000000001E-3</v>
      </c>
      <c r="F60" s="12">
        <f>E60/Calculation!K$17*1000</f>
        <v>2.0322759988504009E-3</v>
      </c>
      <c r="G60" s="12">
        <f t="shared" si="3"/>
        <v>79.632758959670113</v>
      </c>
    </row>
    <row r="61" spans="1:7">
      <c r="A61" s="35">
        <v>28</v>
      </c>
      <c r="B61" s="12">
        <v>499.82</v>
      </c>
      <c r="C61" s="36">
        <f t="shared" si="0"/>
        <v>0.49981999999999999</v>
      </c>
      <c r="D61" s="12">
        <f t="shared" si="1"/>
        <v>3.4987400000000002E-2</v>
      </c>
      <c r="E61" s="12">
        <f t="shared" si="2"/>
        <v>1.5619375000000002E-3</v>
      </c>
      <c r="F61" s="12">
        <f>E61/Calculation!K$17*1000</f>
        <v>1.8048546370742842E-3</v>
      </c>
      <c r="G61" s="12">
        <f t="shared" si="3"/>
        <v>79.690315919208984</v>
      </c>
    </row>
    <row r="62" spans="1:7">
      <c r="A62" s="35">
        <v>28.5</v>
      </c>
      <c r="B62" s="12">
        <v>461.18</v>
      </c>
      <c r="C62" s="36">
        <f t="shared" si="0"/>
        <v>0.46118000000000003</v>
      </c>
      <c r="D62" s="12">
        <f t="shared" si="1"/>
        <v>3.2282600000000002E-2</v>
      </c>
      <c r="E62" s="12">
        <f t="shared" si="2"/>
        <v>1.4411875000000002E-3</v>
      </c>
      <c r="F62" s="12">
        <f>E62/Calculation!K$17*1000</f>
        <v>1.6653252401382869E-3</v>
      </c>
      <c r="G62" s="12">
        <f t="shared" si="3"/>
        <v>79.742368617367177</v>
      </c>
    </row>
    <row r="63" spans="1:7">
      <c r="A63" s="35">
        <v>29</v>
      </c>
      <c r="B63" s="12">
        <v>426.28</v>
      </c>
      <c r="C63" s="36">
        <f t="shared" si="0"/>
        <v>0.42627999999999999</v>
      </c>
      <c r="D63" s="12">
        <f t="shared" si="1"/>
        <v>2.9839600000000001E-2</v>
      </c>
      <c r="E63" s="12">
        <f t="shared" si="2"/>
        <v>1.3321250000000002E-3</v>
      </c>
      <c r="F63" s="12">
        <f>E63/Calculation!K$17*1000</f>
        <v>1.5393010177504423E-3</v>
      </c>
      <c r="G63" s="12">
        <f t="shared" si="3"/>
        <v>79.790438011235508</v>
      </c>
    </row>
    <row r="64" spans="1:7">
      <c r="A64" s="35">
        <v>29.5</v>
      </c>
      <c r="B64" s="12">
        <v>397.22</v>
      </c>
      <c r="C64" s="36">
        <f t="shared" si="0"/>
        <v>0.39722000000000002</v>
      </c>
      <c r="D64" s="12">
        <f t="shared" si="1"/>
        <v>2.7805400000000001E-2</v>
      </c>
      <c r="E64" s="12">
        <f t="shared" si="2"/>
        <v>1.2413125000000002E-3</v>
      </c>
      <c r="F64" s="12">
        <f>E64/Calculation!K$17*1000</f>
        <v>1.4343650893094461E-3</v>
      </c>
      <c r="G64" s="12">
        <f t="shared" si="3"/>
        <v>79.835043002841402</v>
      </c>
    </row>
    <row r="65" spans="1:7">
      <c r="A65" s="35">
        <v>30</v>
      </c>
      <c r="B65" s="12">
        <v>378.07</v>
      </c>
      <c r="C65" s="36">
        <f t="shared" si="0"/>
        <v>0.37807000000000002</v>
      </c>
      <c r="D65" s="12">
        <f t="shared" si="1"/>
        <v>2.64649E-2</v>
      </c>
      <c r="E65" s="12">
        <f t="shared" si="2"/>
        <v>1.18146875E-3</v>
      </c>
      <c r="F65" s="12">
        <f>E65/Calculation!K$18*1000</f>
        <v>1.4544231290338266E-3</v>
      </c>
      <c r="G65" s="12">
        <f t="shared" si="3"/>
        <v>79.878374826116556</v>
      </c>
    </row>
    <row r="66" spans="1:7">
      <c r="A66" s="35">
        <v>30.5</v>
      </c>
      <c r="B66" s="12">
        <v>381.31</v>
      </c>
      <c r="C66" s="36">
        <f t="shared" si="0"/>
        <v>0.38130999999999998</v>
      </c>
      <c r="D66" s="12">
        <f t="shared" si="1"/>
        <v>2.6691699999999999E-2</v>
      </c>
      <c r="E66" s="12">
        <f t="shared" si="2"/>
        <v>1.1915937499999999E-3</v>
      </c>
      <c r="F66" s="12">
        <f>E66/Calculation!K$18*1000</f>
        <v>1.4668873048162732E-3</v>
      </c>
      <c r="G66" s="12">
        <f t="shared" si="3"/>
        <v>79.922194482624306</v>
      </c>
    </row>
    <row r="67" spans="1:7">
      <c r="A67" s="35">
        <v>31</v>
      </c>
      <c r="B67" s="12">
        <v>367.68</v>
      </c>
      <c r="C67" s="36">
        <f t="shared" si="0"/>
        <v>0.36768000000000001</v>
      </c>
      <c r="D67" s="12">
        <f t="shared" si="1"/>
        <v>2.5737599999999999E-2</v>
      </c>
      <c r="E67" s="12">
        <f t="shared" si="2"/>
        <v>1.1490000000000001E-3</v>
      </c>
      <c r="F67" s="12">
        <f>E67/Calculation!K$18*1000</f>
        <v>1.4144531332376475E-3</v>
      </c>
      <c r="G67" s="12">
        <f t="shared" si="3"/>
        <v>79.96541458919512</v>
      </c>
    </row>
    <row r="68" spans="1:7">
      <c r="A68" s="35">
        <v>31.5</v>
      </c>
      <c r="B68" s="12">
        <v>339.6</v>
      </c>
      <c r="C68" s="36">
        <f t="shared" si="0"/>
        <v>0.33960000000000001</v>
      </c>
      <c r="D68" s="12">
        <f t="shared" si="1"/>
        <v>2.3772000000000001E-2</v>
      </c>
      <c r="E68" s="12">
        <f t="shared" si="2"/>
        <v>1.0612500000000001E-3</v>
      </c>
      <c r="F68" s="12">
        <f>E68/Calculation!K$18*1000</f>
        <v>1.3064302764564434E-3</v>
      </c>
      <c r="G68" s="12">
        <f t="shared" si="3"/>
        <v>80.006227840340529</v>
      </c>
    </row>
    <row r="69" spans="1:7">
      <c r="A69" s="35">
        <v>32</v>
      </c>
      <c r="B69" s="12">
        <v>330.67</v>
      </c>
      <c r="C69" s="36">
        <f t="shared" si="0"/>
        <v>0.33067000000000002</v>
      </c>
      <c r="D69" s="12">
        <f t="shared" si="1"/>
        <v>2.3146900000000002E-2</v>
      </c>
      <c r="E69" s="12">
        <f t="shared" si="2"/>
        <v>1.0333437500000002E-3</v>
      </c>
      <c r="F69" s="12">
        <f>E69/Calculation!K$18*1000</f>
        <v>1.2720768536980335E-3</v>
      </c>
      <c r="G69" s="12">
        <f t="shared" si="3"/>
        <v>80.044905447292848</v>
      </c>
    </row>
    <row r="70" spans="1:7">
      <c r="A70" s="35">
        <v>32.5</v>
      </c>
      <c r="B70" s="12">
        <v>350.31</v>
      </c>
      <c r="C70" s="36">
        <f t="shared" ref="C70:C101" si="4">B70/1000</f>
        <v>0.35031000000000001</v>
      </c>
      <c r="D70" s="12">
        <f t="shared" ref="D70:D101" si="5">C70/1000*$B$1</f>
        <v>2.45217E-2</v>
      </c>
      <c r="E70" s="12">
        <f t="shared" ref="E70:E101" si="6">D70/22.4</f>
        <v>1.09471875E-3</v>
      </c>
      <c r="F70" s="12">
        <f>E70/Calculation!K$18*1000</f>
        <v>1.3476313019595307E-3</v>
      </c>
      <c r="G70" s="12">
        <f t="shared" si="3"/>
        <v>80.08420106962771</v>
      </c>
    </row>
    <row r="71" spans="1:7">
      <c r="A71" s="35">
        <v>33</v>
      </c>
      <c r="B71" s="12">
        <v>346.09</v>
      </c>
      <c r="C71" s="36">
        <f t="shared" si="4"/>
        <v>0.34608999999999995</v>
      </c>
      <c r="D71" s="12">
        <f t="shared" si="5"/>
        <v>2.4226299999999996E-2</v>
      </c>
      <c r="E71" s="12">
        <f t="shared" si="6"/>
        <v>1.0815312499999998E-3</v>
      </c>
      <c r="F71" s="12">
        <f>E71/Calculation!K$18*1000</f>
        <v>1.3313970976996771E-3</v>
      </c>
      <c r="G71" s="12">
        <f t="shared" ref="G71:G101" si="7">G70+(F71+F70)/2*30</f>
        <v>80.124386495622602</v>
      </c>
    </row>
    <row r="72" spans="1:7">
      <c r="A72" s="35">
        <v>33.5</v>
      </c>
      <c r="B72" s="12">
        <v>333.91</v>
      </c>
      <c r="C72" s="36">
        <f t="shared" si="4"/>
        <v>0.33391000000000004</v>
      </c>
      <c r="D72" s="12">
        <f t="shared" si="5"/>
        <v>2.3373700000000001E-2</v>
      </c>
      <c r="E72" s="12">
        <f t="shared" si="6"/>
        <v>1.0434687500000001E-3</v>
      </c>
      <c r="F72" s="12">
        <f>E72/Calculation!K$18*1000</f>
        <v>1.2845410294804801E-3</v>
      </c>
      <c r="G72" s="12">
        <f t="shared" si="7"/>
        <v>80.163625567530303</v>
      </c>
    </row>
    <row r="73" spans="1:7">
      <c r="A73" s="35">
        <v>34</v>
      </c>
      <c r="B73" s="12">
        <v>318.17</v>
      </c>
      <c r="C73" s="36">
        <f t="shared" si="4"/>
        <v>0.31817000000000001</v>
      </c>
      <c r="D73" s="12">
        <f t="shared" si="5"/>
        <v>2.2271900000000001E-2</v>
      </c>
      <c r="E73" s="12">
        <f t="shared" si="6"/>
        <v>9.9428125000000016E-4</v>
      </c>
      <c r="F73" s="12">
        <f>E73/Calculation!K$18*1000</f>
        <v>1.2239897557719277E-3</v>
      </c>
      <c r="G73" s="12">
        <f t="shared" si="7"/>
        <v>80.201253529309085</v>
      </c>
    </row>
    <row r="74" spans="1:7">
      <c r="A74" s="35">
        <v>34.5</v>
      </c>
      <c r="B74" s="12">
        <v>310.05</v>
      </c>
      <c r="C74" s="36">
        <f t="shared" si="4"/>
        <v>0.31004999999999999</v>
      </c>
      <c r="D74" s="12">
        <f t="shared" si="5"/>
        <v>2.1703499999999997E-2</v>
      </c>
      <c r="E74" s="12">
        <f t="shared" si="6"/>
        <v>9.6890624999999993E-4</v>
      </c>
      <c r="F74" s="12">
        <f>E74/Calculation!K$18*1000</f>
        <v>1.1927523769591289E-3</v>
      </c>
      <c r="G74" s="12">
        <f t="shared" si="7"/>
        <v>80.237504661300051</v>
      </c>
    </row>
    <row r="75" spans="1:7">
      <c r="A75" s="35">
        <v>35</v>
      </c>
      <c r="B75" s="12">
        <v>308.43</v>
      </c>
      <c r="C75" s="36">
        <f t="shared" si="4"/>
        <v>0.30842999999999998</v>
      </c>
      <c r="D75" s="12">
        <f t="shared" si="5"/>
        <v>2.1590100000000001E-2</v>
      </c>
      <c r="E75" s="12">
        <f t="shared" si="6"/>
        <v>9.6384375000000007E-4</v>
      </c>
      <c r="F75" s="12">
        <f>E75/Calculation!K$18*1000</f>
        <v>1.1865202890679058E-3</v>
      </c>
      <c r="G75" s="12">
        <f t="shared" si="7"/>
        <v>80.273193751290449</v>
      </c>
    </row>
    <row r="76" spans="1:7">
      <c r="A76" s="35">
        <v>35.5</v>
      </c>
      <c r="B76" s="12">
        <v>300.47000000000003</v>
      </c>
      <c r="C76" s="36">
        <f t="shared" si="4"/>
        <v>0.30047000000000001</v>
      </c>
      <c r="D76" s="12">
        <f t="shared" si="5"/>
        <v>2.10329E-2</v>
      </c>
      <c r="E76" s="12">
        <f t="shared" si="6"/>
        <v>9.3896875000000002E-4</v>
      </c>
      <c r="F76" s="12">
        <f>E76/Calculation!K$18*1000</f>
        <v>1.1558984251085617E-3</v>
      </c>
      <c r="G76" s="12">
        <f t="shared" si="7"/>
        <v>80.308330032003099</v>
      </c>
    </row>
    <row r="77" spans="1:7">
      <c r="A77" s="35">
        <v>36</v>
      </c>
      <c r="B77" s="12">
        <v>288.45999999999998</v>
      </c>
      <c r="C77" s="36">
        <f t="shared" si="4"/>
        <v>0.28845999999999999</v>
      </c>
      <c r="D77" s="12">
        <f t="shared" si="5"/>
        <v>2.01922E-2</v>
      </c>
      <c r="E77" s="12">
        <f t="shared" si="6"/>
        <v>9.0143750000000011E-4</v>
      </c>
      <c r="F77" s="12">
        <f>E77/Calculation!K$18*1000</f>
        <v>1.1096963414211592E-3</v>
      </c>
      <c r="G77" s="12">
        <f t="shared" si="7"/>
        <v>80.342313953501048</v>
      </c>
    </row>
    <row r="78" spans="1:7">
      <c r="A78" s="35">
        <v>36.5</v>
      </c>
      <c r="B78" s="12">
        <v>277.10000000000002</v>
      </c>
      <c r="C78" s="36">
        <f t="shared" si="4"/>
        <v>0.27710000000000001</v>
      </c>
      <c r="D78" s="12">
        <f t="shared" si="5"/>
        <v>1.9397000000000001E-2</v>
      </c>
      <c r="E78" s="12">
        <f t="shared" si="6"/>
        <v>8.6593750000000006E-4</v>
      </c>
      <c r="F78" s="12">
        <f>E78/Calculation!K$18*1000</f>
        <v>1.0659947868259141E-3</v>
      </c>
      <c r="G78" s="12">
        <f t="shared" si="7"/>
        <v>80.374949320424747</v>
      </c>
    </row>
    <row r="79" spans="1:7">
      <c r="A79" s="35">
        <v>37</v>
      </c>
      <c r="B79" s="12">
        <v>281.16000000000003</v>
      </c>
      <c r="C79" s="36">
        <f t="shared" si="4"/>
        <v>0.28116000000000002</v>
      </c>
      <c r="D79" s="12">
        <f t="shared" si="5"/>
        <v>1.9681200000000003E-2</v>
      </c>
      <c r="E79" s="12">
        <f t="shared" si="6"/>
        <v>8.7862500000000017E-4</v>
      </c>
      <c r="F79" s="12">
        <f>E79/Calculation!K$18*1000</f>
        <v>1.0816134762323135E-3</v>
      </c>
      <c r="G79" s="12">
        <f t="shared" si="7"/>
        <v>80.407163444370624</v>
      </c>
    </row>
    <row r="80" spans="1:7">
      <c r="A80" s="35">
        <v>37.5</v>
      </c>
      <c r="B80" s="12">
        <v>280.99</v>
      </c>
      <c r="C80" s="36">
        <f t="shared" si="4"/>
        <v>0.28099000000000002</v>
      </c>
      <c r="D80" s="12">
        <f t="shared" si="5"/>
        <v>1.9669300000000001E-2</v>
      </c>
      <c r="E80" s="12">
        <f t="shared" si="6"/>
        <v>8.7809375000000008E-4</v>
      </c>
      <c r="F80" s="12">
        <f>E80/Calculation!K$18*1000</f>
        <v>1.0809594917005182E-3</v>
      </c>
      <c r="G80" s="12">
        <f t="shared" si="7"/>
        <v>80.439602038889618</v>
      </c>
    </row>
    <row r="81" spans="1:7">
      <c r="A81" s="35">
        <v>38</v>
      </c>
      <c r="B81" s="12">
        <v>272.23</v>
      </c>
      <c r="C81" s="36">
        <f t="shared" si="4"/>
        <v>0.27223000000000003</v>
      </c>
      <c r="D81" s="12">
        <f t="shared" si="5"/>
        <v>1.9056100000000003E-2</v>
      </c>
      <c r="E81" s="12">
        <f t="shared" si="6"/>
        <v>8.5071875000000013E-4</v>
      </c>
      <c r="F81" s="12">
        <f>E81/Calculation!K$18*1000</f>
        <v>1.0472600534739034E-3</v>
      </c>
      <c r="G81" s="12">
        <f t="shared" si="7"/>
        <v>80.47152533206723</v>
      </c>
    </row>
    <row r="82" spans="1:7">
      <c r="A82" s="35">
        <v>38.5</v>
      </c>
      <c r="B82" s="12">
        <v>256</v>
      </c>
      <c r="C82" s="36">
        <f t="shared" si="4"/>
        <v>0.25600000000000001</v>
      </c>
      <c r="D82" s="12">
        <f t="shared" si="5"/>
        <v>1.7919999999999998E-2</v>
      </c>
      <c r="E82" s="12">
        <f t="shared" si="6"/>
        <v>7.9999999999999993E-4</v>
      </c>
      <c r="F82" s="12">
        <f>E82/Calculation!K$18*1000</f>
        <v>9.848237655266474E-4</v>
      </c>
      <c r="G82" s="12">
        <f t="shared" si="7"/>
        <v>80.502006589352234</v>
      </c>
    </row>
    <row r="83" spans="1:7">
      <c r="A83" s="35">
        <v>39</v>
      </c>
      <c r="B83" s="12">
        <v>248.85</v>
      </c>
      <c r="C83" s="36">
        <f t="shared" si="4"/>
        <v>0.24884999999999999</v>
      </c>
      <c r="D83" s="12">
        <f t="shared" si="5"/>
        <v>1.7419500000000001E-2</v>
      </c>
      <c r="E83" s="12">
        <f t="shared" si="6"/>
        <v>7.7765625000000014E-4</v>
      </c>
      <c r="F83" s="12">
        <f>E83/Calculation!K$18*1000</f>
        <v>9.5731794551291499E-4</v>
      </c>
      <c r="G83" s="12">
        <f t="shared" si="7"/>
        <v>80.531138715017832</v>
      </c>
    </row>
    <row r="84" spans="1:7">
      <c r="A84" s="35">
        <v>39.5</v>
      </c>
      <c r="B84" s="12">
        <v>240.41</v>
      </c>
      <c r="C84" s="36">
        <f t="shared" si="4"/>
        <v>0.24040999999999998</v>
      </c>
      <c r="D84" s="12">
        <f t="shared" si="5"/>
        <v>1.6828699999999999E-2</v>
      </c>
      <c r="E84" s="12">
        <f t="shared" si="6"/>
        <v>7.5128125E-4</v>
      </c>
      <c r="F84" s="12">
        <f>E84/Calculation!K$18*1000</f>
        <v>9.248495369932082E-4</v>
      </c>
      <c r="G84" s="12">
        <f t="shared" si="7"/>
        <v>80.559371227255426</v>
      </c>
    </row>
    <row r="85" spans="1:7">
      <c r="A85" s="35">
        <v>40</v>
      </c>
      <c r="B85" s="12">
        <v>223.2</v>
      </c>
      <c r="C85" s="36">
        <f t="shared" si="4"/>
        <v>0.22319999999999998</v>
      </c>
      <c r="D85" s="12">
        <f t="shared" si="5"/>
        <v>1.5623999999999999E-2</v>
      </c>
      <c r="E85" s="12">
        <f t="shared" si="6"/>
        <v>6.9749999999999999E-4</v>
      </c>
      <c r="F85" s="12">
        <f>E85/Calculation!K$18*1000</f>
        <v>8.5864322056854571E-4</v>
      </c>
      <c r="G85" s="12">
        <f t="shared" si="7"/>
        <v>80.586123618618856</v>
      </c>
    </row>
    <row r="86" spans="1:7">
      <c r="A86" s="35">
        <v>40.5</v>
      </c>
      <c r="B86" s="12">
        <v>240.25</v>
      </c>
      <c r="C86" s="36">
        <f t="shared" si="4"/>
        <v>0.24024999999999999</v>
      </c>
      <c r="D86" s="12">
        <f t="shared" si="5"/>
        <v>1.6817499999999999E-2</v>
      </c>
      <c r="E86" s="12">
        <f t="shared" si="6"/>
        <v>7.5078125000000004E-4</v>
      </c>
      <c r="F86" s="12">
        <f>E86/Calculation!K$18*1000</f>
        <v>9.2423402213975413E-4</v>
      </c>
      <c r="G86" s="12">
        <f t="shared" si="7"/>
        <v>80.612866777259484</v>
      </c>
    </row>
    <row r="87" spans="1:7">
      <c r="A87" s="35">
        <v>41</v>
      </c>
      <c r="B87" s="12">
        <v>239.76</v>
      </c>
      <c r="C87" s="36">
        <f t="shared" si="4"/>
        <v>0.23976</v>
      </c>
      <c r="D87" s="12">
        <f t="shared" si="5"/>
        <v>1.6783199999999998E-2</v>
      </c>
      <c r="E87" s="12">
        <f t="shared" si="6"/>
        <v>7.4924999999999992E-4</v>
      </c>
      <c r="F87" s="12">
        <f>E87/Calculation!K$18*1000</f>
        <v>9.2234900790105062E-4</v>
      </c>
      <c r="G87" s="12">
        <f t="shared" si="7"/>
        <v>80.640565522710091</v>
      </c>
    </row>
    <row r="88" spans="1:7">
      <c r="A88" s="35">
        <v>41.5</v>
      </c>
      <c r="B88" s="12">
        <v>222.72</v>
      </c>
      <c r="C88" s="36">
        <f t="shared" si="4"/>
        <v>0.22272</v>
      </c>
      <c r="D88" s="12">
        <f t="shared" si="5"/>
        <v>1.5590400000000001E-2</v>
      </c>
      <c r="E88" s="12">
        <f t="shared" si="6"/>
        <v>6.9600000000000011E-4</v>
      </c>
      <c r="F88" s="12">
        <f>E88/Calculation!K$18*1000</f>
        <v>8.5679667600818341E-4</v>
      </c>
      <c r="G88" s="12">
        <f t="shared" si="7"/>
        <v>80.667252707968728</v>
      </c>
    </row>
    <row r="89" spans="1:7">
      <c r="A89" s="35">
        <v>42</v>
      </c>
      <c r="B89" s="12">
        <v>213.63</v>
      </c>
      <c r="C89" s="36">
        <f t="shared" si="4"/>
        <v>0.21362999999999999</v>
      </c>
      <c r="D89" s="12">
        <f t="shared" si="5"/>
        <v>1.49541E-2</v>
      </c>
      <c r="E89" s="12">
        <f t="shared" si="6"/>
        <v>6.6759375E-4</v>
      </c>
      <c r="F89" s="12">
        <f>E89/Calculation!K$18*1000</f>
        <v>8.2182773839631915E-4</v>
      </c>
      <c r="G89" s="12">
        <f t="shared" si="7"/>
        <v>80.692432074184794</v>
      </c>
    </row>
    <row r="90" spans="1:7">
      <c r="A90" s="35">
        <v>42.5</v>
      </c>
      <c r="B90" s="12">
        <v>215.58</v>
      </c>
      <c r="C90" s="36">
        <f t="shared" si="4"/>
        <v>0.21558000000000002</v>
      </c>
      <c r="D90" s="12">
        <f t="shared" si="5"/>
        <v>1.5090600000000001E-2</v>
      </c>
      <c r="E90" s="12">
        <f t="shared" si="6"/>
        <v>6.7368750000000013E-4</v>
      </c>
      <c r="F90" s="12">
        <f>E90/Calculation!K$18*1000</f>
        <v>8.2932932567279186E-4</v>
      </c>
      <c r="G90" s="12">
        <f t="shared" si="7"/>
        <v>80.717199430145826</v>
      </c>
    </row>
    <row r="91" spans="1:7">
      <c r="A91" s="35">
        <v>43</v>
      </c>
      <c r="B91" s="12">
        <v>207.3</v>
      </c>
      <c r="C91" s="36">
        <f t="shared" si="4"/>
        <v>0.20730000000000001</v>
      </c>
      <c r="D91" s="12">
        <f t="shared" si="5"/>
        <v>1.4511000000000001E-2</v>
      </c>
      <c r="E91" s="12">
        <f t="shared" si="6"/>
        <v>6.4781250000000006E-4</v>
      </c>
      <c r="F91" s="12">
        <f>E91/Calculation!K$18*1000</f>
        <v>7.9747643200653914E-4</v>
      </c>
      <c r="G91" s="12">
        <f t="shared" si="7"/>
        <v>80.741601516511011</v>
      </c>
    </row>
    <row r="92" spans="1:7">
      <c r="A92" s="35">
        <v>43.5</v>
      </c>
      <c r="B92" s="12">
        <v>199.99</v>
      </c>
      <c r="C92" s="36">
        <f t="shared" si="4"/>
        <v>0.19999</v>
      </c>
      <c r="D92" s="12">
        <f t="shared" si="5"/>
        <v>1.3999299999999999E-2</v>
      </c>
      <c r="E92" s="12">
        <f t="shared" si="6"/>
        <v>6.2496874999999998E-4</v>
      </c>
      <c r="F92" s="12">
        <f>E92/Calculation!K$18*1000</f>
        <v>7.6935509713935244E-4</v>
      </c>
      <c r="G92" s="12">
        <f t="shared" si="7"/>
        <v>80.765103989448193</v>
      </c>
    </row>
    <row r="93" spans="1:7">
      <c r="A93" s="35">
        <v>44</v>
      </c>
      <c r="B93" s="12">
        <v>199.18</v>
      </c>
      <c r="C93" s="36">
        <f t="shared" si="4"/>
        <v>0.19918</v>
      </c>
      <c r="D93" s="12">
        <f t="shared" si="5"/>
        <v>1.3942599999999999E-2</v>
      </c>
      <c r="E93" s="12">
        <f t="shared" si="6"/>
        <v>6.2243750000000005E-4</v>
      </c>
      <c r="F93" s="12">
        <f>E93/Calculation!K$18*1000</f>
        <v>7.6623905319374091E-4</v>
      </c>
      <c r="G93" s="12">
        <f t="shared" si="7"/>
        <v>80.788137901703195</v>
      </c>
    </row>
    <row r="94" spans="1:7">
      <c r="A94" s="35">
        <v>44.5</v>
      </c>
      <c r="B94" s="12">
        <v>193.01</v>
      </c>
      <c r="C94" s="36">
        <f t="shared" si="4"/>
        <v>0.19300999999999999</v>
      </c>
      <c r="D94" s="12">
        <f t="shared" si="5"/>
        <v>1.35107E-2</v>
      </c>
      <c r="E94" s="12">
        <f t="shared" si="6"/>
        <v>6.0315625000000007E-4</v>
      </c>
      <c r="F94" s="12">
        <f>E94/Calculation!K$18*1000</f>
        <v>7.4250326165741507E-4</v>
      </c>
      <c r="G94" s="12">
        <f t="shared" si="7"/>
        <v>80.810769036425967</v>
      </c>
    </row>
    <row r="95" spans="1:7">
      <c r="A95" s="35">
        <v>45</v>
      </c>
      <c r="B95" s="12">
        <v>186.19</v>
      </c>
      <c r="C95" s="36">
        <f t="shared" si="4"/>
        <v>0.18618999999999999</v>
      </c>
      <c r="D95" s="12">
        <f t="shared" si="5"/>
        <v>1.3033300000000001E-2</v>
      </c>
      <c r="E95" s="12">
        <f t="shared" si="6"/>
        <v>5.8184375000000011E-4</v>
      </c>
      <c r="F95" s="12">
        <f>E95/Calculation!K$18*1000</f>
        <v>7.1626694102893177E-4</v>
      </c>
      <c r="G95" s="12">
        <f t="shared" si="7"/>
        <v>80.832650589466269</v>
      </c>
    </row>
    <row r="96" spans="1:7">
      <c r="A96" s="35">
        <v>45.5</v>
      </c>
      <c r="B96" s="12">
        <v>183.6</v>
      </c>
      <c r="C96" s="36">
        <f t="shared" si="4"/>
        <v>0.18359999999999999</v>
      </c>
      <c r="D96" s="12">
        <f t="shared" si="5"/>
        <v>1.2851999999999999E-2</v>
      </c>
      <c r="E96" s="12">
        <f t="shared" si="6"/>
        <v>5.7374999999999993E-4</v>
      </c>
      <c r="F96" s="12">
        <f>E96/Calculation!K$18*1000</f>
        <v>7.0630329433864236E-4</v>
      </c>
      <c r="G96" s="12">
        <f t="shared" si="7"/>
        <v>80.853989142996781</v>
      </c>
    </row>
    <row r="97" spans="1:10">
      <c r="A97" s="35">
        <v>46</v>
      </c>
      <c r="B97" s="12">
        <v>165.74</v>
      </c>
      <c r="C97" s="36">
        <f t="shared" si="4"/>
        <v>0.16574</v>
      </c>
      <c r="D97" s="12">
        <f t="shared" si="5"/>
        <v>1.1601799999999999E-2</v>
      </c>
      <c r="E97" s="12">
        <f t="shared" si="6"/>
        <v>5.1793749999999995E-4</v>
      </c>
      <c r="F97" s="12">
        <f>E97/Calculation!K$18*1000</f>
        <v>6.3759644882182241E-4</v>
      </c>
      <c r="G97" s="12">
        <f t="shared" si="7"/>
        <v>80.874147639144184</v>
      </c>
    </row>
    <row r="98" spans="1:10">
      <c r="A98" s="35">
        <v>46.5</v>
      </c>
      <c r="B98" s="12">
        <v>161.03</v>
      </c>
      <c r="C98" s="36">
        <f t="shared" si="4"/>
        <v>0.16103000000000001</v>
      </c>
      <c r="D98" s="12">
        <f t="shared" si="5"/>
        <v>1.12721E-2</v>
      </c>
      <c r="E98" s="12">
        <f t="shared" si="6"/>
        <v>5.0321875000000009E-4</v>
      </c>
      <c r="F98" s="12">
        <f>E98/Calculation!K$18*1000</f>
        <v>6.1947723032326578E-4</v>
      </c>
      <c r="G98" s="12">
        <f t="shared" si="7"/>
        <v>80.893003744331367</v>
      </c>
    </row>
    <row r="99" spans="1:10">
      <c r="A99" s="35">
        <v>47</v>
      </c>
      <c r="B99" s="12">
        <v>158.6</v>
      </c>
      <c r="C99" s="36">
        <f t="shared" si="4"/>
        <v>0.15859999999999999</v>
      </c>
      <c r="D99" s="12">
        <f t="shared" si="5"/>
        <v>1.1101999999999999E-2</v>
      </c>
      <c r="E99" s="12">
        <f t="shared" si="6"/>
        <v>4.9562499999999997E-4</v>
      </c>
      <c r="F99" s="12">
        <f>E99/Calculation!K$18*1000</f>
        <v>6.1012909848643076E-4</v>
      </c>
      <c r="G99" s="12">
        <f t="shared" si="7"/>
        <v>80.911447839263516</v>
      </c>
    </row>
    <row r="100" spans="1:10">
      <c r="A100" s="35">
        <v>47.5</v>
      </c>
      <c r="B100" s="12">
        <v>155.68</v>
      </c>
      <c r="C100" s="36">
        <f t="shared" si="4"/>
        <v>0.15568000000000001</v>
      </c>
      <c r="D100" s="12">
        <f t="shared" si="5"/>
        <v>1.08976E-2</v>
      </c>
      <c r="E100" s="12">
        <f t="shared" si="6"/>
        <v>4.8650000000000006E-4</v>
      </c>
      <c r="F100" s="12">
        <f>E100/Calculation!K$18*1000</f>
        <v>5.9889595241089256E-4</v>
      </c>
      <c r="G100" s="12">
        <f t="shared" si="7"/>
        <v>80.92958321502698</v>
      </c>
    </row>
    <row r="101" spans="1:10">
      <c r="A101" s="35">
        <v>48</v>
      </c>
      <c r="B101" s="12">
        <v>170.61</v>
      </c>
      <c r="C101" s="36">
        <f t="shared" si="4"/>
        <v>0.17061000000000001</v>
      </c>
      <c r="D101" s="12">
        <f t="shared" si="5"/>
        <v>1.1942700000000002E-2</v>
      </c>
      <c r="E101" s="12">
        <f t="shared" si="6"/>
        <v>5.331562500000001E-4</v>
      </c>
      <c r="F101" s="12">
        <f>E101/Calculation!K$19*1000</f>
        <v>6.9786082273321989E-4</v>
      </c>
      <c r="G101" s="12">
        <f t="shared" si="7"/>
        <v>80.949034566654149</v>
      </c>
    </row>
    <row r="102" spans="1:10">
      <c r="B102" s="10"/>
      <c r="J102" s="10"/>
    </row>
    <row r="103" spans="1:10">
      <c r="B103" s="2" t="s">
        <v>156</v>
      </c>
    </row>
    <row r="104" spans="1:10">
      <c r="A104" s="121" t="s">
        <v>5</v>
      </c>
      <c r="B104" s="121" t="s">
        <v>36</v>
      </c>
      <c r="C104" s="121"/>
      <c r="D104" s="121" t="s">
        <v>51</v>
      </c>
      <c r="E104" s="121"/>
      <c r="F104" s="121"/>
      <c r="G104" s="77" t="s">
        <v>52</v>
      </c>
    </row>
    <row r="105" spans="1:10">
      <c r="A105" s="121"/>
      <c r="B105" s="77" t="s">
        <v>53</v>
      </c>
      <c r="C105" s="77" t="s">
        <v>54</v>
      </c>
      <c r="D105" s="77" t="s">
        <v>55</v>
      </c>
      <c r="E105" s="77" t="s">
        <v>56</v>
      </c>
      <c r="F105" s="77" t="s">
        <v>57</v>
      </c>
      <c r="G105" s="77" t="s">
        <v>58</v>
      </c>
    </row>
    <row r="106" spans="1:10">
      <c r="A106" s="35">
        <v>0</v>
      </c>
      <c r="B106" s="12">
        <v>2521.81</v>
      </c>
      <c r="C106" s="36">
        <f t="shared" ref="C106:C137" si="8">B106/1000</f>
        <v>2.5218099999999999</v>
      </c>
      <c r="D106" s="12">
        <f>C106/1000*$B$1</f>
        <v>0.17652669999999998</v>
      </c>
      <c r="E106" s="12">
        <f>D106/22.4</f>
        <v>7.8806562499999996E-3</v>
      </c>
      <c r="F106" s="12">
        <f>E106/Calculation!K$4*1000</f>
        <v>5.3211723497636728E-3</v>
      </c>
      <c r="G106" s="12">
        <f>(0+F106)/2*30</f>
        <v>7.9817585246455089E-2</v>
      </c>
    </row>
    <row r="107" spans="1:10">
      <c r="A107" s="35">
        <v>0.5</v>
      </c>
      <c r="B107" s="12">
        <v>2803.11</v>
      </c>
      <c r="C107" s="36">
        <f t="shared" si="8"/>
        <v>2.8031100000000002</v>
      </c>
      <c r="D107" s="12">
        <f t="shared" ref="D107:D170" si="9">C107/1000*$B$1</f>
        <v>0.19621770000000002</v>
      </c>
      <c r="E107" s="12">
        <f t="shared" ref="E107:E170" si="10">D107/22.4</f>
        <v>8.759718750000001E-3</v>
      </c>
      <c r="F107" s="12">
        <f>E107/Calculation!K$4*1000</f>
        <v>5.9147324442943962E-3</v>
      </c>
      <c r="G107" s="12">
        <f>G106+(F107+F106)/2*30</f>
        <v>0.24835615715732612</v>
      </c>
    </row>
    <row r="108" spans="1:10">
      <c r="A108" s="35">
        <v>1</v>
      </c>
      <c r="B108" s="12">
        <v>3097.45</v>
      </c>
      <c r="C108" s="36">
        <f t="shared" si="8"/>
        <v>3.0974499999999998</v>
      </c>
      <c r="D108" s="12">
        <f t="shared" si="9"/>
        <v>0.2168215</v>
      </c>
      <c r="E108" s="12">
        <f t="shared" si="10"/>
        <v>9.6795312499999998E-3</v>
      </c>
      <c r="F108" s="12">
        <f>E108/Calculation!K$4*1000</f>
        <v>6.53580773126266E-3</v>
      </c>
      <c r="G108" s="12">
        <f>G107+(F108+F107)/2*30</f>
        <v>0.43511425979068197</v>
      </c>
    </row>
    <row r="109" spans="1:10">
      <c r="A109" s="35">
        <v>1.5</v>
      </c>
      <c r="B109" s="12">
        <v>3433.43</v>
      </c>
      <c r="C109" s="36">
        <f t="shared" si="8"/>
        <v>3.43343</v>
      </c>
      <c r="D109" s="12">
        <f t="shared" si="9"/>
        <v>0.2403401</v>
      </c>
      <c r="E109" s="12">
        <f t="shared" si="10"/>
        <v>1.072946875E-2</v>
      </c>
      <c r="F109" s="12">
        <f>E109/Calculation!K$4*1000</f>
        <v>7.2447459486833224E-3</v>
      </c>
      <c r="G109" s="12">
        <f t="shared" ref="G109:G172" si="11">G108+(F109+F108)/2*30</f>
        <v>0.64182256498987167</v>
      </c>
    </row>
    <row r="110" spans="1:10">
      <c r="A110" s="35">
        <v>2</v>
      </c>
      <c r="B110" s="12">
        <v>3730.45</v>
      </c>
      <c r="C110" s="36">
        <f t="shared" si="8"/>
        <v>3.7304499999999998</v>
      </c>
      <c r="D110" s="12">
        <f t="shared" si="9"/>
        <v>0.26113149999999996</v>
      </c>
      <c r="E110" s="12">
        <f t="shared" si="10"/>
        <v>1.1657656249999999E-2</v>
      </c>
      <c r="F110" s="12">
        <f>E110/Calculation!K$5*1000</f>
        <v>8.1066905671984112E-3</v>
      </c>
      <c r="G110" s="12">
        <f t="shared" si="11"/>
        <v>0.87209411272809767</v>
      </c>
    </row>
    <row r="111" spans="1:10">
      <c r="A111" s="35">
        <v>2.5</v>
      </c>
      <c r="B111" s="12">
        <v>4075.63</v>
      </c>
      <c r="C111" s="36">
        <f t="shared" si="8"/>
        <v>4.0756300000000003</v>
      </c>
      <c r="D111" s="12">
        <f t="shared" si="9"/>
        <v>0.28529409999999999</v>
      </c>
      <c r="E111" s="12">
        <f t="shared" si="10"/>
        <v>1.273634375E-2</v>
      </c>
      <c r="F111" s="12">
        <f>E111/Calculation!K$5*1000</f>
        <v>8.85680582138639E-3</v>
      </c>
      <c r="G111" s="12">
        <f t="shared" si="11"/>
        <v>1.1265465585568697</v>
      </c>
    </row>
    <row r="112" spans="1:10">
      <c r="A112" s="35">
        <v>3</v>
      </c>
      <c r="B112" s="12">
        <v>4854.1400000000003</v>
      </c>
      <c r="C112" s="36">
        <f t="shared" si="8"/>
        <v>4.8541400000000001</v>
      </c>
      <c r="D112" s="12">
        <f t="shared" si="9"/>
        <v>0.33978979999999998</v>
      </c>
      <c r="E112" s="12">
        <f t="shared" si="10"/>
        <v>1.51691875E-2</v>
      </c>
      <c r="F112" s="12">
        <f>E112/Calculation!K$5*1000</f>
        <v>1.0548596268509295E-2</v>
      </c>
      <c r="G112" s="12">
        <f t="shared" si="11"/>
        <v>1.417627589905305</v>
      </c>
    </row>
    <row r="113" spans="1:7">
      <c r="A113" s="35">
        <v>3.5</v>
      </c>
      <c r="B113" s="12">
        <v>6009.6</v>
      </c>
      <c r="C113" s="36">
        <f t="shared" si="8"/>
        <v>6.0096000000000007</v>
      </c>
      <c r="D113" s="12">
        <f t="shared" si="9"/>
        <v>0.42067200000000005</v>
      </c>
      <c r="E113" s="12">
        <f t="shared" si="10"/>
        <v>1.8780000000000002E-2</v>
      </c>
      <c r="F113" s="12">
        <f>E113/Calculation!K$6*1000</f>
        <v>1.3499856316184784E-2</v>
      </c>
      <c r="G113" s="12">
        <f t="shared" si="11"/>
        <v>1.7783543786757163</v>
      </c>
    </row>
    <row r="114" spans="1:7">
      <c r="A114" s="35">
        <v>4</v>
      </c>
      <c r="B114" s="12">
        <v>7636.34</v>
      </c>
      <c r="C114" s="36">
        <f t="shared" si="8"/>
        <v>7.6363400000000006</v>
      </c>
      <c r="D114" s="12">
        <f t="shared" si="9"/>
        <v>0.53454380000000001</v>
      </c>
      <c r="E114" s="12">
        <f t="shared" si="10"/>
        <v>2.3863562500000001E-2</v>
      </c>
      <c r="F114" s="12">
        <f>E114/Calculation!K$6*1000</f>
        <v>1.7154135513434258E-2</v>
      </c>
      <c r="G114" s="12">
        <f t="shared" si="11"/>
        <v>2.2381642561200019</v>
      </c>
    </row>
    <row r="115" spans="1:7">
      <c r="A115" s="35">
        <v>4.5</v>
      </c>
      <c r="B115" s="12">
        <v>8642.6200000000008</v>
      </c>
      <c r="C115" s="36">
        <f t="shared" si="8"/>
        <v>8.6426200000000009</v>
      </c>
      <c r="D115" s="12">
        <f t="shared" si="9"/>
        <v>0.60498340000000006</v>
      </c>
      <c r="E115" s="12">
        <f t="shared" si="10"/>
        <v>2.7008187500000003E-2</v>
      </c>
      <c r="F115" s="12">
        <f>E115/Calculation!K$6*1000</f>
        <v>1.9414624633151117E-2</v>
      </c>
      <c r="G115" s="12">
        <f t="shared" si="11"/>
        <v>2.7866956583187825</v>
      </c>
    </row>
    <row r="116" spans="1:7">
      <c r="A116" s="35">
        <v>5</v>
      </c>
      <c r="B116" s="12">
        <v>10093.09</v>
      </c>
      <c r="C116" s="36">
        <f t="shared" si="8"/>
        <v>10.09309</v>
      </c>
      <c r="D116" s="12">
        <f t="shared" si="9"/>
        <v>0.7065163000000001</v>
      </c>
      <c r="E116" s="12">
        <f t="shared" si="10"/>
        <v>3.1540906250000007E-2</v>
      </c>
      <c r="F116" s="12">
        <f>E116/Calculation!K$7*1000</f>
        <v>2.3445493339262713E-2</v>
      </c>
      <c r="G116" s="12">
        <f t="shared" si="11"/>
        <v>3.4295974279049899</v>
      </c>
    </row>
    <row r="117" spans="1:7">
      <c r="A117" s="35">
        <v>5.5</v>
      </c>
      <c r="B117" s="12">
        <v>12382.1</v>
      </c>
      <c r="C117" s="36">
        <f t="shared" si="8"/>
        <v>12.382100000000001</v>
      </c>
      <c r="D117" s="12">
        <f t="shared" si="9"/>
        <v>0.86674700000000016</v>
      </c>
      <c r="E117" s="12">
        <f t="shared" si="10"/>
        <v>3.8694062500000008E-2</v>
      </c>
      <c r="F117" s="12">
        <f>E117/Calculation!K$7*1000</f>
        <v>2.8762692404019467E-2</v>
      </c>
      <c r="G117" s="12">
        <f t="shared" si="11"/>
        <v>4.2127202140542224</v>
      </c>
    </row>
    <row r="118" spans="1:7">
      <c r="A118" s="35">
        <v>6</v>
      </c>
      <c r="B118" s="12">
        <v>15376.36</v>
      </c>
      <c r="C118" s="36">
        <f t="shared" si="8"/>
        <v>15.37636</v>
      </c>
      <c r="D118" s="12">
        <f t="shared" si="9"/>
        <v>1.0763452</v>
      </c>
      <c r="E118" s="12">
        <f t="shared" si="10"/>
        <v>4.8051125E-2</v>
      </c>
      <c r="F118" s="12">
        <f>E118/Calculation!K$8*1000</f>
        <v>3.7002566250232662E-2</v>
      </c>
      <c r="G118" s="12">
        <f t="shared" si="11"/>
        <v>5.1991990938680042</v>
      </c>
    </row>
    <row r="119" spans="1:7">
      <c r="A119" s="35">
        <v>6.5</v>
      </c>
      <c r="B119" s="12">
        <v>19277.07</v>
      </c>
      <c r="C119" s="36">
        <f t="shared" si="8"/>
        <v>19.277069999999998</v>
      </c>
      <c r="D119" s="12">
        <f t="shared" si="9"/>
        <v>1.3493948999999998</v>
      </c>
      <c r="E119" s="12">
        <f t="shared" si="10"/>
        <v>6.0240843749999995E-2</v>
      </c>
      <c r="F119" s="12">
        <f>E119/Calculation!K$8*1000</f>
        <v>4.6389461471074582E-2</v>
      </c>
      <c r="G119" s="12">
        <f t="shared" si="11"/>
        <v>6.4500795096876127</v>
      </c>
    </row>
    <row r="120" spans="1:7">
      <c r="A120" s="35">
        <v>7</v>
      </c>
      <c r="B120" s="12">
        <v>22467.17</v>
      </c>
      <c r="C120" s="36">
        <f t="shared" si="8"/>
        <v>22.467169999999999</v>
      </c>
      <c r="D120" s="12">
        <f t="shared" si="9"/>
        <v>1.5727018999999998</v>
      </c>
      <c r="E120" s="12">
        <f t="shared" si="10"/>
        <v>7.0209906249999995E-2</v>
      </c>
      <c r="F120" s="12">
        <f>E120/Calculation!K$8*1000</f>
        <v>5.4066303493170008E-2</v>
      </c>
      <c r="G120" s="12">
        <f t="shared" si="11"/>
        <v>7.9569159841512818</v>
      </c>
    </row>
    <row r="121" spans="1:7">
      <c r="A121" s="35">
        <v>7.5</v>
      </c>
      <c r="B121" s="12">
        <v>25815.14</v>
      </c>
      <c r="C121" s="36">
        <f t="shared" si="8"/>
        <v>25.81514</v>
      </c>
      <c r="D121" s="12">
        <f t="shared" si="9"/>
        <v>1.8070598</v>
      </c>
      <c r="E121" s="12">
        <f t="shared" si="10"/>
        <v>8.067231250000001E-2</v>
      </c>
      <c r="F121" s="12">
        <f>E121/Calculation!K$9*1000</f>
        <v>6.4584346760105535E-2</v>
      </c>
      <c r="G121" s="12">
        <f t="shared" si="11"/>
        <v>9.7366757379504154</v>
      </c>
    </row>
    <row r="122" spans="1:7">
      <c r="A122" s="35">
        <v>8</v>
      </c>
      <c r="B122" s="12">
        <v>28945.200000000001</v>
      </c>
      <c r="C122" s="36">
        <f t="shared" si="8"/>
        <v>28.9452</v>
      </c>
      <c r="D122" s="12">
        <f t="shared" si="9"/>
        <v>2.0261640000000001</v>
      </c>
      <c r="E122" s="12">
        <f t="shared" si="10"/>
        <v>9.0453750000000013E-2</v>
      </c>
      <c r="F122" s="12">
        <f>E122/Calculation!K$9*1000</f>
        <v>7.2415134445933921E-2</v>
      </c>
      <c r="G122" s="12">
        <f t="shared" si="11"/>
        <v>11.791667956041007</v>
      </c>
    </row>
    <row r="123" spans="1:7">
      <c r="A123" s="35">
        <v>8.5</v>
      </c>
      <c r="B123" s="12">
        <v>32550.89</v>
      </c>
      <c r="C123" s="36">
        <f t="shared" si="8"/>
        <v>32.550890000000003</v>
      </c>
      <c r="D123" s="12">
        <f t="shared" si="9"/>
        <v>2.2785623000000004</v>
      </c>
      <c r="E123" s="12">
        <f t="shared" si="10"/>
        <v>0.10172153125000002</v>
      </c>
      <c r="F123" s="12">
        <f>E123/Calculation!K$9*1000</f>
        <v>8.1435853809433217E-2</v>
      </c>
      <c r="G123" s="12">
        <f t="shared" si="11"/>
        <v>14.099432779871513</v>
      </c>
    </row>
    <row r="124" spans="1:7">
      <c r="A124" s="35">
        <v>9</v>
      </c>
      <c r="B124" s="12">
        <v>34729.360000000001</v>
      </c>
      <c r="C124" s="36">
        <f t="shared" si="8"/>
        <v>34.72936</v>
      </c>
      <c r="D124" s="12">
        <f t="shared" si="9"/>
        <v>2.4310551999999999</v>
      </c>
      <c r="E124" s="12">
        <f t="shared" si="10"/>
        <v>0.10852924999999999</v>
      </c>
      <c r="F124" s="12">
        <f>E124/Calculation!K$9*1000</f>
        <v>8.6885952545542586E-2</v>
      </c>
      <c r="G124" s="12">
        <f t="shared" si="11"/>
        <v>16.624259875196149</v>
      </c>
    </row>
    <row r="125" spans="1:7">
      <c r="A125" s="35">
        <v>9.5</v>
      </c>
      <c r="B125" s="12">
        <v>37147.480000000003</v>
      </c>
      <c r="C125" s="36">
        <f t="shared" si="8"/>
        <v>37.147480000000002</v>
      </c>
      <c r="D125" s="12">
        <f t="shared" si="9"/>
        <v>2.6003236000000003</v>
      </c>
      <c r="E125" s="12">
        <f t="shared" si="10"/>
        <v>0.11608587500000002</v>
      </c>
      <c r="F125" s="12">
        <f>E125/Calculation!K$9*1000</f>
        <v>9.2935607925584959E-2</v>
      </c>
      <c r="G125" s="12">
        <f t="shared" si="11"/>
        <v>19.321583282263063</v>
      </c>
    </row>
    <row r="126" spans="1:7">
      <c r="A126" s="35">
        <v>10</v>
      </c>
      <c r="B126" s="12">
        <v>39229.11</v>
      </c>
      <c r="C126" s="36">
        <f t="shared" si="8"/>
        <v>39.229109999999999</v>
      </c>
      <c r="D126" s="12">
        <f t="shared" si="9"/>
        <v>2.7460377</v>
      </c>
      <c r="E126" s="12">
        <f t="shared" si="10"/>
        <v>0.12259096875000002</v>
      </c>
      <c r="F126" s="12">
        <f>E126/Calculation!K$9*1000</f>
        <v>9.8143432239000961E-2</v>
      </c>
      <c r="G126" s="12">
        <f t="shared" si="11"/>
        <v>22.187768884731852</v>
      </c>
    </row>
    <row r="127" spans="1:7">
      <c r="A127" s="35">
        <v>10.5</v>
      </c>
      <c r="B127" s="12">
        <v>41335.67</v>
      </c>
      <c r="C127" s="36">
        <f t="shared" si="8"/>
        <v>41.33567</v>
      </c>
      <c r="D127" s="12">
        <f t="shared" si="9"/>
        <v>2.8934968999999997</v>
      </c>
      <c r="E127" s="12">
        <f t="shared" si="10"/>
        <v>0.12917396875000001</v>
      </c>
      <c r="F127" s="12">
        <f>E127/Calculation!K$10*1000</f>
        <v>0.10701718069929037</v>
      </c>
      <c r="G127" s="12">
        <f t="shared" si="11"/>
        <v>25.265178078806223</v>
      </c>
    </row>
    <row r="128" spans="1:7">
      <c r="A128" s="35">
        <v>11</v>
      </c>
      <c r="B128" s="12">
        <v>42798.68</v>
      </c>
      <c r="C128" s="36">
        <f t="shared" si="8"/>
        <v>42.798679999999997</v>
      </c>
      <c r="D128" s="12">
        <f t="shared" si="9"/>
        <v>2.9959075999999998</v>
      </c>
      <c r="E128" s="12">
        <f t="shared" si="10"/>
        <v>0.13374587499999999</v>
      </c>
      <c r="F128" s="12">
        <f>E128/Calculation!K$10*1000</f>
        <v>0.11080488283487613</v>
      </c>
      <c r="G128" s="12">
        <f t="shared" si="11"/>
        <v>28.532509031818719</v>
      </c>
    </row>
    <row r="129" spans="1:7">
      <c r="A129" s="35">
        <v>11.5</v>
      </c>
      <c r="B129" s="12">
        <v>44676.62</v>
      </c>
      <c r="C129" s="36">
        <f t="shared" si="8"/>
        <v>44.67662</v>
      </c>
      <c r="D129" s="12">
        <f t="shared" si="9"/>
        <v>3.1273634000000001</v>
      </c>
      <c r="E129" s="12">
        <f t="shared" si="10"/>
        <v>0.13961443750000002</v>
      </c>
      <c r="F129" s="12">
        <f>E129/Calculation!K$10*1000</f>
        <v>0.11566683001808198</v>
      </c>
      <c r="G129" s="12">
        <f t="shared" si="11"/>
        <v>31.92958472461309</v>
      </c>
    </row>
    <row r="130" spans="1:7">
      <c r="A130" s="35">
        <v>12</v>
      </c>
      <c r="B130" s="12">
        <v>47098.92</v>
      </c>
      <c r="C130" s="36">
        <f t="shared" si="8"/>
        <v>47.09892</v>
      </c>
      <c r="D130" s="12">
        <f t="shared" si="9"/>
        <v>3.2969244</v>
      </c>
      <c r="E130" s="12">
        <f t="shared" si="10"/>
        <v>0.147184125</v>
      </c>
      <c r="F130" s="12">
        <f>E130/Calculation!K$11*1000</f>
        <v>0.12662804125189098</v>
      </c>
      <c r="G130" s="12">
        <f t="shared" si="11"/>
        <v>35.564007793662682</v>
      </c>
    </row>
    <row r="131" spans="1:7">
      <c r="A131" s="35">
        <v>12.5</v>
      </c>
      <c r="B131" s="12">
        <v>48294.18</v>
      </c>
      <c r="C131" s="36">
        <f t="shared" si="8"/>
        <v>48.294179999999997</v>
      </c>
      <c r="D131" s="12">
        <f t="shared" si="9"/>
        <v>3.3805925999999999</v>
      </c>
      <c r="E131" s="12">
        <f t="shared" si="10"/>
        <v>0.15091931250000001</v>
      </c>
      <c r="F131" s="12">
        <f>E131/Calculation!K$11*1000</f>
        <v>0.12984156361263163</v>
      </c>
      <c r="G131" s="12">
        <f t="shared" si="11"/>
        <v>39.411051866630523</v>
      </c>
    </row>
    <row r="132" spans="1:7">
      <c r="A132" s="35">
        <v>13</v>
      </c>
      <c r="B132" s="12">
        <v>49279.39</v>
      </c>
      <c r="C132" s="36">
        <f t="shared" si="8"/>
        <v>49.279389999999999</v>
      </c>
      <c r="D132" s="12">
        <f t="shared" si="9"/>
        <v>3.4495572999999999</v>
      </c>
      <c r="E132" s="12">
        <f t="shared" si="10"/>
        <v>0.15399809375000001</v>
      </c>
      <c r="F132" s="12">
        <f>E132/Calculation!K$12*1000</f>
        <v>0.13799644765036703</v>
      </c>
      <c r="G132" s="12">
        <f t="shared" si="11"/>
        <v>43.428622035575501</v>
      </c>
    </row>
    <row r="133" spans="1:7">
      <c r="A133" s="35">
        <v>13.5</v>
      </c>
      <c r="B133" s="12">
        <v>46669.78</v>
      </c>
      <c r="C133" s="36">
        <f t="shared" si="8"/>
        <v>46.669779999999996</v>
      </c>
      <c r="D133" s="12">
        <f t="shared" si="9"/>
        <v>3.2668845999999996</v>
      </c>
      <c r="E133" s="12">
        <f t="shared" si="10"/>
        <v>0.14584306249999998</v>
      </c>
      <c r="F133" s="12">
        <f>E133/Calculation!K$12*1000</f>
        <v>0.13068879003218475</v>
      </c>
      <c r="G133" s="12">
        <f t="shared" si="11"/>
        <v>47.458900600813777</v>
      </c>
    </row>
    <row r="134" spans="1:7">
      <c r="A134" s="35">
        <v>14</v>
      </c>
      <c r="B134" s="12">
        <v>50613.96</v>
      </c>
      <c r="C134" s="36">
        <f t="shared" si="8"/>
        <v>50.613959999999999</v>
      </c>
      <c r="D134" s="12">
        <f t="shared" si="9"/>
        <v>3.5429772000000002</v>
      </c>
      <c r="E134" s="12">
        <f t="shared" si="10"/>
        <v>0.15816862500000001</v>
      </c>
      <c r="F134" s="12">
        <f>E134/Calculation!K$12*1000</f>
        <v>0.14173362700954234</v>
      </c>
      <c r="G134" s="12">
        <f t="shared" si="11"/>
        <v>51.545236856439686</v>
      </c>
    </row>
    <row r="135" spans="1:7">
      <c r="A135" s="35">
        <v>14.5</v>
      </c>
      <c r="B135" s="12">
        <v>47565.02</v>
      </c>
      <c r="C135" s="36">
        <f t="shared" si="8"/>
        <v>47.565019999999997</v>
      </c>
      <c r="D135" s="12">
        <f t="shared" si="9"/>
        <v>3.3295514000000002</v>
      </c>
      <c r="E135" s="12">
        <f t="shared" si="10"/>
        <v>0.14864068750000001</v>
      </c>
      <c r="F135" s="12">
        <f>E135/Calculation!K$13*1000</f>
        <v>0.13956699456905713</v>
      </c>
      <c r="G135" s="12">
        <f t="shared" si="11"/>
        <v>55.764746180118678</v>
      </c>
    </row>
    <row r="136" spans="1:7">
      <c r="A136" s="35">
        <v>15</v>
      </c>
      <c r="B136" s="12">
        <v>40239.24</v>
      </c>
      <c r="C136" s="36">
        <f t="shared" si="8"/>
        <v>40.239239999999995</v>
      </c>
      <c r="D136" s="12">
        <f t="shared" si="9"/>
        <v>2.8167467999999998</v>
      </c>
      <c r="E136" s="12">
        <f t="shared" si="10"/>
        <v>0.125747625</v>
      </c>
      <c r="F136" s="12">
        <f>E136/Calculation!K$13*1000</f>
        <v>0.11807142708114043</v>
      </c>
      <c r="G136" s="12">
        <f t="shared" si="11"/>
        <v>59.629322504871638</v>
      </c>
    </row>
    <row r="137" spans="1:7">
      <c r="A137" s="35">
        <v>15.5</v>
      </c>
      <c r="B137" s="12">
        <v>30484.14</v>
      </c>
      <c r="C137" s="36">
        <f t="shared" si="8"/>
        <v>30.48414</v>
      </c>
      <c r="D137" s="12">
        <f t="shared" si="9"/>
        <v>2.1338897999999999</v>
      </c>
      <c r="E137" s="12">
        <f t="shared" si="10"/>
        <v>9.5262937500000006E-2</v>
      </c>
      <c r="F137" s="12">
        <f>E137/Calculation!K$13*1000</f>
        <v>8.9447661365902459E-2</v>
      </c>
      <c r="G137" s="12">
        <f t="shared" si="11"/>
        <v>62.742108831577283</v>
      </c>
    </row>
    <row r="138" spans="1:7">
      <c r="A138" s="35">
        <v>16</v>
      </c>
      <c r="B138" s="12">
        <v>30305.03</v>
      </c>
      <c r="C138" s="36">
        <f t="shared" ref="C138:C169" si="12">B138/1000</f>
        <v>30.305029999999999</v>
      </c>
      <c r="D138" s="12">
        <f t="shared" si="9"/>
        <v>2.1213521000000002</v>
      </c>
      <c r="E138" s="12">
        <f t="shared" si="10"/>
        <v>9.4703218750000012E-2</v>
      </c>
      <c r="F138" s="12">
        <f>E138/Calculation!K$14*1000</f>
        <v>9.2998053672265726E-2</v>
      </c>
      <c r="G138" s="12">
        <f t="shared" si="11"/>
        <v>65.478794557149811</v>
      </c>
    </row>
    <row r="139" spans="1:7">
      <c r="A139" s="35">
        <v>16.5</v>
      </c>
      <c r="B139" s="12">
        <v>25798.080000000002</v>
      </c>
      <c r="C139" s="36">
        <f t="shared" si="12"/>
        <v>25.798080000000002</v>
      </c>
      <c r="D139" s="12">
        <f t="shared" si="9"/>
        <v>1.8058656000000002</v>
      </c>
      <c r="E139" s="12">
        <f t="shared" si="10"/>
        <v>8.061900000000001E-2</v>
      </c>
      <c r="F139" s="12">
        <f>E139/Calculation!K$14*1000</f>
        <v>7.9167426281426048E-2</v>
      </c>
      <c r="G139" s="12">
        <f t="shared" si="11"/>
        <v>68.061276756455186</v>
      </c>
    </row>
    <row r="140" spans="1:7">
      <c r="A140" s="35">
        <v>17</v>
      </c>
      <c r="B140" s="12">
        <v>21794.36</v>
      </c>
      <c r="C140" s="36">
        <f t="shared" si="12"/>
        <v>21.794360000000001</v>
      </c>
      <c r="D140" s="12">
        <f t="shared" si="9"/>
        <v>1.5256052000000002</v>
      </c>
      <c r="E140" s="12">
        <f t="shared" si="10"/>
        <v>6.8107375000000012E-2</v>
      </c>
      <c r="F140" s="12">
        <f>E140/Calculation!K$15*1000</f>
        <v>7.0363098267709215E-2</v>
      </c>
      <c r="G140" s="12">
        <f t="shared" si="11"/>
        <v>70.304234624692214</v>
      </c>
    </row>
    <row r="141" spans="1:7">
      <c r="A141" s="35">
        <v>17.5</v>
      </c>
      <c r="B141" s="12">
        <v>18495.89</v>
      </c>
      <c r="C141" s="36">
        <f t="shared" si="12"/>
        <v>18.495889999999999</v>
      </c>
      <c r="D141" s="12">
        <f t="shared" si="9"/>
        <v>1.2947123</v>
      </c>
      <c r="E141" s="12">
        <f t="shared" si="10"/>
        <v>5.7799656250000005E-2</v>
      </c>
      <c r="F141" s="12">
        <f>E141/Calculation!K$15*1000</f>
        <v>5.9713986812126627E-2</v>
      </c>
      <c r="G141" s="12">
        <f t="shared" si="11"/>
        <v>72.255390900889751</v>
      </c>
    </row>
    <row r="142" spans="1:7">
      <c r="A142" s="35">
        <v>18</v>
      </c>
      <c r="B142" s="12">
        <v>15516.51</v>
      </c>
      <c r="C142" s="36">
        <f t="shared" si="12"/>
        <v>15.51651</v>
      </c>
      <c r="D142" s="12">
        <f t="shared" si="9"/>
        <v>1.0861556999999999</v>
      </c>
      <c r="E142" s="12">
        <f t="shared" si="10"/>
        <v>4.8489093750000004E-2</v>
      </c>
      <c r="F142" s="12">
        <f>E142/Calculation!K$15*1000</f>
        <v>5.0095057524143526E-2</v>
      </c>
      <c r="G142" s="12">
        <f t="shared" si="11"/>
        <v>73.902526565933798</v>
      </c>
    </row>
    <row r="143" spans="1:7">
      <c r="A143" s="35">
        <v>18.5</v>
      </c>
      <c r="B143" s="12">
        <v>12104.48</v>
      </c>
      <c r="C143" s="36">
        <f t="shared" si="12"/>
        <v>12.104479999999999</v>
      </c>
      <c r="D143" s="12">
        <f t="shared" si="9"/>
        <v>0.84731359999999989</v>
      </c>
      <c r="E143" s="12">
        <f t="shared" si="10"/>
        <v>3.7826499999999999E-2</v>
      </c>
      <c r="F143" s="12">
        <f>E143/Calculation!K$16*1000</f>
        <v>4.1138248559830587E-2</v>
      </c>
      <c r="G143" s="12">
        <f t="shared" si="11"/>
        <v>75.271026157193404</v>
      </c>
    </row>
    <row r="144" spans="1:7">
      <c r="A144" s="35">
        <v>19</v>
      </c>
      <c r="B144" s="12">
        <v>10589.12</v>
      </c>
      <c r="C144" s="36">
        <f t="shared" si="12"/>
        <v>10.589120000000001</v>
      </c>
      <c r="D144" s="12">
        <f t="shared" si="9"/>
        <v>0.74123840000000007</v>
      </c>
      <c r="E144" s="12">
        <f t="shared" si="10"/>
        <v>3.3091000000000002E-2</v>
      </c>
      <c r="F144" s="12">
        <f>E144/Calculation!K$16*1000</f>
        <v>3.598815071691417E-2</v>
      </c>
      <c r="G144" s="12">
        <f t="shared" si="11"/>
        <v>76.427922146344571</v>
      </c>
    </row>
    <row r="145" spans="1:7">
      <c r="A145" s="35">
        <v>19.5</v>
      </c>
      <c r="B145" s="12">
        <v>8678.91</v>
      </c>
      <c r="C145" s="36">
        <f t="shared" si="12"/>
        <v>8.6789100000000001</v>
      </c>
      <c r="D145" s="12">
        <f t="shared" si="9"/>
        <v>0.6075237</v>
      </c>
      <c r="E145" s="12">
        <f t="shared" si="10"/>
        <v>2.7121593750000002E-2</v>
      </c>
      <c r="F145" s="12">
        <f>E145/Calculation!K$16*1000</f>
        <v>2.9496116876429165E-2</v>
      </c>
      <c r="G145" s="12">
        <f t="shared" si="11"/>
        <v>77.41018616024472</v>
      </c>
    </row>
    <row r="146" spans="1:7">
      <c r="A146" s="35">
        <v>20</v>
      </c>
      <c r="B146" s="12">
        <v>7124.58</v>
      </c>
      <c r="C146" s="36">
        <f t="shared" si="12"/>
        <v>7.1245799999999999</v>
      </c>
      <c r="D146" s="12">
        <f t="shared" si="9"/>
        <v>0.49872060000000001</v>
      </c>
      <c r="E146" s="12">
        <f t="shared" si="10"/>
        <v>2.2264312500000001E-2</v>
      </c>
      <c r="F146" s="12">
        <f>E146/Calculation!K$16*1000</f>
        <v>2.4213575711174523E-2</v>
      </c>
      <c r="G146" s="12">
        <f t="shared" si="11"/>
        <v>78.215831549058777</v>
      </c>
    </row>
    <row r="147" spans="1:7">
      <c r="A147" s="35">
        <v>20.5</v>
      </c>
      <c r="B147" s="12">
        <v>5902.9</v>
      </c>
      <c r="C147" s="36">
        <f t="shared" si="12"/>
        <v>5.9028999999999998</v>
      </c>
      <c r="D147" s="12">
        <f t="shared" si="9"/>
        <v>0.41320299999999999</v>
      </c>
      <c r="E147" s="12">
        <f t="shared" si="10"/>
        <v>1.8446562499999999E-2</v>
      </c>
      <c r="F147" s="12">
        <f>E147/Calculation!K$16*1000</f>
        <v>2.0061577814480584E-2</v>
      </c>
      <c r="G147" s="12">
        <f t="shared" si="11"/>
        <v>78.879958851943599</v>
      </c>
    </row>
    <row r="148" spans="1:7">
      <c r="A148" s="35">
        <v>21</v>
      </c>
      <c r="B148" s="12">
        <v>4900.63</v>
      </c>
      <c r="C148" s="36">
        <f t="shared" si="12"/>
        <v>4.9006300000000005</v>
      </c>
      <c r="D148" s="12">
        <f t="shared" si="9"/>
        <v>0.34304410000000002</v>
      </c>
      <c r="E148" s="12">
        <f t="shared" si="10"/>
        <v>1.5314468750000003E-2</v>
      </c>
      <c r="F148" s="12">
        <f>E148/Calculation!K$16*1000</f>
        <v>1.665526607006353E-2</v>
      </c>
      <c r="G148" s="12">
        <f t="shared" si="11"/>
        <v>79.430711510211765</v>
      </c>
    </row>
    <row r="149" spans="1:7">
      <c r="A149" s="35">
        <v>21.5</v>
      </c>
      <c r="B149" s="12">
        <v>4061.25</v>
      </c>
      <c r="C149" s="36">
        <f t="shared" si="12"/>
        <v>4.0612500000000002</v>
      </c>
      <c r="D149" s="12">
        <f t="shared" si="9"/>
        <v>0.28428750000000003</v>
      </c>
      <c r="E149" s="12">
        <f t="shared" si="10"/>
        <v>1.2691406250000002E-2</v>
      </c>
      <c r="F149" s="12">
        <f>E149/Calculation!K$16*1000</f>
        <v>1.3802551779474375E-2</v>
      </c>
      <c r="G149" s="12">
        <f t="shared" si="11"/>
        <v>79.887578777954829</v>
      </c>
    </row>
    <row r="150" spans="1:7">
      <c r="A150" s="35">
        <v>22</v>
      </c>
      <c r="B150" s="12">
        <v>3379.25</v>
      </c>
      <c r="C150" s="36">
        <f t="shared" si="12"/>
        <v>3.3792499999999999</v>
      </c>
      <c r="D150" s="12">
        <f t="shared" si="9"/>
        <v>0.23654749999999999</v>
      </c>
      <c r="E150" s="12">
        <f t="shared" si="10"/>
        <v>1.0560156250000001E-2</v>
      </c>
      <c r="F150" s="12">
        <f>E150/Calculation!K$16*1000</f>
        <v>1.1484708673632202E-2</v>
      </c>
      <c r="G150" s="12">
        <f t="shared" si="11"/>
        <v>80.266887684751424</v>
      </c>
    </row>
    <row r="151" spans="1:7">
      <c r="A151" s="35">
        <v>22.5</v>
      </c>
      <c r="B151" s="12">
        <v>2843.41</v>
      </c>
      <c r="C151" s="36">
        <f t="shared" si="12"/>
        <v>2.84341</v>
      </c>
      <c r="D151" s="12">
        <f t="shared" si="9"/>
        <v>0.19903870000000001</v>
      </c>
      <c r="E151" s="12">
        <f t="shared" si="10"/>
        <v>8.8856562500000003E-3</v>
      </c>
      <c r="F151" s="12">
        <f>E151/Calculation!K$16*1000</f>
        <v>9.6636044949892849E-3</v>
      </c>
      <c r="G151" s="12">
        <f t="shared" si="11"/>
        <v>80.58411238228075</v>
      </c>
    </row>
    <row r="152" spans="1:7">
      <c r="A152" s="35">
        <v>23</v>
      </c>
      <c r="B152" s="12">
        <v>2363.4299999999998</v>
      </c>
      <c r="C152" s="36">
        <f t="shared" si="12"/>
        <v>2.3634299999999997</v>
      </c>
      <c r="D152" s="12">
        <f t="shared" si="9"/>
        <v>0.16544009999999998</v>
      </c>
      <c r="E152" s="12">
        <f t="shared" si="10"/>
        <v>7.3857187499999999E-3</v>
      </c>
      <c r="F152" s="12">
        <f>E152/Calculation!K$16*1000</f>
        <v>8.0323459408219427E-3</v>
      </c>
      <c r="G152" s="12">
        <f t="shared" si="11"/>
        <v>80.849551638817914</v>
      </c>
    </row>
    <row r="153" spans="1:7">
      <c r="A153" s="35">
        <v>23.5</v>
      </c>
      <c r="B153" s="12">
        <v>1969.92</v>
      </c>
      <c r="C153" s="36">
        <f t="shared" si="12"/>
        <v>1.9699200000000001</v>
      </c>
      <c r="D153" s="12">
        <f t="shared" si="9"/>
        <v>0.1378944</v>
      </c>
      <c r="E153" s="12">
        <f t="shared" si="10"/>
        <v>6.156E-3</v>
      </c>
      <c r="F153" s="12">
        <f>E153/Calculation!K$16*1000</f>
        <v>6.694964063138728E-3</v>
      </c>
      <c r="G153" s="12">
        <f t="shared" si="11"/>
        <v>81.070461288877326</v>
      </c>
    </row>
    <row r="154" spans="1:7">
      <c r="A154" s="35">
        <v>24</v>
      </c>
      <c r="B154" s="12">
        <v>1712.2</v>
      </c>
      <c r="C154" s="36">
        <f t="shared" si="12"/>
        <v>1.7121999999999999</v>
      </c>
      <c r="D154" s="12">
        <f t="shared" si="9"/>
        <v>0.11985399999999999</v>
      </c>
      <c r="E154" s="12">
        <f t="shared" si="10"/>
        <v>5.3506249999999995E-3</v>
      </c>
      <c r="F154" s="12">
        <f>E154/Calculation!K$17*1000</f>
        <v>6.1827700164030835E-3</v>
      </c>
      <c r="G154" s="12">
        <f t="shared" si="11"/>
        <v>81.263627300070453</v>
      </c>
    </row>
    <row r="155" spans="1:7">
      <c r="A155" s="35">
        <v>24.5</v>
      </c>
      <c r="B155" s="12">
        <v>1458.67</v>
      </c>
      <c r="C155" s="36">
        <f t="shared" si="12"/>
        <v>1.4586700000000001</v>
      </c>
      <c r="D155" s="12">
        <f t="shared" si="9"/>
        <v>0.10210690000000001</v>
      </c>
      <c r="E155" s="12">
        <f t="shared" si="10"/>
        <v>4.5583437500000008E-3</v>
      </c>
      <c r="F155" s="12">
        <f>E155/Calculation!K$17*1000</f>
        <v>5.267270844426286E-3</v>
      </c>
      <c r="G155" s="12">
        <f t="shared" si="11"/>
        <v>81.435377912982901</v>
      </c>
    </row>
    <row r="156" spans="1:7">
      <c r="A156" s="35">
        <v>25</v>
      </c>
      <c r="B156" s="12">
        <v>1226.3699999999999</v>
      </c>
      <c r="C156" s="36">
        <f t="shared" si="12"/>
        <v>1.22637</v>
      </c>
      <c r="D156" s="12">
        <f t="shared" si="9"/>
        <v>8.5845900000000003E-2</v>
      </c>
      <c r="E156" s="12">
        <f t="shared" si="10"/>
        <v>3.8324062500000003E-3</v>
      </c>
      <c r="F156" s="12">
        <f>E156/Calculation!K$17*1000</f>
        <v>4.4284333985610616E-3</v>
      </c>
      <c r="G156" s="12">
        <f t="shared" si="11"/>
        <v>81.580813476627711</v>
      </c>
    </row>
    <row r="157" spans="1:7">
      <c r="A157" s="35">
        <v>25.5</v>
      </c>
      <c r="B157" s="12">
        <v>1035.21</v>
      </c>
      <c r="C157" s="36">
        <f t="shared" si="12"/>
        <v>1.03521</v>
      </c>
      <c r="D157" s="12">
        <f t="shared" si="9"/>
        <v>7.2464699999999993E-2</v>
      </c>
      <c r="E157" s="12">
        <f t="shared" si="10"/>
        <v>3.2350312500000001E-3</v>
      </c>
      <c r="F157" s="12">
        <f>E157/Calculation!K$17*1000</f>
        <v>3.7381528727255206E-3</v>
      </c>
      <c r="G157" s="12">
        <f t="shared" si="11"/>
        <v>81.703312270697012</v>
      </c>
    </row>
    <row r="158" spans="1:7">
      <c r="A158" s="35">
        <v>26</v>
      </c>
      <c r="B158" s="12">
        <v>883.36</v>
      </c>
      <c r="C158" s="36">
        <f t="shared" si="12"/>
        <v>0.88336000000000003</v>
      </c>
      <c r="D158" s="12">
        <f t="shared" si="9"/>
        <v>6.18352E-2</v>
      </c>
      <c r="E158" s="12">
        <f t="shared" si="10"/>
        <v>2.7605000000000004E-3</v>
      </c>
      <c r="F158" s="12">
        <f>E158/Calculation!K$17*1000</f>
        <v>3.1898211200150849E-3</v>
      </c>
      <c r="G158" s="12">
        <f t="shared" si="11"/>
        <v>81.80723188058812</v>
      </c>
    </row>
    <row r="159" spans="1:7">
      <c r="A159" s="35">
        <v>26.5</v>
      </c>
      <c r="B159" s="12">
        <v>763.78</v>
      </c>
      <c r="C159" s="36">
        <f t="shared" si="12"/>
        <v>0.76378000000000001</v>
      </c>
      <c r="D159" s="12">
        <f t="shared" si="9"/>
        <v>5.3464600000000001E-2</v>
      </c>
      <c r="E159" s="12">
        <f t="shared" si="10"/>
        <v>2.3868125E-3</v>
      </c>
      <c r="F159" s="12">
        <f>E159/Calculation!K$17*1000</f>
        <v>2.7580166353979368E-3</v>
      </c>
      <c r="G159" s="12">
        <f t="shared" si="11"/>
        <v>81.89644944691932</v>
      </c>
    </row>
    <row r="160" spans="1:7">
      <c r="A160" s="35">
        <v>27</v>
      </c>
      <c r="B160" s="12">
        <v>662.6</v>
      </c>
      <c r="C160" s="36">
        <f t="shared" si="12"/>
        <v>0.66260000000000008</v>
      </c>
      <c r="D160" s="12">
        <f t="shared" si="9"/>
        <v>4.6382000000000007E-2</v>
      </c>
      <c r="E160" s="12">
        <f t="shared" si="10"/>
        <v>2.0706250000000004E-3</v>
      </c>
      <c r="F160" s="12">
        <f>E160/Calculation!K$17*1000</f>
        <v>2.392654720750312E-3</v>
      </c>
      <c r="G160" s="12">
        <f t="shared" si="11"/>
        <v>81.97370951726154</v>
      </c>
    </row>
    <row r="161" spans="1:7">
      <c r="A161" s="35">
        <v>27.5</v>
      </c>
      <c r="B161" s="12">
        <v>579.82000000000005</v>
      </c>
      <c r="C161" s="36">
        <f t="shared" si="12"/>
        <v>0.57982</v>
      </c>
      <c r="D161" s="12">
        <f t="shared" si="9"/>
        <v>4.0587399999999996E-2</v>
      </c>
      <c r="E161" s="12">
        <f t="shared" si="10"/>
        <v>1.8119375E-3</v>
      </c>
      <c r="F161" s="12">
        <f>E161/Calculation!K$17*1000</f>
        <v>2.0937353760722092E-3</v>
      </c>
      <c r="G161" s="12">
        <f t="shared" si="11"/>
        <v>82.041005368713883</v>
      </c>
    </row>
    <row r="162" spans="1:7">
      <c r="A162" s="35">
        <v>28</v>
      </c>
      <c r="B162" s="12">
        <v>514.92999999999995</v>
      </c>
      <c r="C162" s="36">
        <f t="shared" si="12"/>
        <v>0.51493</v>
      </c>
      <c r="D162" s="12">
        <f t="shared" si="9"/>
        <v>3.6045100000000004E-2</v>
      </c>
      <c r="E162" s="12">
        <f t="shared" si="10"/>
        <v>1.6091562500000003E-3</v>
      </c>
      <c r="F162" s="12">
        <f>E162/Calculation!K$17*1000</f>
        <v>1.8594169866525177E-3</v>
      </c>
      <c r="G162" s="12">
        <f t="shared" si="11"/>
        <v>82.10030265415476</v>
      </c>
    </row>
    <row r="163" spans="1:7">
      <c r="A163" s="35">
        <v>28.5</v>
      </c>
      <c r="B163" s="12">
        <v>475.13</v>
      </c>
      <c r="C163" s="36">
        <f t="shared" si="12"/>
        <v>0.47513</v>
      </c>
      <c r="D163" s="12">
        <f t="shared" si="9"/>
        <v>3.32591E-2</v>
      </c>
      <c r="E163" s="12">
        <f t="shared" si="10"/>
        <v>1.48478125E-3</v>
      </c>
      <c r="F163" s="12">
        <f>E163/Calculation!K$17*1000</f>
        <v>1.7156988190010496E-3</v>
      </c>
      <c r="G163" s="12">
        <f t="shared" si="11"/>
        <v>82.153929391239558</v>
      </c>
    </row>
    <row r="164" spans="1:7">
      <c r="A164" s="35">
        <v>29</v>
      </c>
      <c r="B164" s="12">
        <v>439.17</v>
      </c>
      <c r="C164" s="36">
        <f t="shared" si="12"/>
        <v>0.43917</v>
      </c>
      <c r="D164" s="12">
        <f t="shared" si="9"/>
        <v>3.0741900000000003E-2</v>
      </c>
      <c r="E164" s="12">
        <f t="shared" si="10"/>
        <v>1.3724062500000001E-3</v>
      </c>
      <c r="F164" s="12">
        <f>E164/Calculation!K$17*1000</f>
        <v>1.5858469268214828E-3</v>
      </c>
      <c r="G164" s="12">
        <f t="shared" si="11"/>
        <v>82.203452577426901</v>
      </c>
    </row>
    <row r="165" spans="1:7">
      <c r="A165" s="35">
        <v>29.5</v>
      </c>
      <c r="B165" s="12">
        <v>409.24</v>
      </c>
      <c r="C165" s="36">
        <f t="shared" si="12"/>
        <v>0.40923999999999999</v>
      </c>
      <c r="D165" s="12">
        <f t="shared" si="9"/>
        <v>2.86468E-2</v>
      </c>
      <c r="E165" s="12">
        <f t="shared" si="10"/>
        <v>1.2788750000000001E-3</v>
      </c>
      <c r="F165" s="12">
        <f>E165/Calculation!K$17*1000</f>
        <v>1.4777694203438841E-3</v>
      </c>
      <c r="G165" s="12">
        <f t="shared" si="11"/>
        <v>82.249406822634384</v>
      </c>
    </row>
    <row r="166" spans="1:7">
      <c r="A166" s="35">
        <v>30</v>
      </c>
      <c r="B166" s="12">
        <v>389.5</v>
      </c>
      <c r="C166" s="36">
        <f t="shared" si="12"/>
        <v>0.38950000000000001</v>
      </c>
      <c r="D166" s="12">
        <f t="shared" si="9"/>
        <v>2.7265000000000001E-2</v>
      </c>
      <c r="E166" s="12">
        <f t="shared" si="10"/>
        <v>1.2171875000000002E-3</v>
      </c>
      <c r="F166" s="12">
        <f>E166/Calculation!K$18*1000</f>
        <v>1.4983939713774581E-3</v>
      </c>
      <c r="G166" s="12">
        <f t="shared" si="11"/>
        <v>82.294049273510211</v>
      </c>
    </row>
    <row r="167" spans="1:7">
      <c r="A167" s="35">
        <v>30.5</v>
      </c>
      <c r="B167" s="12">
        <v>392.85</v>
      </c>
      <c r="C167" s="36">
        <f t="shared" si="12"/>
        <v>0.39285000000000003</v>
      </c>
      <c r="D167" s="12">
        <f t="shared" si="9"/>
        <v>2.7499500000000003E-2</v>
      </c>
      <c r="E167" s="12">
        <f t="shared" si="10"/>
        <v>1.2276562500000002E-3</v>
      </c>
      <c r="F167" s="12">
        <f>E167/Calculation!K$18*1000</f>
        <v>1.5112813136216544E-3</v>
      </c>
      <c r="G167" s="12">
        <f t="shared" si="11"/>
        <v>82.339194402785196</v>
      </c>
    </row>
    <row r="168" spans="1:7">
      <c r="A168" s="35">
        <v>31</v>
      </c>
      <c r="B168" s="12">
        <v>378.8</v>
      </c>
      <c r="C168" s="36">
        <f t="shared" si="12"/>
        <v>0.37880000000000003</v>
      </c>
      <c r="D168" s="12">
        <f t="shared" si="9"/>
        <v>2.6516000000000005E-2</v>
      </c>
      <c r="E168" s="12">
        <f t="shared" si="10"/>
        <v>1.1837500000000003E-3</v>
      </c>
      <c r="F168" s="12">
        <f>E168/Calculation!K$18*1000</f>
        <v>1.4572314155527116E-3</v>
      </c>
      <c r="G168" s="12">
        <f t="shared" si="11"/>
        <v>82.38372209372281</v>
      </c>
    </row>
    <row r="169" spans="1:7">
      <c r="A169" s="35">
        <v>31.5</v>
      </c>
      <c r="B169" s="12">
        <v>349.87</v>
      </c>
      <c r="C169" s="36">
        <f t="shared" si="12"/>
        <v>0.34987000000000001</v>
      </c>
      <c r="D169" s="12">
        <f t="shared" si="9"/>
        <v>2.4490899999999999E-2</v>
      </c>
      <c r="E169" s="12">
        <f t="shared" si="10"/>
        <v>1.0933437500000001E-3</v>
      </c>
      <c r="F169" s="12">
        <f>E169/Calculation!K$18*1000</f>
        <v>1.3459386361125321E-3</v>
      </c>
      <c r="G169" s="12">
        <f t="shared" si="11"/>
        <v>82.425769644497791</v>
      </c>
    </row>
    <row r="170" spans="1:7">
      <c r="A170" s="35">
        <v>32</v>
      </c>
      <c r="B170" s="12">
        <v>340.67</v>
      </c>
      <c r="C170" s="36">
        <f t="shared" ref="C170:C201" si="13">B170/1000</f>
        <v>0.34067000000000003</v>
      </c>
      <c r="D170" s="12">
        <f t="shared" si="9"/>
        <v>2.3846900000000001E-2</v>
      </c>
      <c r="E170" s="12">
        <f t="shared" si="10"/>
        <v>1.06459375E-3</v>
      </c>
      <c r="F170" s="12">
        <f>E170/Calculation!K$18*1000</f>
        <v>1.310546532038918E-3</v>
      </c>
      <c r="G170" s="12">
        <f t="shared" si="11"/>
        <v>82.465616922020061</v>
      </c>
    </row>
    <row r="171" spans="1:7">
      <c r="A171" s="35">
        <v>32.5</v>
      </c>
      <c r="B171" s="12">
        <v>360.9</v>
      </c>
      <c r="C171" s="36">
        <f t="shared" si="13"/>
        <v>0.3609</v>
      </c>
      <c r="D171" s="12">
        <f t="shared" ref="D171:D202" si="14">C171/1000*$B$1</f>
        <v>2.5263000000000001E-2</v>
      </c>
      <c r="E171" s="12">
        <f t="shared" ref="E171:E202" si="15">D171/22.4</f>
        <v>1.1278125000000001E-3</v>
      </c>
      <c r="F171" s="12">
        <f>E171/Calculation!K$18*1000</f>
        <v>1.3883706913225278E-3</v>
      </c>
      <c r="G171" s="12">
        <f t="shared" si="11"/>
        <v>82.50610068037048</v>
      </c>
    </row>
    <row r="172" spans="1:7">
      <c r="A172" s="35">
        <v>33</v>
      </c>
      <c r="B172" s="12">
        <v>356.56</v>
      </c>
      <c r="C172" s="36">
        <f t="shared" si="13"/>
        <v>0.35655999999999999</v>
      </c>
      <c r="D172" s="12">
        <f t="shared" si="14"/>
        <v>2.4959200000000001E-2</v>
      </c>
      <c r="E172" s="12">
        <f t="shared" si="15"/>
        <v>1.11425E-3</v>
      </c>
      <c r="F172" s="12">
        <f>E172/Calculation!K$18*1000</f>
        <v>1.3716748509225835E-3</v>
      </c>
      <c r="G172" s="12">
        <f t="shared" si="11"/>
        <v>82.547501363504153</v>
      </c>
    </row>
    <row r="173" spans="1:7">
      <c r="A173" s="35">
        <v>33.5</v>
      </c>
      <c r="B173" s="12">
        <v>344.01</v>
      </c>
      <c r="C173" s="36">
        <f t="shared" si="13"/>
        <v>0.34400999999999998</v>
      </c>
      <c r="D173" s="12">
        <f t="shared" si="14"/>
        <v>2.40807E-2</v>
      </c>
      <c r="E173" s="12">
        <f t="shared" si="15"/>
        <v>1.07503125E-3</v>
      </c>
      <c r="F173" s="12">
        <f>E173/Calculation!K$18*1000</f>
        <v>1.3233954046047735E-3</v>
      </c>
      <c r="G173" s="12">
        <f t="shared" ref="G173:G202" si="16">G172+(F173+F172)/2*30</f>
        <v>82.58792741733707</v>
      </c>
    </row>
    <row r="174" spans="1:7">
      <c r="A174" s="35">
        <v>34</v>
      </c>
      <c r="B174" s="12">
        <v>327.79</v>
      </c>
      <c r="C174" s="36">
        <f t="shared" si="13"/>
        <v>0.32779000000000003</v>
      </c>
      <c r="D174" s="12">
        <f t="shared" si="14"/>
        <v>2.2945300000000002E-2</v>
      </c>
      <c r="E174" s="12">
        <f t="shared" si="15"/>
        <v>1.0243437500000001E-3</v>
      </c>
      <c r="F174" s="12">
        <f>E174/Calculation!K$18*1000</f>
        <v>1.2609975863358586E-3</v>
      </c>
      <c r="G174" s="12">
        <f t="shared" si="16"/>
        <v>82.626693312201184</v>
      </c>
    </row>
    <row r="175" spans="1:7">
      <c r="A175" s="35">
        <v>34.5</v>
      </c>
      <c r="B175" s="12">
        <v>319.43</v>
      </c>
      <c r="C175" s="36">
        <f t="shared" si="13"/>
        <v>0.31942999999999999</v>
      </c>
      <c r="D175" s="12">
        <f t="shared" si="14"/>
        <v>2.2360100000000001E-2</v>
      </c>
      <c r="E175" s="12">
        <f t="shared" si="15"/>
        <v>9.9821875000000019E-4</v>
      </c>
      <c r="F175" s="12">
        <f>E175/Calculation!K$18*1000</f>
        <v>1.2288369352428791E-3</v>
      </c>
      <c r="G175" s="12">
        <f t="shared" si="16"/>
        <v>82.664040830024859</v>
      </c>
    </row>
    <row r="176" spans="1:7">
      <c r="A176" s="35">
        <v>35</v>
      </c>
      <c r="B176" s="12">
        <v>317.76</v>
      </c>
      <c r="C176" s="36">
        <f t="shared" si="13"/>
        <v>0.31775999999999999</v>
      </c>
      <c r="D176" s="12">
        <f t="shared" si="14"/>
        <v>2.2243200000000001E-2</v>
      </c>
      <c r="E176" s="12">
        <f t="shared" si="15"/>
        <v>9.9300000000000018E-4</v>
      </c>
      <c r="F176" s="12">
        <f>E176/Calculation!K$18*1000</f>
        <v>1.2224124989599512E-3</v>
      </c>
      <c r="G176" s="12">
        <f t="shared" si="16"/>
        <v>82.700809571537903</v>
      </c>
    </row>
    <row r="177" spans="1:7">
      <c r="A177" s="35">
        <v>35.5</v>
      </c>
      <c r="B177" s="12">
        <v>309.56</v>
      </c>
      <c r="C177" s="36">
        <f t="shared" si="13"/>
        <v>0.30956</v>
      </c>
      <c r="D177" s="12">
        <f t="shared" si="14"/>
        <v>2.16692E-2</v>
      </c>
      <c r="E177" s="12">
        <f t="shared" si="15"/>
        <v>9.6737500000000003E-4</v>
      </c>
      <c r="F177" s="12">
        <f>E177/Calculation!K$18*1000</f>
        <v>1.1908673627204257E-3</v>
      </c>
      <c r="G177" s="12">
        <f t="shared" si="16"/>
        <v>82.737008769463102</v>
      </c>
    </row>
    <row r="178" spans="1:7">
      <c r="A178" s="35">
        <v>36</v>
      </c>
      <c r="B178" s="12">
        <v>297.19</v>
      </c>
      <c r="C178" s="36">
        <f t="shared" si="13"/>
        <v>0.29719000000000001</v>
      </c>
      <c r="D178" s="12">
        <f t="shared" si="14"/>
        <v>2.08033E-2</v>
      </c>
      <c r="E178" s="12">
        <f t="shared" si="15"/>
        <v>9.2871875000000007E-4</v>
      </c>
      <c r="F178" s="12">
        <f>E178/Calculation!K$18*1000</f>
        <v>1.1432803706127516E-3</v>
      </c>
      <c r="G178" s="12">
        <f t="shared" si="16"/>
        <v>82.772020985463101</v>
      </c>
    </row>
    <row r="179" spans="1:7">
      <c r="A179" s="35">
        <v>36.5</v>
      </c>
      <c r="B179" s="12">
        <v>285.48</v>
      </c>
      <c r="C179" s="36">
        <f t="shared" si="13"/>
        <v>0.28548000000000001</v>
      </c>
      <c r="D179" s="12">
        <f t="shared" si="14"/>
        <v>1.9983600000000001E-2</v>
      </c>
      <c r="E179" s="12">
        <f t="shared" si="15"/>
        <v>8.9212500000000012E-4</v>
      </c>
      <c r="F179" s="12">
        <f>E179/Calculation!K$18*1000</f>
        <v>1.0982323772755756E-3</v>
      </c>
      <c r="G179" s="12">
        <f t="shared" si="16"/>
        <v>82.805643676681427</v>
      </c>
    </row>
    <row r="180" spans="1:7">
      <c r="A180" s="35">
        <v>37</v>
      </c>
      <c r="B180" s="12">
        <v>289.66000000000003</v>
      </c>
      <c r="C180" s="36">
        <f t="shared" si="13"/>
        <v>0.28966000000000003</v>
      </c>
      <c r="D180" s="12">
        <f t="shared" si="14"/>
        <v>2.0276200000000001E-2</v>
      </c>
      <c r="E180" s="12">
        <f t="shared" si="15"/>
        <v>9.0518750000000007E-4</v>
      </c>
      <c r="F180" s="12">
        <f>E180/Calculation!K$18*1000</f>
        <v>1.1143127028220654E-3</v>
      </c>
      <c r="G180" s="12">
        <f t="shared" si="16"/>
        <v>82.83883185288289</v>
      </c>
    </row>
    <row r="181" spans="1:7">
      <c r="A181" s="35">
        <v>37.5</v>
      </c>
      <c r="B181" s="12">
        <v>289.49</v>
      </c>
      <c r="C181" s="36">
        <f t="shared" si="13"/>
        <v>0.28949000000000003</v>
      </c>
      <c r="D181" s="12">
        <f t="shared" si="14"/>
        <v>2.0264300000000002E-2</v>
      </c>
      <c r="E181" s="12">
        <f t="shared" si="15"/>
        <v>9.0465625000000019E-4</v>
      </c>
      <c r="F181" s="12">
        <f>E181/Calculation!K$18*1000</f>
        <v>1.1136587182902704E-3</v>
      </c>
      <c r="G181" s="12">
        <f t="shared" si="16"/>
        <v>82.872251424199575</v>
      </c>
    </row>
    <row r="182" spans="1:7">
      <c r="A182" s="35">
        <v>38</v>
      </c>
      <c r="B182" s="12">
        <v>280.45999999999998</v>
      </c>
      <c r="C182" s="36">
        <f t="shared" si="13"/>
        <v>0.28045999999999999</v>
      </c>
      <c r="D182" s="12">
        <f t="shared" si="14"/>
        <v>1.9632199999999999E-2</v>
      </c>
      <c r="E182" s="12">
        <f t="shared" si="15"/>
        <v>8.7643750000000005E-4</v>
      </c>
      <c r="F182" s="12">
        <f>E182/Calculation!K$18*1000</f>
        <v>1.0789205987484513E-3</v>
      </c>
      <c r="G182" s="12">
        <f t="shared" si="16"/>
        <v>82.905140113955156</v>
      </c>
    </row>
    <row r="183" spans="1:7">
      <c r="A183" s="35">
        <v>38.5</v>
      </c>
      <c r="B183" s="12">
        <v>263.74</v>
      </c>
      <c r="C183" s="36">
        <f t="shared" si="13"/>
        <v>0.26374000000000003</v>
      </c>
      <c r="D183" s="12">
        <f t="shared" si="14"/>
        <v>1.8461800000000004E-2</v>
      </c>
      <c r="E183" s="12">
        <f t="shared" si="15"/>
        <v>8.2418750000000027E-4</v>
      </c>
      <c r="F183" s="12">
        <f>E183/Calculation!K$18*1000</f>
        <v>1.0145992965624926E-3</v>
      </c>
      <c r="G183" s="12">
        <f t="shared" si="16"/>
        <v>82.936542912384823</v>
      </c>
    </row>
    <row r="184" spans="1:7">
      <c r="A184" s="35">
        <v>39</v>
      </c>
      <c r="B184" s="12">
        <v>256.38</v>
      </c>
      <c r="C184" s="36">
        <f t="shared" si="13"/>
        <v>0.25638</v>
      </c>
      <c r="D184" s="12">
        <f t="shared" si="14"/>
        <v>1.79466E-2</v>
      </c>
      <c r="E184" s="12">
        <f t="shared" si="15"/>
        <v>8.0118750000000003E-4</v>
      </c>
      <c r="F184" s="12">
        <f>E184/Calculation!K$18*1000</f>
        <v>9.862856133036012E-4</v>
      </c>
      <c r="G184" s="12">
        <f t="shared" si="16"/>
        <v>82.966556186032818</v>
      </c>
    </row>
    <row r="185" spans="1:7">
      <c r="A185" s="35">
        <v>39.5</v>
      </c>
      <c r="B185" s="12">
        <v>247.68</v>
      </c>
      <c r="C185" s="36">
        <f t="shared" si="13"/>
        <v>0.24768000000000001</v>
      </c>
      <c r="D185" s="12">
        <f t="shared" si="14"/>
        <v>1.7337600000000002E-2</v>
      </c>
      <c r="E185" s="12">
        <f t="shared" si="15"/>
        <v>7.7400000000000017E-4</v>
      </c>
      <c r="F185" s="12">
        <f>E185/Calculation!K$18*1000</f>
        <v>9.5281699314703162E-4</v>
      </c>
      <c r="G185" s="12">
        <f t="shared" si="16"/>
        <v>82.995642725129571</v>
      </c>
    </row>
    <row r="186" spans="1:7">
      <c r="A186" s="35">
        <v>40</v>
      </c>
      <c r="B186" s="12">
        <v>229.95</v>
      </c>
      <c r="C186" s="36">
        <f t="shared" si="13"/>
        <v>0.22994999999999999</v>
      </c>
      <c r="D186" s="12">
        <f t="shared" si="14"/>
        <v>1.60965E-2</v>
      </c>
      <c r="E186" s="12">
        <f t="shared" si="15"/>
        <v>7.1859375000000005E-4</v>
      </c>
      <c r="F186" s="12">
        <f>E186/Calculation!K$18*1000</f>
        <v>8.8461025344864291E-4</v>
      </c>
      <c r="G186" s="12">
        <f t="shared" si="16"/>
        <v>83.0232041338285</v>
      </c>
    </row>
    <row r="187" spans="1:7">
      <c r="A187" s="35">
        <v>40.5</v>
      </c>
      <c r="B187" s="12">
        <v>247.51</v>
      </c>
      <c r="C187" s="36">
        <f t="shared" si="13"/>
        <v>0.24750999999999998</v>
      </c>
      <c r="D187" s="12">
        <f t="shared" si="14"/>
        <v>1.7325699999999999E-2</v>
      </c>
      <c r="E187" s="12">
        <f t="shared" si="15"/>
        <v>7.7346875000000007E-4</v>
      </c>
      <c r="F187" s="12">
        <f>E187/Calculation!K$18*1000</f>
        <v>9.5216300861523647E-4</v>
      </c>
      <c r="G187" s="12">
        <f t="shared" si="16"/>
        <v>83.050755732759455</v>
      </c>
    </row>
    <row r="188" spans="1:7">
      <c r="A188" s="35">
        <v>41</v>
      </c>
      <c r="B188" s="12">
        <v>247.01</v>
      </c>
      <c r="C188" s="36">
        <f t="shared" si="13"/>
        <v>0.24700999999999998</v>
      </c>
      <c r="D188" s="12">
        <f t="shared" si="14"/>
        <v>1.7290699999999999E-2</v>
      </c>
      <c r="E188" s="12">
        <f t="shared" si="15"/>
        <v>7.7190625000000002E-4</v>
      </c>
      <c r="F188" s="12">
        <f>E188/Calculation!K$18*1000</f>
        <v>9.502395246981922E-4</v>
      </c>
      <c r="G188" s="12">
        <f t="shared" si="16"/>
        <v>83.079291770759156</v>
      </c>
    </row>
    <row r="189" spans="1:7">
      <c r="A189" s="35">
        <v>41.5</v>
      </c>
      <c r="B189" s="12">
        <v>229.45</v>
      </c>
      <c r="C189" s="36">
        <f t="shared" si="13"/>
        <v>0.22944999999999999</v>
      </c>
      <c r="D189" s="12">
        <f t="shared" si="14"/>
        <v>1.6061499999999999E-2</v>
      </c>
      <c r="E189" s="12">
        <f t="shared" si="15"/>
        <v>7.1703125E-4</v>
      </c>
      <c r="F189" s="12">
        <f>E189/Calculation!K$18*1000</f>
        <v>8.8268676953159864E-4</v>
      </c>
      <c r="G189" s="12">
        <f t="shared" si="16"/>
        <v>83.106785665172609</v>
      </c>
    </row>
    <row r="190" spans="1:7">
      <c r="A190" s="35">
        <v>42</v>
      </c>
      <c r="B190" s="12">
        <v>220.09</v>
      </c>
      <c r="C190" s="36">
        <f t="shared" si="13"/>
        <v>0.22009000000000001</v>
      </c>
      <c r="D190" s="12">
        <f t="shared" si="14"/>
        <v>1.5406300000000001E-2</v>
      </c>
      <c r="E190" s="12">
        <f t="shared" si="15"/>
        <v>6.8778125000000013E-4</v>
      </c>
      <c r="F190" s="12">
        <f>E190/Calculation!K$18*1000</f>
        <v>8.4667915060453072E-4</v>
      </c>
      <c r="G190" s="12">
        <f t="shared" si="16"/>
        <v>83.132726153974644</v>
      </c>
    </row>
    <row r="191" spans="1:7">
      <c r="A191" s="35">
        <v>42.5</v>
      </c>
      <c r="B191" s="12">
        <v>222.09</v>
      </c>
      <c r="C191" s="36">
        <f t="shared" si="13"/>
        <v>0.22209000000000001</v>
      </c>
      <c r="D191" s="12">
        <f t="shared" si="14"/>
        <v>1.5546300000000001E-2</v>
      </c>
      <c r="E191" s="12">
        <f t="shared" si="15"/>
        <v>6.940312500000001E-4</v>
      </c>
      <c r="F191" s="12">
        <f>E191/Calculation!K$18*1000</f>
        <v>8.5437308627270769E-4</v>
      </c>
      <c r="G191" s="12">
        <f t="shared" si="16"/>
        <v>83.158241937527805</v>
      </c>
    </row>
    <row r="192" spans="1:7">
      <c r="A192" s="35">
        <v>43</v>
      </c>
      <c r="B192" s="12">
        <v>213.57</v>
      </c>
      <c r="C192" s="36">
        <f t="shared" si="13"/>
        <v>0.21356999999999998</v>
      </c>
      <c r="D192" s="12">
        <f t="shared" si="14"/>
        <v>1.4949899999999999E-2</v>
      </c>
      <c r="E192" s="12">
        <f t="shared" si="15"/>
        <v>6.6740625000000003E-4</v>
      </c>
      <c r="F192" s="12">
        <f>E192/Calculation!K$18*1000</f>
        <v>8.2159692032627381E-4</v>
      </c>
      <c r="G192" s="12">
        <f t="shared" si="16"/>
        <v>83.183381487626789</v>
      </c>
    </row>
    <row r="193" spans="1:7">
      <c r="A193" s="35">
        <v>43.5</v>
      </c>
      <c r="B193" s="12">
        <v>206.04</v>
      </c>
      <c r="C193" s="36">
        <f t="shared" si="13"/>
        <v>0.20604</v>
      </c>
      <c r="D193" s="12">
        <f t="shared" si="14"/>
        <v>1.44228E-2</v>
      </c>
      <c r="E193" s="12">
        <f t="shared" si="15"/>
        <v>6.4387500000000002E-4</v>
      </c>
      <c r="F193" s="12">
        <f>E193/Calculation!K$18*1000</f>
        <v>7.926292525355877E-4</v>
      </c>
      <c r="G193" s="12">
        <f t="shared" si="16"/>
        <v>83.207594880219716</v>
      </c>
    </row>
    <row r="194" spans="1:7">
      <c r="A194" s="35">
        <v>44</v>
      </c>
      <c r="B194" s="12">
        <v>205.2</v>
      </c>
      <c r="C194" s="36">
        <f t="shared" si="13"/>
        <v>0.20519999999999999</v>
      </c>
      <c r="D194" s="12">
        <f t="shared" si="14"/>
        <v>1.4364E-2</v>
      </c>
      <c r="E194" s="12">
        <f t="shared" si="15"/>
        <v>6.4125E-4</v>
      </c>
      <c r="F194" s="12">
        <f>E194/Calculation!K$18*1000</f>
        <v>7.8939779955495334E-4</v>
      </c>
      <c r="G194" s="12">
        <f t="shared" si="16"/>
        <v>83.231325286001081</v>
      </c>
    </row>
    <row r="195" spans="1:7">
      <c r="A195" s="35">
        <v>44.5</v>
      </c>
      <c r="B195" s="12">
        <v>198.85</v>
      </c>
      <c r="C195" s="36">
        <f t="shared" si="13"/>
        <v>0.19885</v>
      </c>
      <c r="D195" s="12">
        <f t="shared" si="14"/>
        <v>1.3919500000000001E-2</v>
      </c>
      <c r="E195" s="12">
        <f t="shared" si="15"/>
        <v>6.2140625000000011E-4</v>
      </c>
      <c r="F195" s="12">
        <f>E195/Calculation!K$18*1000</f>
        <v>7.649695538084918E-4</v>
      </c>
      <c r="G195" s="12">
        <f t="shared" si="16"/>
        <v>83.25464079630153</v>
      </c>
    </row>
    <row r="196" spans="1:7">
      <c r="A196" s="35">
        <v>45</v>
      </c>
      <c r="B196" s="12">
        <v>191.82</v>
      </c>
      <c r="C196" s="36">
        <f t="shared" si="13"/>
        <v>0.19181999999999999</v>
      </c>
      <c r="D196" s="12">
        <f t="shared" si="14"/>
        <v>1.3427399999999999E-2</v>
      </c>
      <c r="E196" s="12">
        <f t="shared" si="15"/>
        <v>5.9943750000000004E-4</v>
      </c>
      <c r="F196" s="12">
        <f>E196/Calculation!K$18*1000</f>
        <v>7.3792536993484974E-4</v>
      </c>
      <c r="G196" s="12">
        <f t="shared" si="16"/>
        <v>83.277184220157679</v>
      </c>
    </row>
    <row r="197" spans="1:7">
      <c r="A197" s="35">
        <v>45.5</v>
      </c>
      <c r="B197" s="12">
        <v>189.15</v>
      </c>
      <c r="C197" s="36">
        <f t="shared" si="13"/>
        <v>0.18915000000000001</v>
      </c>
      <c r="D197" s="12">
        <f t="shared" si="14"/>
        <v>1.3240500000000001E-2</v>
      </c>
      <c r="E197" s="12">
        <f t="shared" si="15"/>
        <v>5.9109375000000004E-4</v>
      </c>
      <c r="F197" s="12">
        <f>E197/Calculation!K$18*1000</f>
        <v>7.2765396581783357E-4</v>
      </c>
      <c r="G197" s="12">
        <f t="shared" si="16"/>
        <v>83.299167910193972</v>
      </c>
    </row>
    <row r="198" spans="1:7">
      <c r="A198" s="35">
        <v>46</v>
      </c>
      <c r="B198" s="12">
        <v>170.75</v>
      </c>
      <c r="C198" s="36">
        <f t="shared" si="13"/>
        <v>0.17075000000000001</v>
      </c>
      <c r="D198" s="12">
        <f t="shared" si="14"/>
        <v>1.19525E-2</v>
      </c>
      <c r="E198" s="12">
        <f t="shared" si="15"/>
        <v>5.3359375E-4</v>
      </c>
      <c r="F198" s="12">
        <f>E198/Calculation!K$18*1000</f>
        <v>6.5686975767060565E-4</v>
      </c>
      <c r="G198" s="12">
        <f t="shared" si="16"/>
        <v>83.319935766046299</v>
      </c>
    </row>
    <row r="199" spans="1:7">
      <c r="A199" s="35">
        <v>46.5</v>
      </c>
      <c r="B199" s="12">
        <v>165.9</v>
      </c>
      <c r="C199" s="36">
        <f t="shared" si="13"/>
        <v>0.16589999999999999</v>
      </c>
      <c r="D199" s="12">
        <f t="shared" si="14"/>
        <v>1.1613E-2</v>
      </c>
      <c r="E199" s="12">
        <f t="shared" si="15"/>
        <v>5.1843750000000002E-4</v>
      </c>
      <c r="F199" s="12">
        <f>E199/Calculation!K$18*1000</f>
        <v>6.3821196367527669E-4</v>
      </c>
      <c r="G199" s="12">
        <f t="shared" si="16"/>
        <v>83.339361991866483</v>
      </c>
    </row>
    <row r="200" spans="1:7">
      <c r="A200" s="35">
        <v>47</v>
      </c>
      <c r="B200" s="12">
        <v>163.38999999999999</v>
      </c>
      <c r="C200" s="36">
        <f t="shared" si="13"/>
        <v>0.16338999999999998</v>
      </c>
      <c r="D200" s="12">
        <f t="shared" si="14"/>
        <v>1.1437299999999999E-2</v>
      </c>
      <c r="E200" s="12">
        <f t="shared" si="15"/>
        <v>5.1059374999999998E-4</v>
      </c>
      <c r="F200" s="12">
        <f>E200/Calculation!K$18*1000</f>
        <v>6.2855607441171459E-4</v>
      </c>
      <c r="G200" s="12">
        <f t="shared" si="16"/>
        <v>83.358363512437791</v>
      </c>
    </row>
    <row r="201" spans="1:7">
      <c r="A201" s="35">
        <v>47.5</v>
      </c>
      <c r="B201" s="12">
        <v>160.38</v>
      </c>
      <c r="C201" s="36">
        <f t="shared" si="13"/>
        <v>0.16037999999999999</v>
      </c>
      <c r="D201" s="12">
        <f t="shared" si="14"/>
        <v>1.12266E-2</v>
      </c>
      <c r="E201" s="12">
        <f t="shared" si="15"/>
        <v>5.0118750000000001E-4</v>
      </c>
      <c r="F201" s="12">
        <f>E201/Calculation!K$18*1000</f>
        <v>6.1697670123110821E-4</v>
      </c>
      <c r="G201" s="12">
        <f t="shared" si="16"/>
        <v>83.377046504072439</v>
      </c>
    </row>
    <row r="202" spans="1:7">
      <c r="A202" s="35">
        <v>48</v>
      </c>
      <c r="B202" s="12">
        <v>175.77</v>
      </c>
      <c r="C202" s="36">
        <f t="shared" ref="C202" si="17">B202/1000</f>
        <v>0.17577000000000001</v>
      </c>
      <c r="D202" s="12">
        <f t="shared" si="14"/>
        <v>1.23039E-2</v>
      </c>
      <c r="E202" s="12">
        <f t="shared" si="15"/>
        <v>5.4928124999999996E-4</v>
      </c>
      <c r="F202" s="12">
        <f>E202/Calculation!K$19*1000</f>
        <v>7.1896721652785895E-4</v>
      </c>
      <c r="G202" s="12">
        <f t="shared" si="16"/>
        <v>83.397085662838819</v>
      </c>
    </row>
  </sheetData>
  <mergeCells count="6">
    <mergeCell ref="D104:F104"/>
    <mergeCell ref="A3:A4"/>
    <mergeCell ref="B3:C3"/>
    <mergeCell ref="D3:F3"/>
    <mergeCell ref="A104:A105"/>
    <mergeCell ref="B104:C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N3" sqref="N3:O19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121" t="s">
        <v>40</v>
      </c>
      <c r="B1" s="121"/>
      <c r="D1" s="149" t="s">
        <v>4</v>
      </c>
      <c r="E1" s="149" t="s">
        <v>5</v>
      </c>
      <c r="F1" s="121" t="s">
        <v>145</v>
      </c>
      <c r="G1" s="121"/>
      <c r="H1" s="121"/>
      <c r="I1" s="121"/>
      <c r="J1" s="121" t="s">
        <v>41</v>
      </c>
      <c r="K1" s="121"/>
      <c r="L1" s="121"/>
      <c r="M1" s="121"/>
      <c r="N1" s="147" t="s">
        <v>42</v>
      </c>
      <c r="O1" s="119"/>
      <c r="P1" s="119"/>
      <c r="Q1" s="148"/>
      <c r="R1" s="121" t="s">
        <v>64</v>
      </c>
      <c r="S1" s="121"/>
      <c r="T1" s="121"/>
      <c r="U1" s="121"/>
    </row>
    <row r="2" spans="1:21">
      <c r="A2" s="121" t="s">
        <v>34</v>
      </c>
      <c r="B2" s="121"/>
      <c r="D2" s="149"/>
      <c r="E2" s="149"/>
      <c r="F2" s="14" t="s">
        <v>47</v>
      </c>
      <c r="G2" s="14" t="s">
        <v>23</v>
      </c>
      <c r="H2" s="14" t="s">
        <v>47</v>
      </c>
      <c r="I2" s="14" t="s">
        <v>23</v>
      </c>
      <c r="J2" s="14" t="s">
        <v>47</v>
      </c>
      <c r="K2" s="14" t="s">
        <v>23</v>
      </c>
      <c r="L2" s="14" t="s">
        <v>47</v>
      </c>
      <c r="M2" s="14" t="s">
        <v>23</v>
      </c>
      <c r="N2" s="14" t="s">
        <v>47</v>
      </c>
      <c r="O2" s="14" t="s">
        <v>23</v>
      </c>
      <c r="P2" s="14" t="s">
        <v>47</v>
      </c>
      <c r="Q2" s="14" t="s">
        <v>23</v>
      </c>
      <c r="R2" s="14" t="s">
        <v>47</v>
      </c>
      <c r="S2" s="14" t="s">
        <v>23</v>
      </c>
      <c r="T2" s="14" t="s">
        <v>47</v>
      </c>
      <c r="U2" s="14" t="s">
        <v>23</v>
      </c>
    </row>
    <row r="3" spans="1:21">
      <c r="A3" s="121" t="s">
        <v>35</v>
      </c>
      <c r="B3" s="14" t="s">
        <v>37</v>
      </c>
      <c r="D3" s="16">
        <v>0</v>
      </c>
      <c r="E3" s="66">
        <v>-0.16666666666666666</v>
      </c>
      <c r="F3" s="71">
        <v>49.663262285375964</v>
      </c>
      <c r="G3" s="68">
        <v>0.62051216997671388</v>
      </c>
      <c r="H3" s="13">
        <f>F3*Calculation!I3/Calculation!F21</f>
        <v>49.663262285375964</v>
      </c>
      <c r="I3" s="13">
        <f>G3*Calculation!I3/Calculation!F21</f>
        <v>0.62051216997671388</v>
      </c>
      <c r="J3" s="13">
        <v>3.7004144464179989E-2</v>
      </c>
      <c r="K3" s="13">
        <v>1.2818611660515672E-2</v>
      </c>
      <c r="L3" s="13">
        <f>J3*Calculation!I3/Calculation!F21</f>
        <v>3.7004144464179989E-2</v>
      </c>
      <c r="M3" s="13">
        <f>K3*Calculation!I3/Calculation!F21</f>
        <v>1.2818611660515671E-2</v>
      </c>
      <c r="N3" s="13">
        <v>50.14709963918957</v>
      </c>
      <c r="O3" s="13">
        <v>0.43975136986596491</v>
      </c>
      <c r="P3" s="13">
        <f>N3*Calculation!I3/Calculation!F21</f>
        <v>50.147099639189562</v>
      </c>
      <c r="Q3" s="13">
        <f>O3*Calculation!I3/Calculation!F21</f>
        <v>0.43975136986596491</v>
      </c>
      <c r="R3" s="13">
        <v>0.73864870736476207</v>
      </c>
      <c r="S3" s="13">
        <v>0.26069954377579801</v>
      </c>
      <c r="T3" s="13">
        <f>R3*Calculation!I3/Calculation!F21</f>
        <v>0.73864870736476207</v>
      </c>
      <c r="U3" s="13">
        <f>S3*Calculation!I3/Calculation!F21</f>
        <v>0.26069954377579801</v>
      </c>
    </row>
    <row r="4" spans="1:21">
      <c r="A4" s="121"/>
      <c r="B4" s="14" t="s">
        <v>38</v>
      </c>
      <c r="D4" s="16">
        <v>0</v>
      </c>
      <c r="E4" s="66">
        <v>0.16666666666666666</v>
      </c>
      <c r="F4" s="72">
        <v>47.713143872113669</v>
      </c>
      <c r="G4" s="73">
        <v>0.60773604321363239</v>
      </c>
      <c r="H4" s="13">
        <f>F4*Calculation!I4/Calculation!K3</f>
        <v>47.713143872113669</v>
      </c>
      <c r="I4" s="13">
        <f>G4*Calculation!I4/Calculation!K3</f>
        <v>0.60773604321363239</v>
      </c>
      <c r="J4" s="13">
        <v>0.3182356423919479</v>
      </c>
      <c r="K4" s="13">
        <v>3.3914858606837191E-2</v>
      </c>
      <c r="L4" s="13">
        <f>J4*Calculation!I4/Calculation!K3</f>
        <v>0.3182356423919479</v>
      </c>
      <c r="M4" s="13">
        <f>K4*Calculation!I4/Calculation!K3</f>
        <v>3.3914858606837191E-2</v>
      </c>
      <c r="N4" s="13">
        <v>47.427144046627802</v>
      </c>
      <c r="O4" s="13">
        <v>0.57686954456915196</v>
      </c>
      <c r="P4" s="13">
        <f>N4*Calculation!I4/Calculation!K3</f>
        <v>47.427144046627809</v>
      </c>
      <c r="Q4" s="13">
        <f>O4*Calculation!I4/Calculation!K3</f>
        <v>0.57686954456915196</v>
      </c>
      <c r="R4" s="13">
        <v>0.75313201535230656</v>
      </c>
      <c r="S4" s="13">
        <v>0.23930352149841808</v>
      </c>
      <c r="T4" s="13">
        <f>R4*Calculation!I4/Calculation!K3</f>
        <v>0.75313201535230656</v>
      </c>
      <c r="U4" s="13">
        <f>S4*Calculation!I4/Calculation!K3</f>
        <v>0.23930352149841808</v>
      </c>
    </row>
    <row r="5" spans="1:21">
      <c r="A5" s="15" t="s">
        <v>39</v>
      </c>
      <c r="B5" s="15">
        <v>180.16</v>
      </c>
      <c r="D5" s="16">
        <v>1</v>
      </c>
      <c r="E5" s="66">
        <v>2</v>
      </c>
      <c r="F5" s="72">
        <v>47.428211959739485</v>
      </c>
      <c r="G5" s="73">
        <v>1.0422366900149072</v>
      </c>
      <c r="H5" s="13">
        <f>F5*Calculation!I5/Calculation!K4</f>
        <v>47.460236410758895</v>
      </c>
      <c r="I5" s="13">
        <f>G5*Calculation!I5/Calculation!K4</f>
        <v>1.0429404284956736</v>
      </c>
      <c r="J5" s="13">
        <v>0.16281823564239195</v>
      </c>
      <c r="K5" s="13">
        <v>5.5875032824679913E-2</v>
      </c>
      <c r="L5" s="13">
        <f>J5*Calculation!I5/Calculation!K4</f>
        <v>0.16292817368131321</v>
      </c>
      <c r="M5" s="13">
        <f>K5*Calculation!I5/Calculation!K4</f>
        <v>5.591276073340691E-2</v>
      </c>
      <c r="N5" s="13">
        <v>47.094088259783518</v>
      </c>
      <c r="O5" s="13">
        <v>0.8405948019399837</v>
      </c>
      <c r="P5" s="13">
        <f>N5*Calculation!I5/Calculation!K4</f>
        <v>47.125887103983231</v>
      </c>
      <c r="Q5" s="13">
        <f>O5*Calculation!I5/Calculation!K4</f>
        <v>0.84116238789672904</v>
      </c>
      <c r="R5" s="13">
        <v>0.73864870736476207</v>
      </c>
      <c r="S5" s="13">
        <v>0.1303497718878992</v>
      </c>
      <c r="T5" s="13">
        <f>R5*Calculation!I5/Calculation!K4</f>
        <v>0.73914745733597398</v>
      </c>
      <c r="U5" s="13">
        <f>S5*Calculation!I5/Calculation!K4</f>
        <v>0.13043778658870128</v>
      </c>
    </row>
    <row r="6" spans="1:21">
      <c r="A6" s="15" t="s">
        <v>39</v>
      </c>
      <c r="B6" s="15">
        <v>180.16</v>
      </c>
      <c r="D6" s="16">
        <v>2</v>
      </c>
      <c r="E6" s="66">
        <v>3.3333333333333335</v>
      </c>
      <c r="F6" s="72">
        <v>47.298697454114858</v>
      </c>
      <c r="G6" s="73">
        <v>3.9462434834008269</v>
      </c>
      <c r="H6" s="13">
        <f>F6*Calculation!I6/Calculation!K5</f>
        <v>47.396417129132288</v>
      </c>
      <c r="I6" s="13">
        <f>G6*Calculation!I6/Calculation!K5</f>
        <v>3.95439646966671</v>
      </c>
      <c r="J6" s="13">
        <v>0.3182356423919479</v>
      </c>
      <c r="K6" s="13">
        <v>0.10011655756711597</v>
      </c>
      <c r="L6" s="13">
        <f>J6*Calculation!I6/Calculation!K5</f>
        <v>0.31889312103781697</v>
      </c>
      <c r="M6" s="13">
        <f>K6*Calculation!I6/Calculation!K5</f>
        <v>0.10032339957325817</v>
      </c>
      <c r="N6" s="13">
        <v>46.916458506799891</v>
      </c>
      <c r="O6" s="13">
        <v>3.6231714272228674</v>
      </c>
      <c r="P6" s="13">
        <f>N6*Calculation!I6/Calculation!K5</f>
        <v>47.013388471577485</v>
      </c>
      <c r="Q6" s="13">
        <f>O6*Calculation!I6/Calculation!K5</f>
        <v>3.6306569427541171</v>
      </c>
      <c r="R6" s="13">
        <v>0.9124484032152943</v>
      </c>
      <c r="S6" s="13">
        <v>0.30414946773843143</v>
      </c>
      <c r="T6" s="13">
        <f>R6*Calculation!I6/Calculation!K5</f>
        <v>0.91433353253664329</v>
      </c>
      <c r="U6" s="13">
        <f>S6*Calculation!I6/Calculation!K5</f>
        <v>0.3047778441788811</v>
      </c>
    </row>
    <row r="7" spans="1:21">
      <c r="A7" s="32" t="s">
        <v>103</v>
      </c>
      <c r="B7" s="32">
        <v>46.03</v>
      </c>
      <c r="D7" s="16">
        <v>3</v>
      </c>
      <c r="E7" s="66">
        <v>4.666666666666667</v>
      </c>
      <c r="F7" s="72">
        <v>47.010065127294261</v>
      </c>
      <c r="G7" s="73">
        <v>1.2759348822642811</v>
      </c>
      <c r="H7" s="13">
        <f>F7*Calculation!I7/Calculation!K6</f>
        <v>47.174774120746228</v>
      </c>
      <c r="I7" s="13">
        <f>G7*Calculation!I7/Calculation!K6</f>
        <v>1.2804053706500966</v>
      </c>
      <c r="J7" s="13">
        <v>0.31823564239194796</v>
      </c>
      <c r="K7" s="13">
        <v>5.5875032824679934E-2</v>
      </c>
      <c r="L7" s="13">
        <f>J7*Calculation!I7/Calculation!K6</f>
        <v>0.31935064344963604</v>
      </c>
      <c r="M7" s="13">
        <f>K7*Calculation!I7/Calculation!K6</f>
        <v>5.6070801973068227E-2</v>
      </c>
      <c r="N7" s="13">
        <v>47.060782681099084</v>
      </c>
      <c r="O7" s="13">
        <v>1.4165642176943696</v>
      </c>
      <c r="P7" s="13">
        <f>N7*Calculation!I7/Calculation!K6</f>
        <v>47.225669373459034</v>
      </c>
      <c r="Q7" s="13">
        <f>O7*Calculation!I7/Calculation!K6</f>
        <v>1.4215274285689923</v>
      </c>
      <c r="R7" s="13">
        <v>0.95589832717792755</v>
      </c>
      <c r="S7" s="13">
        <v>0.22577242766485478</v>
      </c>
      <c r="T7" s="13">
        <f>R7*Calculation!I7/Calculation!K6</f>
        <v>0.95924750465482678</v>
      </c>
      <c r="U7" s="13">
        <f>S7*Calculation!I7/Calculation!K6</f>
        <v>0.22656346569488495</v>
      </c>
    </row>
    <row r="8" spans="1:21">
      <c r="A8" s="15" t="s">
        <v>42</v>
      </c>
      <c r="B8" s="15">
        <v>60.05</v>
      </c>
      <c r="D8" s="16">
        <v>4</v>
      </c>
      <c r="E8" s="66">
        <v>6</v>
      </c>
      <c r="F8" s="72">
        <v>43.68339253996448</v>
      </c>
      <c r="G8" s="73">
        <v>0.34521118573415183</v>
      </c>
      <c r="H8" s="13">
        <f>F8*Calculation!I8/Calculation!K7</f>
        <v>43.966331648403774</v>
      </c>
      <c r="I8" s="13">
        <f>G8*Calculation!I8/Calculation!K7</f>
        <v>0.34744713261088611</v>
      </c>
      <c r="J8" s="13">
        <v>0.41444641799881587</v>
      </c>
      <c r="K8" s="13">
        <v>3.391485860683717E-2</v>
      </c>
      <c r="L8" s="13">
        <f>J8*Calculation!I8/Calculation!K7</f>
        <v>0.41713080428811711</v>
      </c>
      <c r="M8" s="13">
        <f>K8*Calculation!I8/Calculation!K7</f>
        <v>3.4134526524073318E-2</v>
      </c>
      <c r="N8" s="13">
        <v>45.739661393283377</v>
      </c>
      <c r="O8" s="13">
        <v>0.42303766601737386</v>
      </c>
      <c r="P8" s="13">
        <f>N8*Calculation!I8/Calculation!K7</f>
        <v>46.035919038636607</v>
      </c>
      <c r="Q8" s="13">
        <f>O8*Calculation!I8/Calculation!K7</f>
        <v>0.42577769816917366</v>
      </c>
      <c r="R8" s="13">
        <v>0.66623216742704028</v>
      </c>
      <c r="S8" s="13">
        <v>0.16449875721052279</v>
      </c>
      <c r="T8" s="13">
        <f>R8*Calculation!I8/Calculation!K7</f>
        <v>0.67054738024602922</v>
      </c>
      <c r="U8" s="13">
        <f>S8*Calculation!I8/Calculation!K7</f>
        <v>0.16556422234494284</v>
      </c>
    </row>
    <row r="9" spans="1:21">
      <c r="A9" s="32" t="s">
        <v>66</v>
      </c>
      <c r="B9" s="32">
        <v>74.08</v>
      </c>
      <c r="D9" s="16">
        <v>5</v>
      </c>
      <c r="E9" s="66">
        <v>7.333333333333333</v>
      </c>
      <c r="F9" s="72">
        <v>38.399200710479576</v>
      </c>
      <c r="G9" s="73">
        <v>0.10174457582051058</v>
      </c>
      <c r="H9" s="13">
        <f>F9*Calculation!I9/Calculation!K8</f>
        <v>38.79576360258158</v>
      </c>
      <c r="I9" s="13">
        <f>G9*Calculation!I9/Calculation!K8</f>
        <v>0.10279533006790463</v>
      </c>
      <c r="J9" s="13">
        <v>0.38484310242747194</v>
      </c>
      <c r="K9" s="13">
        <v>1.2818611660515638E-2</v>
      </c>
      <c r="L9" s="13">
        <f>J9*Calculation!I9/Calculation!K8</f>
        <v>0.38881752092786787</v>
      </c>
      <c r="M9" s="13">
        <f>K9*Calculation!I9/Calculation!K8</f>
        <v>1.2950994252308471E-2</v>
      </c>
      <c r="N9" s="13">
        <v>42.597835137385516</v>
      </c>
      <c r="O9" s="13">
        <v>0.15262533538570514</v>
      </c>
      <c r="P9" s="13">
        <f>N9*Calculation!I9/Calculation!K8</f>
        <v>43.037758895870304</v>
      </c>
      <c r="Q9" s="13">
        <f>O9*Calculation!I9/Calculation!K8</f>
        <v>0.1542015542467419</v>
      </c>
      <c r="R9" s="13">
        <v>0.14483307987544355</v>
      </c>
      <c r="S9" s="13">
        <v>2.5085825296094974E-2</v>
      </c>
      <c r="T9" s="13">
        <f>R9*Calculation!I9/Calculation!K8</f>
        <v>0.14632882520255325</v>
      </c>
      <c r="U9" s="13">
        <f>S9*Calculation!I9/Calculation!K8</f>
        <v>2.5344895986268743E-2</v>
      </c>
    </row>
    <row r="10" spans="1:21">
      <c r="A10" s="32" t="s">
        <v>65</v>
      </c>
      <c r="B10" s="32">
        <v>88.11</v>
      </c>
      <c r="D10" s="16">
        <v>6</v>
      </c>
      <c r="E10" s="66">
        <v>10.333333333333334</v>
      </c>
      <c r="F10" s="72">
        <v>23.608644168146832</v>
      </c>
      <c r="G10" s="73">
        <v>0.14056705086754381</v>
      </c>
      <c r="H10" s="13">
        <f>F10*Calculation!I10/Calculation!K9</f>
        <v>24.135967295157108</v>
      </c>
      <c r="I10" s="13">
        <f>G10*Calculation!I10/Calculation!K9</f>
        <v>0.14370675920022713</v>
      </c>
      <c r="J10" s="13">
        <v>0.51805802249851984</v>
      </c>
      <c r="K10" s="13">
        <v>1.2818611660515679E-2</v>
      </c>
      <c r="L10" s="13">
        <f>J10*Calculation!I10/Calculation!K9</f>
        <v>0.52962937638275798</v>
      </c>
      <c r="M10" s="13">
        <f>K10*Calculation!I10/Calculation!K9</f>
        <v>1.3104928415370819E-2</v>
      </c>
      <c r="N10" s="13">
        <v>35.348320843741334</v>
      </c>
      <c r="O10" s="13">
        <v>0.16429251831194719</v>
      </c>
      <c r="P10" s="13">
        <f>N10*Calculation!I10/Calculation!K9</f>
        <v>36.137861613178387</v>
      </c>
      <c r="Q10" s="13">
        <f>O10*Calculation!I10/Calculation!K9</f>
        <v>0.16796215913857029</v>
      </c>
      <c r="R10" s="13">
        <v>2.5635455137953507</v>
      </c>
      <c r="S10" s="13">
        <v>4.3449923962632954E-2</v>
      </c>
      <c r="T10" s="13">
        <f>R10*Calculation!I10/Calculation!K9</f>
        <v>2.6208049153492792</v>
      </c>
      <c r="U10" s="13">
        <f>S10*Calculation!I10/Calculation!K9</f>
        <v>4.4420422294055469E-2</v>
      </c>
    </row>
    <row r="11" spans="1:21">
      <c r="A11" s="15" t="s">
        <v>41</v>
      </c>
      <c r="B11" s="15">
        <v>90.08</v>
      </c>
      <c r="D11" s="16">
        <v>7</v>
      </c>
      <c r="E11" s="66">
        <v>11.666666666666666</v>
      </c>
      <c r="F11" s="72">
        <v>14.916370633510951</v>
      </c>
      <c r="G11" s="73">
        <v>0.12770451396342014</v>
      </c>
      <c r="H11" s="13">
        <f>F11*Calculation!I11/Calculation!K10</f>
        <v>15.348405488070325</v>
      </c>
      <c r="I11" s="13">
        <f>G11*Calculation!I11/Calculation!K10</f>
        <v>0.13140332263962798</v>
      </c>
      <c r="J11" s="13">
        <v>0.71047957371225579</v>
      </c>
      <c r="K11" s="13">
        <v>2.2202486678508014E-2</v>
      </c>
      <c r="L11" s="13">
        <f>J11*Calculation!I11/Calculation!K10</f>
        <v>0.73105776574286863</v>
      </c>
      <c r="M11" s="13">
        <f>K11*Calculation!I11/Calculation!K10</f>
        <v>2.2845555179464665E-2</v>
      </c>
      <c r="N11" s="13">
        <v>31.662503469331114</v>
      </c>
      <c r="O11" s="13">
        <v>0.26713759457154546</v>
      </c>
      <c r="P11" s="13">
        <f>N11*Calculation!I11/Calculation!K10</f>
        <v>32.579570054591898</v>
      </c>
      <c r="Q11" s="13">
        <f>O11*Calculation!I11/Calculation!K10</f>
        <v>0.27487491584450807</v>
      </c>
      <c r="R11" s="13">
        <v>4.3739590122383962</v>
      </c>
      <c r="S11" s="13">
        <v>5.0171650592189629E-2</v>
      </c>
      <c r="T11" s="13">
        <f>R11*Calculation!I11/Calculation!K10</f>
        <v>4.500645509385075</v>
      </c>
      <c r="U11" s="13">
        <f>S11*Calculation!I11/Calculation!K10</f>
        <v>5.1624812510672913E-2</v>
      </c>
    </row>
    <row r="12" spans="1:21">
      <c r="A12" s="15" t="s">
        <v>43</v>
      </c>
      <c r="B12" s="15">
        <v>46.07</v>
      </c>
      <c r="D12" s="16">
        <v>8</v>
      </c>
      <c r="E12" s="66">
        <v>13</v>
      </c>
      <c r="F12" s="72">
        <v>6.8198638247483707</v>
      </c>
      <c r="G12" s="73">
        <v>2.3109080811124942E-2</v>
      </c>
      <c r="H12" s="13">
        <f>F12*Calculation!I12/Calculation!K11</f>
        <v>7.0584647309770423</v>
      </c>
      <c r="I12" s="13">
        <f>G12*Calculation!I12/Calculation!K11</f>
        <v>2.3917579010698516E-2</v>
      </c>
      <c r="J12" s="13">
        <v>1.8650088809946714</v>
      </c>
      <c r="K12" s="13">
        <v>2.2202486678508014E-2</v>
      </c>
      <c r="L12" s="13">
        <f>J12*Calculation!I12/Calculation!K11</f>
        <v>1.930258396317108</v>
      </c>
      <c r="M12" s="13">
        <f>K12*Calculation!I12/Calculation!K11</f>
        <v>2.2979266622822733E-2</v>
      </c>
      <c r="N12" s="13">
        <v>29.231196225367754</v>
      </c>
      <c r="O12" s="13">
        <v>0.31479204837652708</v>
      </c>
      <c r="P12" s="13">
        <f>N12*Calculation!I12/Calculation!K11</f>
        <v>30.253883787575525</v>
      </c>
      <c r="Q12" s="13">
        <f>O12*Calculation!I12/Calculation!K11</f>
        <v>0.32580541608390801</v>
      </c>
      <c r="R12" s="13">
        <v>5.6774567311173882</v>
      </c>
      <c r="S12" s="13">
        <v>5.017165059218999E-2</v>
      </c>
      <c r="T12" s="13">
        <f>R12*Calculation!I12/Calculation!K11</f>
        <v>5.8760891900534231</v>
      </c>
      <c r="U12" s="13">
        <f>S12*Calculation!I12/Calculation!K11</f>
        <v>5.1926964423361165E-2</v>
      </c>
    </row>
    <row r="13" spans="1:21">
      <c r="D13" s="16">
        <v>9</v>
      </c>
      <c r="E13" s="66">
        <v>14.333333333333334</v>
      </c>
      <c r="F13" s="72">
        <v>0</v>
      </c>
      <c r="G13" s="73">
        <v>0</v>
      </c>
      <c r="H13" s="13">
        <f>F13*Calculation!I13/Calculation!K12</f>
        <v>0</v>
      </c>
      <c r="I13" s="13">
        <f>G13*Calculation!I13/Calculation!K12</f>
        <v>0</v>
      </c>
      <c r="J13" s="13">
        <v>4.1740674955595036</v>
      </c>
      <c r="K13" s="13">
        <v>2.2202486678508014E-2</v>
      </c>
      <c r="L13" s="13">
        <f>J13*Calculation!I13/Calculation!K12</f>
        <v>4.3425442140521806</v>
      </c>
      <c r="M13" s="13">
        <f>K13*Calculation!I13/Calculation!K12</f>
        <v>2.3098639436447788E-2</v>
      </c>
      <c r="N13" s="13">
        <v>28.021093533166809</v>
      </c>
      <c r="O13" s="13">
        <v>0.24093848919467914</v>
      </c>
      <c r="P13" s="13">
        <f>N13*Calculation!I13/Calculation!K12</f>
        <v>29.152101091637427</v>
      </c>
      <c r="Q13" s="13">
        <f>O13*Calculation!I13/Calculation!K12</f>
        <v>0.25066342202369696</v>
      </c>
      <c r="R13" s="13">
        <v>6.5174885943949601</v>
      </c>
      <c r="S13" s="13">
        <v>4.34499239626331E-2</v>
      </c>
      <c r="T13" s="13">
        <f>R13*Calculation!I13/Calculation!K12</f>
        <v>6.7805521630519703</v>
      </c>
      <c r="U13" s="13">
        <f>S13*Calculation!I13/Calculation!K12</f>
        <v>4.520368108701317E-2</v>
      </c>
    </row>
    <row r="14" spans="1:21">
      <c r="D14" s="16">
        <v>10</v>
      </c>
      <c r="E14" s="66">
        <v>15.666666666666666</v>
      </c>
      <c r="F14" s="72">
        <v>0</v>
      </c>
      <c r="G14" s="73">
        <v>0</v>
      </c>
      <c r="H14" s="13">
        <f>F14*Calculation!I14/Calculation!K13</f>
        <v>0</v>
      </c>
      <c r="I14" s="13">
        <f>G14*Calculation!I14/Calculation!K13</f>
        <v>0</v>
      </c>
      <c r="J14" s="13">
        <v>4.2184724689165192</v>
      </c>
      <c r="K14" s="13">
        <v>2.2202486678508014E-2</v>
      </c>
      <c r="L14" s="13">
        <f>J14*Calculation!I14/Calculation!K13</f>
        <v>4.428351073186132</v>
      </c>
      <c r="M14" s="13">
        <f>K14*Calculation!I14/Calculation!K13</f>
        <v>2.3307110911505981E-2</v>
      </c>
      <c r="N14" s="13">
        <v>27.621426588953653</v>
      </c>
      <c r="O14" s="13">
        <v>0.28326063440850596</v>
      </c>
      <c r="P14" s="13">
        <f>N14*Calculation!I14/Calculation!K13</f>
        <v>28.99565541304602</v>
      </c>
      <c r="Q14" s="13">
        <f>O14*Calculation!I14/Calculation!K13</f>
        <v>0.29735349551693746</v>
      </c>
      <c r="R14" s="13">
        <v>6.6478383662828584</v>
      </c>
      <c r="S14" s="13">
        <v>0</v>
      </c>
      <c r="T14" s="13">
        <f>R14*Calculation!I14/Calculation!K13</f>
        <v>6.9785834518573511</v>
      </c>
      <c r="U14" s="13">
        <f>S14*Calculation!I14/Calculation!K13</f>
        <v>0</v>
      </c>
    </row>
    <row r="15" spans="1:21">
      <c r="D15" s="16">
        <v>11</v>
      </c>
      <c r="E15" s="66">
        <v>17</v>
      </c>
      <c r="F15" s="72">
        <v>0</v>
      </c>
      <c r="G15" s="73">
        <v>0</v>
      </c>
      <c r="H15" s="13">
        <f>F15*Calculation!I15/Calculation!K14</f>
        <v>0</v>
      </c>
      <c r="I15" s="13">
        <f>G15*Calculation!I15/Calculation!K14</f>
        <v>0</v>
      </c>
      <c r="J15" s="13">
        <v>4.3812907045589116</v>
      </c>
      <c r="K15" s="13">
        <v>6.4093058302578401E-2</v>
      </c>
      <c r="L15" s="13">
        <f>J15*Calculation!I15/Calculation!K14</f>
        <v>4.6078746945568909</v>
      </c>
      <c r="M15" s="13">
        <f>K15*Calculation!I15/Calculation!K14</f>
        <v>6.7407711874015716E-2</v>
      </c>
      <c r="N15" s="13">
        <v>27.477102414654453</v>
      </c>
      <c r="O15" s="13">
        <v>9.9916736053289018E-2</v>
      </c>
      <c r="P15" s="13">
        <f>N15*Calculation!I15/Calculation!K14</f>
        <v>28.898115517532389</v>
      </c>
      <c r="Q15" s="13">
        <f>O15*Calculation!I15/Calculation!K14</f>
        <v>0.1050840564273906</v>
      </c>
      <c r="R15" s="13">
        <v>6.705771598233035</v>
      </c>
      <c r="S15" s="13">
        <v>9.0448229392402102E-2</v>
      </c>
      <c r="T15" s="13">
        <f>R15*Calculation!I15/Calculation!K14</f>
        <v>7.0525690575209454</v>
      </c>
      <c r="U15" s="13">
        <f>S15*Calculation!I15/Calculation!K14</f>
        <v>9.512587396929767E-2</v>
      </c>
    </row>
    <row r="16" spans="1:21">
      <c r="D16" s="16">
        <v>12</v>
      </c>
      <c r="E16" s="66">
        <v>18.333333333333332</v>
      </c>
      <c r="F16" s="72">
        <v>0</v>
      </c>
      <c r="G16" s="73">
        <v>0</v>
      </c>
      <c r="H16" s="13">
        <f>F16*Calculation!I16/Calculation!K15</f>
        <v>0</v>
      </c>
      <c r="I16" s="13">
        <f>G16*Calculation!I16/Calculation!K15</f>
        <v>0</v>
      </c>
      <c r="J16" s="13">
        <v>4.6477205447010066</v>
      </c>
      <c r="K16" s="13">
        <v>6.4093058302578401E-2</v>
      </c>
      <c r="L16" s="13">
        <f>J16*Calculation!I16/Calculation!K15</f>
        <v>4.8928849443748668</v>
      </c>
      <c r="M16" s="13">
        <f>K16*Calculation!I16/Calculation!K15</f>
        <v>6.7473927701003952E-2</v>
      </c>
      <c r="N16" s="13">
        <v>27.732445184568412</v>
      </c>
      <c r="O16" s="13">
        <v>0.15018317245038798</v>
      </c>
      <c r="P16" s="13">
        <f>N16*Calculation!I16/Calculation!K15</f>
        <v>29.195314608358249</v>
      </c>
      <c r="Q16" s="13">
        <f>O16*Calculation!I16/Calculation!K15</f>
        <v>0.15810524241152069</v>
      </c>
      <c r="R16" s="13">
        <v>6.7637048301832134</v>
      </c>
      <c r="S16" s="13">
        <v>9.0448229392402116E-2</v>
      </c>
      <c r="T16" s="13">
        <f>R16*Calculation!I16/Calculation!K15</f>
        <v>7.1204860992622319</v>
      </c>
      <c r="U16" s="13">
        <f>S16*Calculation!I16/Calculation!K15</f>
        <v>9.5219317853353969E-2</v>
      </c>
    </row>
    <row r="17" spans="4:21">
      <c r="D17" s="16">
        <v>13</v>
      </c>
      <c r="E17" s="66">
        <v>24</v>
      </c>
      <c r="F17" s="72">
        <v>0</v>
      </c>
      <c r="G17" s="73">
        <v>0</v>
      </c>
      <c r="H17" s="13">
        <f>F17*Calculation!I17/Calculation!K16</f>
        <v>0</v>
      </c>
      <c r="I17" s="13">
        <f>G17*Calculation!I17/Calculation!K16</f>
        <v>0</v>
      </c>
      <c r="J17" s="13">
        <v>5.2323860272350506</v>
      </c>
      <c r="K17" s="13">
        <v>0.31892334852598042</v>
      </c>
      <c r="L17" s="13">
        <f>J17*Calculation!I17/Calculation!K16</f>
        <v>5.5140816582012411</v>
      </c>
      <c r="M17" s="13">
        <f>K17*Calculation!I17/Calculation!K16</f>
        <v>0.33609320438624263</v>
      </c>
      <c r="N17" s="13">
        <v>28.054399111851232</v>
      </c>
      <c r="O17" s="13">
        <v>1.5480228513518133</v>
      </c>
      <c r="P17" s="13">
        <f>N17*Calculation!I17/Calculation!K16</f>
        <v>29.564761997551074</v>
      </c>
      <c r="Q17" s="13">
        <f>O17*Calculation!I17/Calculation!K16</f>
        <v>1.6313636583167119</v>
      </c>
      <c r="R17" s="13">
        <v>6.9375045260337451</v>
      </c>
      <c r="S17" s="13">
        <v>0.50359442829209067</v>
      </c>
      <c r="T17" s="13">
        <f>R17*Calculation!I17/Calculation!K16</f>
        <v>7.3109985122610128</v>
      </c>
      <c r="U17" s="13">
        <f>S17*Calculation!I17/Calculation!K16</f>
        <v>0.530706409229736</v>
      </c>
    </row>
    <row r="18" spans="4:21">
      <c r="D18" s="16">
        <v>14</v>
      </c>
      <c r="E18" s="66">
        <v>30</v>
      </c>
      <c r="F18" s="72">
        <v>0</v>
      </c>
      <c r="G18" s="73">
        <v>0</v>
      </c>
      <c r="H18" s="13">
        <f>F18*Calculation!I18/Calculation!K17</f>
        <v>0</v>
      </c>
      <c r="I18" s="13">
        <f>G18*Calculation!I18/Calculation!K17</f>
        <v>0</v>
      </c>
      <c r="J18" s="13">
        <v>5.0325636471284785</v>
      </c>
      <c r="K18" s="13">
        <v>8.4057257930732363E-2</v>
      </c>
      <c r="L18" s="13">
        <f>J18*Calculation!I18/Calculation!K17</f>
        <v>5.3093166962543394</v>
      </c>
      <c r="M18" s="13">
        <f>K18*Calculation!I18/Calculation!K17</f>
        <v>8.8679773226045686E-2</v>
      </c>
      <c r="N18" s="13">
        <v>26.722175964474051</v>
      </c>
      <c r="O18" s="13">
        <v>0.17091095551863081</v>
      </c>
      <c r="P18" s="13">
        <f>N18*Calculation!I18/Calculation!K17</f>
        <v>28.191694125792438</v>
      </c>
      <c r="Q18" s="13">
        <f>O18*Calculation!I18/Calculation!K17</f>
        <v>0.18030976920194791</v>
      </c>
      <c r="R18" s="13">
        <v>6.6188717503077692</v>
      </c>
      <c r="S18" s="13">
        <v>6.6370855166280593E-2</v>
      </c>
      <c r="T18" s="13">
        <f>R18*Calculation!I18/Calculation!K17</f>
        <v>6.9828597824742173</v>
      </c>
      <c r="U18" s="13">
        <f>S18*Calculation!I18/Calculation!K17</f>
        <v>7.0020751685888408E-2</v>
      </c>
    </row>
    <row r="19" spans="4:21">
      <c r="D19" s="16">
        <v>15</v>
      </c>
      <c r="E19" s="66">
        <v>48</v>
      </c>
      <c r="F19" s="72">
        <v>0</v>
      </c>
      <c r="G19" s="73">
        <v>0</v>
      </c>
      <c r="H19" s="13">
        <f>F19*Calculation!I19/Calculation!K18</f>
        <v>0</v>
      </c>
      <c r="I19" s="13">
        <f>G19*Calculation!I19/Calculation!K18</f>
        <v>0</v>
      </c>
      <c r="J19" s="13">
        <v>5.0695677915926591</v>
      </c>
      <c r="K19" s="13">
        <v>2.5637223321031362E-2</v>
      </c>
      <c r="L19" s="13">
        <f>J19*Calculation!I19/Calculation!K18</f>
        <v>5.3483557896091511</v>
      </c>
      <c r="M19" s="13">
        <f>K19*Calculation!I19/Calculation!K18</f>
        <v>2.7047077268783117E-2</v>
      </c>
      <c r="N19" s="13">
        <v>26.444629475437136</v>
      </c>
      <c r="O19" s="13">
        <v>0.17306086337074561</v>
      </c>
      <c r="P19" s="13">
        <f>N19*Calculation!I19/Calculation!K18</f>
        <v>27.898884672886407</v>
      </c>
      <c r="Q19" s="13">
        <f>O19*Calculation!I19/Calculation!K18</f>
        <v>0.18257790577308783</v>
      </c>
      <c r="R19" s="13">
        <v>6.6333550582953142</v>
      </c>
      <c r="S19" s="13">
        <v>6.6370855166280593E-2</v>
      </c>
      <c r="T19" s="13">
        <f>R19*Calculation!I19/Calculation!K18</f>
        <v>6.9981395631798513</v>
      </c>
      <c r="U19" s="13">
        <f>S19*Calculation!I19/Calculation!K18</f>
        <v>7.0020751685888408E-2</v>
      </c>
    </row>
    <row r="21" spans="4:21">
      <c r="D21" s="149" t="s">
        <v>4</v>
      </c>
      <c r="E21" s="149" t="s">
        <v>59</v>
      </c>
      <c r="F21" s="121" t="s">
        <v>43</v>
      </c>
      <c r="G21" s="121"/>
      <c r="H21" s="121"/>
      <c r="I21" s="121"/>
      <c r="J21" s="121" t="s">
        <v>65</v>
      </c>
      <c r="K21" s="121"/>
      <c r="L21" s="121"/>
      <c r="M21" s="121"/>
      <c r="N21" s="147" t="s">
        <v>66</v>
      </c>
      <c r="O21" s="119"/>
      <c r="P21" s="119"/>
      <c r="Q21" s="148"/>
    </row>
    <row r="22" spans="4:21">
      <c r="D22" s="149"/>
      <c r="E22" s="149"/>
      <c r="F22" s="20" t="s">
        <v>47</v>
      </c>
      <c r="G22" s="20" t="s">
        <v>23</v>
      </c>
      <c r="H22" s="20" t="s">
        <v>47</v>
      </c>
      <c r="I22" s="20" t="s">
        <v>23</v>
      </c>
      <c r="J22" s="20" t="s">
        <v>47</v>
      </c>
      <c r="K22" s="20" t="s">
        <v>23</v>
      </c>
      <c r="L22" s="20" t="s">
        <v>47</v>
      </c>
      <c r="M22" s="20" t="s">
        <v>23</v>
      </c>
      <c r="N22" s="20" t="s">
        <v>47</v>
      </c>
      <c r="O22" s="20" t="s">
        <v>23</v>
      </c>
      <c r="P22" s="20" t="s">
        <v>47</v>
      </c>
      <c r="Q22" s="20" t="s">
        <v>23</v>
      </c>
    </row>
    <row r="23" spans="4:21">
      <c r="D23" s="16">
        <v>0</v>
      </c>
      <c r="E23" s="66">
        <v>-0.16666666666666666</v>
      </c>
      <c r="F23" s="13">
        <v>0</v>
      </c>
      <c r="G23" s="13">
        <v>0</v>
      </c>
      <c r="H23" s="13">
        <f>F23*Calculation!I3/Calculation!F21</f>
        <v>0</v>
      </c>
      <c r="I23" s="13">
        <f>G23*Calculation!I3/Calculation!F21</f>
        <v>0</v>
      </c>
      <c r="J23" s="13">
        <v>0</v>
      </c>
      <c r="K23" s="13">
        <v>0</v>
      </c>
      <c r="L23" s="13">
        <f>J23*Calculation!I3/Calculation!F21</f>
        <v>0</v>
      </c>
      <c r="M23" s="13">
        <f>K23*Calculation!I3/Calculation!F21</f>
        <v>0</v>
      </c>
      <c r="N23" s="16">
        <v>0</v>
      </c>
      <c r="O23" s="70">
        <v>0</v>
      </c>
      <c r="P23" s="13">
        <f>N23*Calculation!I3/Calculation!F21</f>
        <v>0</v>
      </c>
      <c r="Q23" s="13">
        <f>O23*Calculation!I3/Calculation!F21</f>
        <v>0</v>
      </c>
    </row>
    <row r="24" spans="4:21">
      <c r="D24" s="16">
        <v>0</v>
      </c>
      <c r="E24" s="66">
        <v>0.16666666666666666</v>
      </c>
      <c r="F24" s="13">
        <v>0</v>
      </c>
      <c r="G24" s="13">
        <v>0</v>
      </c>
      <c r="H24" s="13">
        <f>F24*Calculation!I4/Calculation!K3</f>
        <v>0</v>
      </c>
      <c r="I24" s="13">
        <f>G24*Calculation!I4/Calculation!K3</f>
        <v>0</v>
      </c>
      <c r="J24" s="13">
        <v>1.7024174327545114</v>
      </c>
      <c r="K24" s="13">
        <v>0.33437566366260907</v>
      </c>
      <c r="L24" s="13">
        <f>J24*Calculation!I4/Calculation!K3</f>
        <v>1.7024174327545114</v>
      </c>
      <c r="M24" s="13">
        <f>K24*Calculation!I4/Calculation!K3</f>
        <v>0.33437566366260907</v>
      </c>
      <c r="N24" s="16">
        <v>0</v>
      </c>
      <c r="O24" s="70">
        <v>0</v>
      </c>
      <c r="P24" s="13">
        <f>N24*Calculation!I4/Calculation!K3</f>
        <v>0</v>
      </c>
      <c r="Q24" s="13">
        <f>O24*Calculation!I4/Calculation!K3</f>
        <v>0</v>
      </c>
    </row>
    <row r="25" spans="4:21">
      <c r="D25" s="16">
        <v>1</v>
      </c>
      <c r="E25" s="66">
        <v>2</v>
      </c>
      <c r="F25" s="13">
        <v>0</v>
      </c>
      <c r="G25" s="13">
        <v>0</v>
      </c>
      <c r="H25" s="13">
        <f>F25*Calculation!I5/Calculation!K4</f>
        <v>0</v>
      </c>
      <c r="I25" s="13">
        <f>G25*Calculation!I5/Calculation!K4</f>
        <v>0</v>
      </c>
      <c r="J25" s="13">
        <v>2.9886883819468095</v>
      </c>
      <c r="K25" s="13">
        <v>0.2581428079935229</v>
      </c>
      <c r="L25" s="13">
        <f>J25*Calculation!I5/Calculation!K4</f>
        <v>2.9907064024612908</v>
      </c>
      <c r="M25" s="13">
        <f>K25*Calculation!I5/Calculation!K4</f>
        <v>0.25831711103740779</v>
      </c>
      <c r="N25" s="16">
        <v>0</v>
      </c>
      <c r="O25" s="70">
        <v>0</v>
      </c>
      <c r="P25" s="13">
        <f>N25*Calculation!I5/Calculation!K4</f>
        <v>0</v>
      </c>
      <c r="Q25" s="13">
        <f>O25*Calculation!I5/Calculation!K4</f>
        <v>0</v>
      </c>
    </row>
    <row r="26" spans="4:21">
      <c r="D26" s="16">
        <v>2</v>
      </c>
      <c r="E26" s="66">
        <v>3.3333333333333335</v>
      </c>
      <c r="F26" s="13">
        <v>0</v>
      </c>
      <c r="G26" s="13">
        <v>0</v>
      </c>
      <c r="H26" s="13">
        <f>F26*Calculation!I6/Calculation!K5</f>
        <v>0</v>
      </c>
      <c r="I26" s="13">
        <f>G26*Calculation!I6/Calculation!K5</f>
        <v>0</v>
      </c>
      <c r="J26" s="13">
        <v>3.4956304619225969</v>
      </c>
      <c r="K26" s="13">
        <v>0.58973469784435817</v>
      </c>
      <c r="L26" s="13">
        <f>J26*Calculation!I6/Calculation!K5</f>
        <v>3.5028524762931088</v>
      </c>
      <c r="M26" s="13">
        <f>K26*Calculation!I6/Calculation!K5</f>
        <v>0.59095309678812946</v>
      </c>
      <c r="N26" s="16">
        <v>0</v>
      </c>
      <c r="O26" s="70">
        <v>0</v>
      </c>
      <c r="P26" s="13">
        <f>N26*Calculation!I6/Calculation!K5</f>
        <v>0</v>
      </c>
      <c r="Q26" s="13">
        <f>O26*Calculation!I6/Calculation!K5</f>
        <v>0</v>
      </c>
    </row>
    <row r="27" spans="4:21">
      <c r="D27" s="16">
        <v>3</v>
      </c>
      <c r="E27" s="66">
        <v>4.666666666666667</v>
      </c>
      <c r="F27" s="13">
        <v>0</v>
      </c>
      <c r="G27" s="13">
        <v>0</v>
      </c>
      <c r="H27" s="13">
        <f>F27*Calculation!I7/Calculation!K6</f>
        <v>0</v>
      </c>
      <c r="I27" s="13">
        <f>G27*Calculation!I7/Calculation!K6</f>
        <v>0</v>
      </c>
      <c r="J27" s="13">
        <v>4.3808875269549423</v>
      </c>
      <c r="K27" s="13">
        <v>0.14175457946653966</v>
      </c>
      <c r="L27" s="13">
        <f>J27*Calculation!I7/Calculation!K6</f>
        <v>4.3962368265791216</v>
      </c>
      <c r="M27" s="13">
        <f>K27*Calculation!I7/Calculation!K6</f>
        <v>0.14225124446876669</v>
      </c>
      <c r="N27" s="16">
        <v>0</v>
      </c>
      <c r="O27" s="70">
        <v>0</v>
      </c>
      <c r="P27" s="13">
        <f>N27*Calculation!I7/Calculation!K6</f>
        <v>0</v>
      </c>
      <c r="Q27" s="13">
        <f>O27*Calculation!I7/Calculation!K6</f>
        <v>0</v>
      </c>
    </row>
    <row r="28" spans="4:21">
      <c r="D28" s="16">
        <v>4</v>
      </c>
      <c r="E28" s="66">
        <v>6</v>
      </c>
      <c r="F28" s="13">
        <v>0</v>
      </c>
      <c r="G28" s="13">
        <v>0</v>
      </c>
      <c r="H28" s="13">
        <f>F28*Calculation!I8/Calculation!K7</f>
        <v>0</v>
      </c>
      <c r="I28" s="13">
        <f>G28*Calculation!I8/Calculation!K7</f>
        <v>0</v>
      </c>
      <c r="J28" s="13">
        <v>8.095940680210342</v>
      </c>
      <c r="K28" s="13">
        <v>0.1386925644446213</v>
      </c>
      <c r="L28" s="13">
        <f>J28*Calculation!I8/Calculation!K7</f>
        <v>8.1483784169529834</v>
      </c>
      <c r="M28" s="13">
        <f>K28*Calculation!I8/Calculation!K7</f>
        <v>0.1395908818199309</v>
      </c>
      <c r="N28" s="16">
        <v>0</v>
      </c>
      <c r="O28" s="70">
        <v>0</v>
      </c>
      <c r="P28" s="13">
        <f>N28*Calculation!I8/Calculation!K7</f>
        <v>0</v>
      </c>
      <c r="Q28" s="13">
        <f>O28*Calculation!I8/Calculation!K7</f>
        <v>0</v>
      </c>
    </row>
    <row r="29" spans="4:21">
      <c r="D29" s="16">
        <v>5</v>
      </c>
      <c r="E29" s="66">
        <v>7.333333333333333</v>
      </c>
      <c r="F29" s="13">
        <v>0</v>
      </c>
      <c r="G29" s="13">
        <v>0</v>
      </c>
      <c r="H29" s="13">
        <f>F29*Calculation!I9/Calculation!K8</f>
        <v>0</v>
      </c>
      <c r="I29" s="13">
        <f>G29*Calculation!I9/Calculation!K8</f>
        <v>0</v>
      </c>
      <c r="J29" s="13">
        <v>13.051866984451252</v>
      </c>
      <c r="K29" s="13">
        <v>0.12638212150334871</v>
      </c>
      <c r="L29" s="13">
        <f>J29*Calculation!I9/Calculation!K8</f>
        <v>13.186658491121133</v>
      </c>
      <c r="M29" s="13">
        <f>K29*Calculation!I9/Calculation!K8</f>
        <v>0.12768731688986823</v>
      </c>
      <c r="N29" s="16">
        <v>0</v>
      </c>
      <c r="O29" s="70">
        <v>0</v>
      </c>
      <c r="P29" s="13">
        <f>N29*Calculation!I9/Calculation!K8</f>
        <v>0</v>
      </c>
      <c r="Q29" s="13">
        <f>O29*Calculation!I9/Calculation!K8</f>
        <v>0</v>
      </c>
    </row>
    <row r="30" spans="4:21">
      <c r="D30" s="16">
        <v>6</v>
      </c>
      <c r="E30" s="66">
        <v>10.333333333333334</v>
      </c>
      <c r="F30" s="13">
        <v>0</v>
      </c>
      <c r="G30" s="13">
        <v>0</v>
      </c>
      <c r="H30" s="13">
        <f>F30*Calculation!I10/Calculation!K9</f>
        <v>0</v>
      </c>
      <c r="I30" s="13">
        <f>G30*Calculation!I10/Calculation!K9</f>
        <v>0</v>
      </c>
      <c r="J30" s="13">
        <v>28.857867060114256</v>
      </c>
      <c r="K30" s="13">
        <v>0.17336570555577774</v>
      </c>
      <c r="L30" s="13">
        <f>J30*Calculation!I10/Calculation!K9</f>
        <v>29.502436929887544</v>
      </c>
      <c r="M30" s="13">
        <f>K30*Calculation!I10/Calculation!K9</f>
        <v>0.17723800526595596</v>
      </c>
      <c r="N30" s="16">
        <v>0</v>
      </c>
      <c r="O30" s="70">
        <v>0</v>
      </c>
      <c r="P30" s="13">
        <f>N30*Calculation!I10/Calculation!K9</f>
        <v>0</v>
      </c>
      <c r="Q30" s="13">
        <f>O30*Calculation!I10/Calculation!K9</f>
        <v>0</v>
      </c>
    </row>
    <row r="31" spans="4:21">
      <c r="D31" s="16">
        <v>7</v>
      </c>
      <c r="E31" s="66">
        <v>11.666666666666666</v>
      </c>
      <c r="F31" s="13">
        <v>0</v>
      </c>
      <c r="G31" s="13">
        <v>0</v>
      </c>
      <c r="H31" s="13">
        <f>F31*Calculation!I11/Calculation!K10</f>
        <v>0</v>
      </c>
      <c r="I31" s="13">
        <f>G31*Calculation!I11/Calculation!K10</f>
        <v>0</v>
      </c>
      <c r="J31" s="13">
        <v>38.088752695494271</v>
      </c>
      <c r="K31" s="13">
        <v>0.2617764747400011</v>
      </c>
      <c r="L31" s="13">
        <f>J31*Calculation!I11/Calculation!K10</f>
        <v>39.191947912042238</v>
      </c>
      <c r="M31" s="13">
        <f>K31*Calculation!I11/Calculation!K10</f>
        <v>0.26935851758206353</v>
      </c>
      <c r="N31" s="16">
        <v>0</v>
      </c>
      <c r="O31" s="70">
        <v>0</v>
      </c>
      <c r="P31" s="13">
        <f>N31*Calculation!I11/Calculation!K10</f>
        <v>0</v>
      </c>
      <c r="Q31" s="13">
        <f>O31*Calculation!I11/Calculation!K10</f>
        <v>0</v>
      </c>
    </row>
    <row r="32" spans="4:21">
      <c r="D32" s="16">
        <v>8</v>
      </c>
      <c r="E32" s="66">
        <v>13</v>
      </c>
      <c r="F32" s="13">
        <v>0</v>
      </c>
      <c r="G32" s="13">
        <v>0</v>
      </c>
      <c r="H32" s="13">
        <f>F32*Calculation!I12/Calculation!K11</f>
        <v>0</v>
      </c>
      <c r="I32" s="13">
        <f>G32*Calculation!I12/Calculation!K11</f>
        <v>0</v>
      </c>
      <c r="J32" s="13">
        <v>45.503726402602801</v>
      </c>
      <c r="K32" s="13">
        <v>0.28920689825016305</v>
      </c>
      <c r="L32" s="13">
        <f>J32*Calculation!I12/Calculation!K11</f>
        <v>47.09572745063592</v>
      </c>
      <c r="M32" s="13">
        <f>K32*Calculation!I12/Calculation!K11</f>
        <v>0.29932513957921453</v>
      </c>
      <c r="N32" s="16">
        <v>0</v>
      </c>
      <c r="O32" s="70">
        <v>0</v>
      </c>
      <c r="P32" s="13">
        <f>N32*Calculation!I12/Calculation!K11</f>
        <v>0</v>
      </c>
      <c r="Q32" s="13">
        <f>O32*Calculation!I12/Calculation!K11</f>
        <v>0</v>
      </c>
    </row>
    <row r="33" spans="4:17">
      <c r="D33" s="16">
        <v>9</v>
      </c>
      <c r="E33" s="66">
        <v>14.333333333333334</v>
      </c>
      <c r="F33" s="13">
        <v>0</v>
      </c>
      <c r="G33" s="13">
        <v>0</v>
      </c>
      <c r="H33" s="13">
        <f>F33*Calculation!I13/Calculation!K12</f>
        <v>0</v>
      </c>
      <c r="I33" s="13">
        <f>G33*Calculation!I13/Calculation!K12</f>
        <v>0</v>
      </c>
      <c r="J33" s="13">
        <v>50.890931789808207</v>
      </c>
      <c r="K33" s="13">
        <v>0.46904955895521022</v>
      </c>
      <c r="L33" s="13">
        <f>J33*Calculation!I13/Calculation!K12</f>
        <v>52.945028231253573</v>
      </c>
      <c r="M33" s="13">
        <f>K33*Calculation!I13/Calculation!K12</f>
        <v>0.48798167507151152</v>
      </c>
      <c r="N33" s="16">
        <v>0</v>
      </c>
      <c r="O33" s="70">
        <v>0</v>
      </c>
      <c r="P33" s="13">
        <f>N33*Calculation!I13/Calculation!K12</f>
        <v>0</v>
      </c>
      <c r="Q33" s="13">
        <f>O33*Calculation!I13/Calculation!K12</f>
        <v>0</v>
      </c>
    </row>
    <row r="34" spans="4:17">
      <c r="D34" s="16">
        <v>10</v>
      </c>
      <c r="E34" s="66">
        <v>15.666666666666666</v>
      </c>
      <c r="F34" s="13">
        <v>0</v>
      </c>
      <c r="G34" s="13">
        <v>0</v>
      </c>
      <c r="H34" s="13">
        <f>F34*Calculation!I14/Calculation!K13</f>
        <v>0</v>
      </c>
      <c r="I34" s="13">
        <f>G34*Calculation!I14/Calculation!K13</f>
        <v>0</v>
      </c>
      <c r="J34" s="13">
        <v>51.511368365300953</v>
      </c>
      <c r="K34" s="13">
        <v>0.40689530994586481</v>
      </c>
      <c r="L34" s="13">
        <f>J34*Calculation!I14/Calculation!K13</f>
        <v>54.074176153235626</v>
      </c>
      <c r="M34" s="13">
        <f>K34*Calculation!I14/Calculation!K13</f>
        <v>0.42713927748732511</v>
      </c>
      <c r="N34" s="16">
        <v>0</v>
      </c>
      <c r="O34" s="70">
        <v>0</v>
      </c>
      <c r="P34" s="13">
        <f>N34*Calculation!I14/Calculation!K13</f>
        <v>0</v>
      </c>
      <c r="Q34" s="13">
        <f>O34*Calculation!I14/Calculation!K13</f>
        <v>0</v>
      </c>
    </row>
    <row r="35" spans="4:17">
      <c r="D35" s="16">
        <v>11</v>
      </c>
      <c r="E35" s="66">
        <v>17</v>
      </c>
      <c r="F35" s="13">
        <v>0</v>
      </c>
      <c r="G35" s="13">
        <v>0</v>
      </c>
      <c r="H35" s="13">
        <f>F35*Calculation!I15/Calculation!K14</f>
        <v>0</v>
      </c>
      <c r="I35" s="13">
        <f>G35*Calculation!I15/Calculation!K14</f>
        <v>0</v>
      </c>
      <c r="J35" s="13">
        <v>51.84428555215073</v>
      </c>
      <c r="K35" s="13">
        <v>0.1939394789539827</v>
      </c>
      <c r="L35" s="13">
        <f>J35*Calculation!I15/Calculation!K14</f>
        <v>54.525478349236202</v>
      </c>
      <c r="M35" s="13">
        <f>K35*Calculation!I15/Calculation!K14</f>
        <v>0.20396930439190614</v>
      </c>
      <c r="N35" s="16">
        <v>0</v>
      </c>
      <c r="O35" s="70">
        <v>0</v>
      </c>
      <c r="P35" s="13">
        <f>N35*Calculation!I15/Calculation!K14</f>
        <v>0</v>
      </c>
      <c r="Q35" s="13">
        <f>O35*Calculation!I15/Calculation!K14</f>
        <v>0</v>
      </c>
    </row>
    <row r="36" spans="4:17">
      <c r="D36" s="16">
        <v>12</v>
      </c>
      <c r="E36" s="66">
        <v>18.333333333333332</v>
      </c>
      <c r="F36" s="13">
        <v>0</v>
      </c>
      <c r="G36" s="13">
        <v>0</v>
      </c>
      <c r="H36" s="13">
        <f>F36*Calculation!I16/Calculation!K15</f>
        <v>0</v>
      </c>
      <c r="I36" s="13">
        <f>G36*Calculation!I16/Calculation!K15</f>
        <v>0</v>
      </c>
      <c r="J36" s="13">
        <v>52.50255362614913</v>
      </c>
      <c r="K36" s="13">
        <v>0.48311875278158334</v>
      </c>
      <c r="L36" s="13">
        <f>J36*Calculation!I16/Calculation!K15</f>
        <v>55.272031032826462</v>
      </c>
      <c r="M36" s="13">
        <f>K36*Calculation!I16/Calculation!K15</f>
        <v>0.50860296979887398</v>
      </c>
      <c r="N36" s="16">
        <v>0</v>
      </c>
      <c r="O36" s="70">
        <v>0</v>
      </c>
      <c r="P36" s="13">
        <f>N36*Calculation!I16/Calculation!K15</f>
        <v>0</v>
      </c>
      <c r="Q36" s="13">
        <f>O36*Calculation!I16/Calculation!K15</f>
        <v>0</v>
      </c>
    </row>
    <row r="37" spans="4:17">
      <c r="D37" s="16">
        <v>13</v>
      </c>
      <c r="E37" s="66">
        <v>24</v>
      </c>
      <c r="F37" s="13">
        <v>0</v>
      </c>
      <c r="G37" s="13">
        <v>0</v>
      </c>
      <c r="H37" s="13">
        <f>F37*Calculation!I17/Calculation!K16</f>
        <v>0</v>
      </c>
      <c r="I37" s="13">
        <f>G37*Calculation!I17/Calculation!K16</f>
        <v>0</v>
      </c>
      <c r="J37" s="13">
        <v>54.13687436159347</v>
      </c>
      <c r="K37" s="13">
        <v>3.3446040251734726</v>
      </c>
      <c r="L37" s="13">
        <f>J37*Calculation!I17/Calculation!K16</f>
        <v>57.051437794499243</v>
      </c>
      <c r="M37" s="13">
        <f>K37*Calculation!I17/Calculation!K16</f>
        <v>3.5246672575686491</v>
      </c>
      <c r="N37" s="16">
        <v>0</v>
      </c>
      <c r="O37" s="70">
        <v>0</v>
      </c>
      <c r="P37" s="13">
        <f>N37*Calculation!I17/Calculation!K16</f>
        <v>0</v>
      </c>
      <c r="Q37" s="13">
        <f>O37*Calculation!I17/Calculation!K16</f>
        <v>0</v>
      </c>
    </row>
    <row r="38" spans="4:17">
      <c r="D38" s="16">
        <v>14</v>
      </c>
      <c r="E38" s="66">
        <v>30</v>
      </c>
      <c r="F38" s="13">
        <v>0</v>
      </c>
      <c r="G38" s="13">
        <v>0</v>
      </c>
      <c r="H38" s="13">
        <f>F38*Calculation!I18/Calculation!K17</f>
        <v>0</v>
      </c>
      <c r="I38" s="13">
        <f>G38*Calculation!I18/Calculation!K17</f>
        <v>0</v>
      </c>
      <c r="J38" s="13">
        <v>52.979230507320395</v>
      </c>
      <c r="K38" s="13">
        <v>0.38721421199028788</v>
      </c>
      <c r="L38" s="13">
        <f>J38*Calculation!I18/Calculation!K17</f>
        <v>55.89268865933181</v>
      </c>
      <c r="M38" s="13">
        <f>K38*Calculation!I18/Calculation!K17</f>
        <v>0.40850807359784558</v>
      </c>
      <c r="N38" s="16">
        <v>0</v>
      </c>
      <c r="O38" s="70">
        <v>0</v>
      </c>
      <c r="P38" s="13">
        <f>N38*Calculation!I18/Calculation!K17</f>
        <v>0</v>
      </c>
      <c r="Q38" s="13">
        <f>O38*Calculation!I18/Calculation!K17</f>
        <v>0</v>
      </c>
    </row>
    <row r="39" spans="4:17">
      <c r="D39" s="16">
        <v>15</v>
      </c>
      <c r="E39" s="66">
        <v>48</v>
      </c>
      <c r="F39" s="13">
        <v>0</v>
      </c>
      <c r="G39" s="13">
        <v>0</v>
      </c>
      <c r="H39" s="13">
        <f>F39*Calculation!I19/Calculation!K18</f>
        <v>0</v>
      </c>
      <c r="I39" s="13">
        <f>G39*Calculation!I19/Calculation!K18</f>
        <v>0</v>
      </c>
      <c r="J39" s="13">
        <v>54.734612037982828</v>
      </c>
      <c r="K39" s="13">
        <v>0.24482562989238321</v>
      </c>
      <c r="L39" s="13">
        <f>J39*Calculation!I19/Calculation!K18</f>
        <v>57.744602936533319</v>
      </c>
      <c r="M39" s="13">
        <f>K39*Calculation!I19/Calculation!K18</f>
        <v>0.25828919326242372</v>
      </c>
      <c r="N39" s="16">
        <v>0</v>
      </c>
      <c r="O39" s="70">
        <v>0</v>
      </c>
      <c r="P39" s="13">
        <f>N39*Calculation!I19/Calculation!K18</f>
        <v>0</v>
      </c>
      <c r="Q39" s="13">
        <f>O39*Calculation!I19/Calculation!K18</f>
        <v>0</v>
      </c>
    </row>
  </sheetData>
  <mergeCells count="14">
    <mergeCell ref="R1:U1"/>
    <mergeCell ref="D1:D2"/>
    <mergeCell ref="E1:E2"/>
    <mergeCell ref="F1:I1"/>
    <mergeCell ref="J1:M1"/>
    <mergeCell ref="F21:I21"/>
    <mergeCell ref="J21:M21"/>
    <mergeCell ref="N21:Q21"/>
    <mergeCell ref="N1:Q1"/>
    <mergeCell ref="A1:B1"/>
    <mergeCell ref="A2:B2"/>
    <mergeCell ref="A3:A4"/>
    <mergeCell ref="D21:D22"/>
    <mergeCell ref="E21:E2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3"/>
  <sheetViews>
    <sheetView workbookViewId="0">
      <selection activeCell="G7" sqref="G7:H2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8" t="s">
        <v>35</v>
      </c>
      <c r="B1" s="28" t="s">
        <v>60</v>
      </c>
    </row>
    <row r="2" spans="1:8">
      <c r="A2" s="28" t="s">
        <v>145</v>
      </c>
      <c r="B2" s="17">
        <v>180.16</v>
      </c>
    </row>
    <row r="4" spans="1:8">
      <c r="A4" s="150" t="s">
        <v>146</v>
      </c>
      <c r="B4" s="151"/>
      <c r="C4" s="151"/>
      <c r="D4" s="151"/>
      <c r="E4" s="151"/>
      <c r="F4" s="151"/>
      <c r="G4" s="151"/>
      <c r="H4" s="152"/>
    </row>
    <row r="5" spans="1:8">
      <c r="A5" s="153" t="s">
        <v>61</v>
      </c>
      <c r="B5" s="151"/>
      <c r="C5" s="152"/>
      <c r="D5" s="154" t="s">
        <v>44</v>
      </c>
      <c r="E5" s="154" t="s">
        <v>45</v>
      </c>
      <c r="F5" s="154" t="s">
        <v>46</v>
      </c>
      <c r="G5" s="156" t="s">
        <v>62</v>
      </c>
      <c r="H5" s="156" t="s">
        <v>63</v>
      </c>
    </row>
    <row r="6" spans="1:8">
      <c r="A6" s="29" t="s">
        <v>4</v>
      </c>
      <c r="B6" s="29" t="s">
        <v>5</v>
      </c>
      <c r="C6" s="29" t="s">
        <v>19</v>
      </c>
      <c r="D6" s="155"/>
      <c r="E6" s="155"/>
      <c r="F6" s="155"/>
      <c r="G6" s="157"/>
      <c r="H6" s="157"/>
    </row>
    <row r="7" spans="1:8">
      <c r="A7" s="16">
        <v>0</v>
      </c>
      <c r="B7" s="66">
        <v>-0.16666666666666666</v>
      </c>
      <c r="C7" s="16">
        <v>2</v>
      </c>
      <c r="D7" s="16">
        <v>4.5380000000000003</v>
      </c>
      <c r="E7" s="16">
        <v>4.4370000000000003</v>
      </c>
      <c r="F7" s="16">
        <v>4.4459999999999997</v>
      </c>
      <c r="G7" s="19">
        <f>(C7*1000*AVERAGE(D7:F7)/$B$2)</f>
        <v>49.663262285375964</v>
      </c>
      <c r="H7" s="19">
        <f>(C7*1000*STDEV(D7:F7))/$B$2</f>
        <v>0.62051216997671388</v>
      </c>
    </row>
    <row r="8" spans="1:8">
      <c r="A8" s="16">
        <v>0</v>
      </c>
      <c r="B8" s="66">
        <v>0.16666666666666666</v>
      </c>
      <c r="C8" s="16">
        <v>2</v>
      </c>
      <c r="D8" s="16">
        <v>4.3609999999999998</v>
      </c>
      <c r="E8" s="19">
        <v>4.2619999999999996</v>
      </c>
      <c r="F8" s="16">
        <v>4.2709999999999999</v>
      </c>
      <c r="G8" s="19">
        <f t="shared" ref="G8:G17" si="0">(C8*1000*AVERAGE(D8:F8))/$B$2</f>
        <v>47.713143872113669</v>
      </c>
      <c r="H8" s="19">
        <f t="shared" ref="H8:H17" si="1">(C8*1000*STDEV(D8:F8))/$B$2</f>
        <v>0.60773604321363239</v>
      </c>
    </row>
    <row r="9" spans="1:8">
      <c r="A9" s="16">
        <v>1</v>
      </c>
      <c r="B9" s="66">
        <v>2</v>
      </c>
      <c r="C9" s="16">
        <v>2</v>
      </c>
      <c r="D9" s="16">
        <v>4.3230000000000004</v>
      </c>
      <c r="E9" s="16">
        <v>4.33</v>
      </c>
      <c r="F9" s="16">
        <v>4.1639999999999997</v>
      </c>
      <c r="G9" s="19">
        <f t="shared" si="0"/>
        <v>47.428211959739485</v>
      </c>
      <c r="H9" s="19">
        <f t="shared" si="1"/>
        <v>1.0422366900149072</v>
      </c>
    </row>
    <row r="10" spans="1:8">
      <c r="A10" s="16">
        <v>2</v>
      </c>
      <c r="B10" s="66">
        <v>3.3333333333333335</v>
      </c>
      <c r="C10" s="16">
        <v>2</v>
      </c>
      <c r="D10" s="16">
        <v>3.96</v>
      </c>
      <c r="E10" s="16">
        <v>4.1689999999999996</v>
      </c>
      <c r="F10" s="16">
        <v>4.6529999999999996</v>
      </c>
      <c r="G10" s="19">
        <f t="shared" si="0"/>
        <v>47.298697454114858</v>
      </c>
      <c r="H10" s="19">
        <f t="shared" si="1"/>
        <v>3.9462434834008269</v>
      </c>
    </row>
    <row r="11" spans="1:8">
      <c r="A11" s="16">
        <v>3</v>
      </c>
      <c r="B11" s="66">
        <v>4.666666666666667</v>
      </c>
      <c r="C11" s="16">
        <v>2</v>
      </c>
      <c r="D11" s="16">
        <v>4.1050000000000004</v>
      </c>
      <c r="E11" s="16">
        <v>4.3239999999999998</v>
      </c>
      <c r="F11" s="16">
        <v>4.2750000000000004</v>
      </c>
      <c r="G11" s="19">
        <f t="shared" si="0"/>
        <v>47.010065127294261</v>
      </c>
      <c r="H11" s="19">
        <f t="shared" si="1"/>
        <v>1.2759348822642811</v>
      </c>
    </row>
    <row r="12" spans="1:8">
      <c r="A12" s="16">
        <v>4</v>
      </c>
      <c r="B12" s="66">
        <v>6</v>
      </c>
      <c r="C12" s="16">
        <v>2</v>
      </c>
      <c r="D12" s="16">
        <v>3.9079999999999999</v>
      </c>
      <c r="E12" s="16">
        <v>3.9689999999999999</v>
      </c>
      <c r="F12" s="16">
        <v>3.9279999999999999</v>
      </c>
      <c r="G12" s="19">
        <f t="shared" si="0"/>
        <v>43.68339253996448</v>
      </c>
      <c r="H12" s="19">
        <f t="shared" si="1"/>
        <v>0.34521118573415183</v>
      </c>
    </row>
    <row r="13" spans="1:8">
      <c r="A13" s="16">
        <v>5</v>
      </c>
      <c r="B13" s="66">
        <v>7.333333333333333</v>
      </c>
      <c r="C13" s="16">
        <v>2</v>
      </c>
      <c r="D13" s="16">
        <v>3.4689999999999999</v>
      </c>
      <c r="E13" s="16">
        <v>3.4569999999999999</v>
      </c>
      <c r="F13" s="16">
        <v>3.4510000000000001</v>
      </c>
      <c r="G13" s="19">
        <f t="shared" si="0"/>
        <v>38.399200710479576</v>
      </c>
      <c r="H13" s="19">
        <f t="shared" si="1"/>
        <v>0.10174457582051058</v>
      </c>
    </row>
    <row r="14" spans="1:8">
      <c r="A14" s="16">
        <v>6</v>
      </c>
      <c r="B14" s="66">
        <v>10.333333333333334</v>
      </c>
      <c r="C14" s="16">
        <v>2</v>
      </c>
      <c r="D14" s="16">
        <v>2.1379999999999999</v>
      </c>
      <c r="E14" s="16">
        <v>2.113</v>
      </c>
      <c r="F14" s="16">
        <v>2.129</v>
      </c>
      <c r="G14" s="19">
        <f t="shared" si="0"/>
        <v>23.608644168146832</v>
      </c>
      <c r="H14" s="19">
        <f t="shared" si="1"/>
        <v>0.14056705086754381</v>
      </c>
    </row>
    <row r="15" spans="1:8">
      <c r="A15" s="16">
        <v>7</v>
      </c>
      <c r="B15" s="66">
        <v>11.666666666666666</v>
      </c>
      <c r="C15" s="16">
        <v>2</v>
      </c>
      <c r="D15" s="16">
        <v>1.355</v>
      </c>
      <c r="E15" s="16">
        <v>1.3440000000000001</v>
      </c>
      <c r="F15" s="16">
        <v>1.3320000000000001</v>
      </c>
      <c r="G15" s="19">
        <f t="shared" si="0"/>
        <v>14.916370633510951</v>
      </c>
      <c r="H15" s="19">
        <f t="shared" si="1"/>
        <v>0.12770451396342014</v>
      </c>
    </row>
    <row r="16" spans="1:8">
      <c r="A16" s="16">
        <v>8</v>
      </c>
      <c r="B16" s="66">
        <v>13</v>
      </c>
      <c r="C16" s="16">
        <v>2</v>
      </c>
      <c r="D16" s="16">
        <v>0.61599999999999999</v>
      </c>
      <c r="E16" s="16">
        <v>0.61199999999999999</v>
      </c>
      <c r="F16" s="16">
        <v>0.61499999999999999</v>
      </c>
      <c r="G16" s="19">
        <f t="shared" si="0"/>
        <v>6.8198638247483707</v>
      </c>
      <c r="H16" s="19">
        <f t="shared" si="1"/>
        <v>2.3109080811124942E-2</v>
      </c>
    </row>
    <row r="17" spans="1:8">
      <c r="A17" s="16">
        <v>9</v>
      </c>
      <c r="B17" s="66">
        <v>14.333333333333334</v>
      </c>
      <c r="C17" s="16">
        <v>2</v>
      </c>
      <c r="D17" s="68">
        <v>0</v>
      </c>
      <c r="E17" s="66">
        <v>0</v>
      </c>
      <c r="F17" s="66">
        <v>0</v>
      </c>
      <c r="G17" s="19">
        <f t="shared" si="0"/>
        <v>0</v>
      </c>
      <c r="H17" s="19">
        <f t="shared" si="1"/>
        <v>0</v>
      </c>
    </row>
    <row r="18" spans="1:8">
      <c r="A18" s="16">
        <v>10</v>
      </c>
      <c r="B18" s="66">
        <v>15.666666666666666</v>
      </c>
      <c r="C18" s="16">
        <v>2</v>
      </c>
      <c r="D18" s="68">
        <v>0</v>
      </c>
      <c r="E18" s="66">
        <v>0</v>
      </c>
      <c r="F18" s="66">
        <v>0</v>
      </c>
      <c r="G18" s="19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16">
        <v>11</v>
      </c>
      <c r="B19" s="66">
        <v>17</v>
      </c>
      <c r="C19" s="16">
        <v>2</v>
      </c>
      <c r="D19" s="68">
        <v>0</v>
      </c>
      <c r="E19" s="66">
        <v>0</v>
      </c>
      <c r="F19" s="66">
        <v>0</v>
      </c>
      <c r="G19" s="19">
        <f t="shared" si="2"/>
        <v>0</v>
      </c>
      <c r="H19" s="19">
        <f t="shared" si="3"/>
        <v>0</v>
      </c>
    </row>
    <row r="20" spans="1:8">
      <c r="A20" s="16">
        <v>12</v>
      </c>
      <c r="B20" s="66">
        <v>18.333333333333332</v>
      </c>
      <c r="C20" s="16">
        <v>2</v>
      </c>
      <c r="D20" s="68">
        <v>0</v>
      </c>
      <c r="E20" s="66">
        <v>0</v>
      </c>
      <c r="F20" s="66">
        <v>0</v>
      </c>
      <c r="G20" s="19">
        <f t="shared" si="2"/>
        <v>0</v>
      </c>
      <c r="H20" s="19">
        <f t="shared" si="3"/>
        <v>0</v>
      </c>
    </row>
    <row r="21" spans="1:8">
      <c r="A21" s="16">
        <v>13</v>
      </c>
      <c r="B21" s="66">
        <v>24</v>
      </c>
      <c r="C21" s="16">
        <v>2</v>
      </c>
      <c r="D21" s="68">
        <v>0</v>
      </c>
      <c r="E21" s="66">
        <v>0</v>
      </c>
      <c r="F21" s="66">
        <v>0</v>
      </c>
      <c r="G21" s="19">
        <f t="shared" si="2"/>
        <v>0</v>
      </c>
      <c r="H21" s="19">
        <f t="shared" si="3"/>
        <v>0</v>
      </c>
    </row>
    <row r="22" spans="1:8">
      <c r="A22" s="16">
        <v>14</v>
      </c>
      <c r="B22" s="66">
        <v>30</v>
      </c>
      <c r="C22" s="16">
        <v>2</v>
      </c>
      <c r="D22" s="68">
        <v>0</v>
      </c>
      <c r="E22" s="66">
        <v>0</v>
      </c>
      <c r="F22" s="66">
        <v>0</v>
      </c>
      <c r="G22" s="19">
        <f t="shared" si="2"/>
        <v>0</v>
      </c>
      <c r="H22" s="19">
        <f t="shared" si="3"/>
        <v>0</v>
      </c>
    </row>
    <row r="23" spans="1:8">
      <c r="A23" s="16">
        <v>15</v>
      </c>
      <c r="B23" s="66">
        <v>48</v>
      </c>
      <c r="C23" s="16">
        <v>2</v>
      </c>
      <c r="D23" s="68">
        <v>0</v>
      </c>
      <c r="E23" s="66">
        <v>0</v>
      </c>
      <c r="F23" s="66">
        <v>0</v>
      </c>
      <c r="G23" s="19">
        <f t="shared" si="2"/>
        <v>0</v>
      </c>
      <c r="H23" s="19">
        <f t="shared" si="3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3"/>
  <sheetViews>
    <sheetView topLeftCell="A2" workbookViewId="0">
      <selection activeCell="E9" sqref="E9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8" t="s">
        <v>35</v>
      </c>
      <c r="B1" s="28" t="s">
        <v>60</v>
      </c>
    </row>
    <row r="2" spans="1:8">
      <c r="A2" s="28" t="s">
        <v>64</v>
      </c>
      <c r="B2" s="17">
        <v>46.03</v>
      </c>
    </row>
    <row r="4" spans="1:8">
      <c r="A4" s="150" t="s">
        <v>64</v>
      </c>
      <c r="B4" s="151"/>
      <c r="C4" s="151"/>
      <c r="D4" s="151"/>
      <c r="E4" s="151"/>
      <c r="F4" s="151"/>
      <c r="G4" s="151"/>
      <c r="H4" s="152"/>
    </row>
    <row r="5" spans="1:8">
      <c r="A5" s="153" t="s">
        <v>61</v>
      </c>
      <c r="B5" s="151"/>
      <c r="C5" s="152"/>
      <c r="D5" s="154" t="s">
        <v>44</v>
      </c>
      <c r="E5" s="154" t="s">
        <v>45</v>
      </c>
      <c r="F5" s="154" t="s">
        <v>46</v>
      </c>
      <c r="G5" s="156" t="s">
        <v>62</v>
      </c>
      <c r="H5" s="156" t="s">
        <v>63</v>
      </c>
    </row>
    <row r="6" spans="1:8">
      <c r="A6" s="29" t="s">
        <v>4</v>
      </c>
      <c r="B6" s="29" t="s">
        <v>59</v>
      </c>
      <c r="C6" s="29" t="s">
        <v>19</v>
      </c>
      <c r="D6" s="155"/>
      <c r="E6" s="155"/>
      <c r="F6" s="155"/>
      <c r="G6" s="157"/>
      <c r="H6" s="157"/>
    </row>
    <row r="7" spans="1:8">
      <c r="A7" s="16">
        <v>0</v>
      </c>
      <c r="B7" s="66">
        <v>-0.16666666666666666</v>
      </c>
      <c r="C7" s="16">
        <v>2</v>
      </c>
      <c r="D7" s="18">
        <v>1.0999999999999999E-2</v>
      </c>
      <c r="E7" s="18">
        <v>2.3E-2</v>
      </c>
      <c r="F7" s="18">
        <v>1.7000000000000001E-2</v>
      </c>
      <c r="G7" s="16">
        <f>(C7*1000*AVERAGE(D7:F7))/$B$2</f>
        <v>0.73864870736476207</v>
      </c>
      <c r="H7" s="19">
        <f>(C7*1000*STDEV(D7:F7))/$B$2</f>
        <v>0.26069954377579801</v>
      </c>
    </row>
    <row r="8" spans="1:8">
      <c r="A8" s="16">
        <v>0</v>
      </c>
      <c r="B8" s="66">
        <v>0.16666666666666666</v>
      </c>
      <c r="C8" s="16">
        <v>2</v>
      </c>
      <c r="D8" s="18">
        <v>1.2E-2</v>
      </c>
      <c r="E8" s="18">
        <v>2.3E-2</v>
      </c>
      <c r="F8" s="18">
        <v>1.7000000000000001E-2</v>
      </c>
      <c r="G8" s="16">
        <f t="shared" ref="G8:G17" si="0">(C8*1000*AVERAGE(D8:F8))/$B$2</f>
        <v>0.75313201535230656</v>
      </c>
      <c r="H8" s="19">
        <f t="shared" ref="H8:H17" si="1">(C8*1000*STDEV(D8:F8))/$B$2</f>
        <v>0.23930352149841808</v>
      </c>
    </row>
    <row r="9" spans="1:8">
      <c r="A9" s="16">
        <v>1</v>
      </c>
      <c r="B9" s="66">
        <v>2</v>
      </c>
      <c r="C9" s="16">
        <v>2</v>
      </c>
      <c r="D9" s="18">
        <v>0.02</v>
      </c>
      <c r="E9" s="18">
        <v>1.4E-2</v>
      </c>
      <c r="F9" s="18">
        <v>1.7000000000000001E-2</v>
      </c>
      <c r="G9" s="16">
        <f t="shared" si="0"/>
        <v>0.73864870736476207</v>
      </c>
      <c r="H9" s="19">
        <f t="shared" si="1"/>
        <v>0.1303497718878992</v>
      </c>
    </row>
    <row r="10" spans="1:8">
      <c r="A10" s="16">
        <v>2</v>
      </c>
      <c r="B10" s="66">
        <v>3.3333333333333335</v>
      </c>
      <c r="C10" s="16">
        <v>2</v>
      </c>
      <c r="D10" s="18">
        <v>1.4E-2</v>
      </c>
      <c r="E10" s="18">
        <v>2.8000000000000001E-2</v>
      </c>
      <c r="F10" s="18">
        <v>2.1000000000000001E-2</v>
      </c>
      <c r="G10" s="16">
        <f t="shared" si="0"/>
        <v>0.9124484032152943</v>
      </c>
      <c r="H10" s="19">
        <f t="shared" si="1"/>
        <v>0.30414946773843143</v>
      </c>
    </row>
    <row r="11" spans="1:8">
      <c r="A11" s="16">
        <v>3</v>
      </c>
      <c r="B11" s="66">
        <v>4.666666666666667</v>
      </c>
      <c r="C11" s="16">
        <v>2</v>
      </c>
      <c r="D11" s="18">
        <v>1.6E-2</v>
      </c>
      <c r="E11" s="18">
        <v>2.5000000000000001E-2</v>
      </c>
      <c r="F11" s="18">
        <v>2.5000000000000001E-2</v>
      </c>
      <c r="G11" s="16">
        <f t="shared" si="0"/>
        <v>0.95589832717792755</v>
      </c>
      <c r="H11" s="19">
        <f t="shared" si="1"/>
        <v>0.22577242766485478</v>
      </c>
    </row>
    <row r="12" spans="1:8">
      <c r="A12" s="16">
        <v>4</v>
      </c>
      <c r="B12" s="66">
        <v>6</v>
      </c>
      <c r="C12" s="16">
        <v>2</v>
      </c>
      <c r="D12" s="18">
        <v>1.7000000000000001E-2</v>
      </c>
      <c r="E12" s="18">
        <v>1.7999999999999999E-2</v>
      </c>
      <c r="F12" s="18">
        <v>1.0999999999999999E-2</v>
      </c>
      <c r="G12" s="16">
        <f t="shared" si="0"/>
        <v>0.66623216742704028</v>
      </c>
      <c r="H12" s="19">
        <f t="shared" si="1"/>
        <v>0.16449875721052279</v>
      </c>
    </row>
    <row r="13" spans="1:8">
      <c r="A13" s="16">
        <v>5</v>
      </c>
      <c r="B13" s="66">
        <v>7.333333333333333</v>
      </c>
      <c r="C13" s="16">
        <v>2</v>
      </c>
      <c r="D13" s="18">
        <v>3.0000000000000001E-3</v>
      </c>
      <c r="E13" s="18">
        <v>3.0000000000000001E-3</v>
      </c>
      <c r="F13" s="18">
        <v>4.0000000000000001E-3</v>
      </c>
      <c r="G13" s="16">
        <f t="shared" si="0"/>
        <v>0.14483307987544355</v>
      </c>
      <c r="H13" s="19">
        <f t="shared" si="1"/>
        <v>2.5085825296094974E-2</v>
      </c>
    </row>
    <row r="14" spans="1:8">
      <c r="A14" s="16">
        <v>6</v>
      </c>
      <c r="B14" s="66">
        <v>10.333333333333334</v>
      </c>
      <c r="C14" s="16">
        <v>2</v>
      </c>
      <c r="D14" s="18">
        <v>5.8999999999999997E-2</v>
      </c>
      <c r="E14" s="18">
        <v>5.8000000000000003E-2</v>
      </c>
      <c r="F14" s="18">
        <v>0.06</v>
      </c>
      <c r="G14" s="16">
        <f t="shared" si="0"/>
        <v>2.5635455137953507</v>
      </c>
      <c r="H14" s="19">
        <f t="shared" si="1"/>
        <v>4.3449923962632954E-2</v>
      </c>
    </row>
    <row r="15" spans="1:8">
      <c r="A15" s="16">
        <v>7</v>
      </c>
      <c r="B15" s="66">
        <v>11.666666666666666</v>
      </c>
      <c r="C15" s="16">
        <v>2</v>
      </c>
      <c r="D15" s="18">
        <v>0.10199999999999999</v>
      </c>
      <c r="E15" s="18">
        <v>0.1</v>
      </c>
      <c r="F15" s="18">
        <v>0.1</v>
      </c>
      <c r="G15" s="16">
        <f t="shared" si="0"/>
        <v>4.3739590122383962</v>
      </c>
      <c r="H15" s="19">
        <f t="shared" si="1"/>
        <v>5.0171650592189629E-2</v>
      </c>
    </row>
    <row r="16" spans="1:8">
      <c r="A16" s="16">
        <v>8</v>
      </c>
      <c r="B16" s="66">
        <v>13</v>
      </c>
      <c r="C16" s="16">
        <v>2</v>
      </c>
      <c r="D16" s="18">
        <v>0.13</v>
      </c>
      <c r="E16" s="18">
        <v>0.13</v>
      </c>
      <c r="F16" s="18">
        <v>0.13200000000000001</v>
      </c>
      <c r="G16" s="16">
        <f t="shared" si="0"/>
        <v>5.6774567311173882</v>
      </c>
      <c r="H16" s="19">
        <f t="shared" si="1"/>
        <v>5.017165059218999E-2</v>
      </c>
    </row>
    <row r="17" spans="1:8">
      <c r="A17" s="16">
        <v>9</v>
      </c>
      <c r="B17" s="66">
        <v>14.333333333333334</v>
      </c>
      <c r="C17" s="16">
        <v>2</v>
      </c>
      <c r="D17" s="18">
        <v>0.151</v>
      </c>
      <c r="E17" s="18">
        <v>0.14899999999999999</v>
      </c>
      <c r="F17" s="18">
        <v>0.15</v>
      </c>
      <c r="G17" s="16">
        <f t="shared" si="0"/>
        <v>6.5174885943949601</v>
      </c>
      <c r="H17" s="19">
        <f t="shared" si="1"/>
        <v>4.34499239626331E-2</v>
      </c>
    </row>
    <row r="18" spans="1:8">
      <c r="A18" s="16">
        <v>10</v>
      </c>
      <c r="B18" s="66">
        <v>15.666666666666666</v>
      </c>
      <c r="C18" s="16">
        <v>2</v>
      </c>
      <c r="D18" s="18">
        <v>0.153</v>
      </c>
      <c r="E18" s="18">
        <v>0.153</v>
      </c>
      <c r="F18" s="18">
        <v>0.153</v>
      </c>
      <c r="G18" s="16">
        <f t="shared" ref="G18:G23" si="2">(C18*1000*AVERAGE(D18:F18))/$B$2</f>
        <v>6.6478383662828584</v>
      </c>
      <c r="H18" s="19">
        <f t="shared" ref="H18:H23" si="3">(C18*1000*STDEV(D18:F18))/$B$2</f>
        <v>0</v>
      </c>
    </row>
    <row r="19" spans="1:8">
      <c r="A19" s="16">
        <v>11</v>
      </c>
      <c r="B19" s="66">
        <v>17</v>
      </c>
      <c r="C19" s="16">
        <v>2</v>
      </c>
      <c r="D19" s="18">
        <v>0.156</v>
      </c>
      <c r="E19" s="18">
        <v>0.155</v>
      </c>
      <c r="F19" s="18">
        <v>0.152</v>
      </c>
      <c r="G19" s="16">
        <f t="shared" si="2"/>
        <v>6.705771598233035</v>
      </c>
      <c r="H19" s="19">
        <f t="shared" si="3"/>
        <v>9.0448229392402102E-2</v>
      </c>
    </row>
    <row r="20" spans="1:8">
      <c r="A20" s="16">
        <v>12</v>
      </c>
      <c r="B20" s="66">
        <v>18.333333333333332</v>
      </c>
      <c r="C20" s="16">
        <v>2</v>
      </c>
      <c r="D20" s="18">
        <v>0.158</v>
      </c>
      <c r="E20" s="18">
        <v>0.155</v>
      </c>
      <c r="F20" s="18">
        <v>0.154</v>
      </c>
      <c r="G20" s="16">
        <f t="shared" si="2"/>
        <v>6.7637048301832134</v>
      </c>
      <c r="H20" s="19">
        <f t="shared" si="3"/>
        <v>9.0448229392402116E-2</v>
      </c>
    </row>
    <row r="21" spans="1:8">
      <c r="A21" s="16">
        <v>13</v>
      </c>
      <c r="B21" s="66">
        <v>24</v>
      </c>
      <c r="C21" s="16">
        <v>2</v>
      </c>
      <c r="D21" s="18">
        <v>0.17299999999999999</v>
      </c>
      <c r="E21" s="18">
        <v>0.154</v>
      </c>
      <c r="F21" s="18">
        <v>0.152</v>
      </c>
      <c r="G21" s="16">
        <f t="shared" si="2"/>
        <v>6.9375045260337451</v>
      </c>
      <c r="H21" s="19">
        <f t="shared" si="3"/>
        <v>0.50359442829209067</v>
      </c>
    </row>
    <row r="22" spans="1:8">
      <c r="A22" s="16">
        <v>14</v>
      </c>
      <c r="B22" s="66">
        <v>30</v>
      </c>
      <c r="C22" s="16">
        <v>2</v>
      </c>
      <c r="D22" s="18">
        <v>0.154</v>
      </c>
      <c r="E22" s="18">
        <v>0.152</v>
      </c>
      <c r="F22" s="18">
        <v>0.151</v>
      </c>
      <c r="G22" s="16">
        <f t="shared" si="2"/>
        <v>6.6188717503077692</v>
      </c>
      <c r="H22" s="19">
        <f t="shared" si="3"/>
        <v>6.6370855166280593E-2</v>
      </c>
    </row>
    <row r="23" spans="1:8">
      <c r="A23" s="16">
        <v>15</v>
      </c>
      <c r="B23" s="66">
        <v>48</v>
      </c>
      <c r="C23" s="16">
        <v>2</v>
      </c>
      <c r="D23" s="18">
        <v>0.154</v>
      </c>
      <c r="E23" s="18">
        <v>0.153</v>
      </c>
      <c r="F23" s="18">
        <v>0.151</v>
      </c>
      <c r="G23" s="16">
        <f t="shared" si="2"/>
        <v>6.6333550582953142</v>
      </c>
      <c r="H23" s="19">
        <f t="shared" si="3"/>
        <v>6.6370855166280593E-2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G7" sqref="G7:H2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60</v>
      </c>
    </row>
    <row r="2" spans="1:8">
      <c r="A2" s="21" t="s">
        <v>42</v>
      </c>
      <c r="B2" s="17">
        <v>60.05</v>
      </c>
    </row>
    <row r="4" spans="1:8">
      <c r="A4" s="150" t="s">
        <v>42</v>
      </c>
      <c r="B4" s="151"/>
      <c r="C4" s="151"/>
      <c r="D4" s="151"/>
      <c r="E4" s="151"/>
      <c r="F4" s="151"/>
      <c r="G4" s="151"/>
      <c r="H4" s="152"/>
    </row>
    <row r="5" spans="1:8">
      <c r="A5" s="153" t="s">
        <v>61</v>
      </c>
      <c r="B5" s="151"/>
      <c r="C5" s="152"/>
      <c r="D5" s="154" t="s">
        <v>44</v>
      </c>
      <c r="E5" s="154" t="s">
        <v>45</v>
      </c>
      <c r="F5" s="154" t="s">
        <v>46</v>
      </c>
      <c r="G5" s="156" t="s">
        <v>62</v>
      </c>
      <c r="H5" s="156" t="s">
        <v>63</v>
      </c>
    </row>
    <row r="6" spans="1:8">
      <c r="A6" s="22" t="s">
        <v>4</v>
      </c>
      <c r="B6" s="22" t="s">
        <v>59</v>
      </c>
      <c r="C6" s="22" t="s">
        <v>19</v>
      </c>
      <c r="D6" s="155"/>
      <c r="E6" s="155"/>
      <c r="F6" s="155"/>
      <c r="G6" s="157"/>
      <c r="H6" s="157"/>
    </row>
    <row r="7" spans="1:8">
      <c r="A7" s="16">
        <v>0</v>
      </c>
      <c r="B7" s="66">
        <v>-0.16666666666666666</v>
      </c>
      <c r="C7" s="16">
        <v>2</v>
      </c>
      <c r="D7" s="19">
        <v>1.52</v>
      </c>
      <c r="E7" s="19">
        <v>1.494</v>
      </c>
      <c r="F7" s="19">
        <v>1.5029999999999999</v>
      </c>
      <c r="G7" s="16">
        <f>(C7*1000*AVERAGE(D7:F7))/$B$2</f>
        <v>50.14709963918957</v>
      </c>
      <c r="H7" s="19">
        <f>(C7*1000*STDEV(D7:F7))/$B$2</f>
        <v>0.43975136986596491</v>
      </c>
    </row>
    <row r="8" spans="1:8">
      <c r="A8" s="16">
        <v>0</v>
      </c>
      <c r="B8" s="66">
        <v>0.16666666666666666</v>
      </c>
      <c r="C8" s="16">
        <v>2</v>
      </c>
      <c r="D8" s="19">
        <v>1.444</v>
      </c>
      <c r="E8" s="19">
        <v>1.4139999999999999</v>
      </c>
      <c r="F8" s="19">
        <v>1.4139999999999999</v>
      </c>
      <c r="G8" s="16">
        <f t="shared" ref="G8:G17" si="0">(C8*1000*AVERAGE(D8:F8))/$B$2</f>
        <v>47.427144046627802</v>
      </c>
      <c r="H8" s="19">
        <f t="shared" ref="H8:H17" si="1">(C8*1000*STDEV(D8:F8))/$B$2</f>
        <v>0.57686954456915196</v>
      </c>
    </row>
    <row r="9" spans="1:8">
      <c r="A9" s="16">
        <v>1</v>
      </c>
      <c r="B9" s="66">
        <v>2</v>
      </c>
      <c r="C9" s="16">
        <v>2</v>
      </c>
      <c r="D9" s="19">
        <v>1.4350000000000001</v>
      </c>
      <c r="E9" s="19">
        <v>1.421</v>
      </c>
      <c r="F9" s="19">
        <v>1.3859999999999999</v>
      </c>
      <c r="G9" s="16">
        <f t="shared" si="0"/>
        <v>47.094088259783518</v>
      </c>
      <c r="H9" s="19">
        <f t="shared" si="1"/>
        <v>0.8405948019399837</v>
      </c>
    </row>
    <row r="10" spans="1:8">
      <c r="A10" s="16">
        <v>2</v>
      </c>
      <c r="B10" s="66">
        <v>3.3333333333333335</v>
      </c>
      <c r="C10" s="16">
        <v>2</v>
      </c>
      <c r="D10" s="19">
        <v>1.3129999999999999</v>
      </c>
      <c r="E10" s="19">
        <v>1.3859999999999999</v>
      </c>
      <c r="F10" s="19">
        <v>1.5269999999999999</v>
      </c>
      <c r="G10" s="16">
        <f t="shared" si="0"/>
        <v>46.916458506799891</v>
      </c>
      <c r="H10" s="19">
        <f t="shared" si="1"/>
        <v>3.6231714272228674</v>
      </c>
    </row>
    <row r="11" spans="1:8">
      <c r="A11" s="16">
        <v>3</v>
      </c>
      <c r="B11" s="66">
        <v>4.666666666666667</v>
      </c>
      <c r="C11" s="16">
        <v>2</v>
      </c>
      <c r="D11" s="19">
        <v>1.365</v>
      </c>
      <c r="E11" s="19">
        <v>1.446</v>
      </c>
      <c r="F11" s="19">
        <v>1.4279999999999999</v>
      </c>
      <c r="G11" s="16">
        <f t="shared" si="0"/>
        <v>47.060782681099084</v>
      </c>
      <c r="H11" s="19">
        <f t="shared" si="1"/>
        <v>1.4165642176943696</v>
      </c>
    </row>
    <row r="12" spans="1:8">
      <c r="A12" s="16">
        <v>4</v>
      </c>
      <c r="B12" s="66">
        <v>6</v>
      </c>
      <c r="C12" s="16">
        <v>2</v>
      </c>
      <c r="D12" s="19">
        <v>1.3660000000000001</v>
      </c>
      <c r="E12" s="19">
        <v>1.3879999999999999</v>
      </c>
      <c r="F12" s="19">
        <v>1.3660000000000001</v>
      </c>
      <c r="G12" s="16">
        <f t="shared" si="0"/>
        <v>45.739661393283377</v>
      </c>
      <c r="H12" s="19">
        <f t="shared" si="1"/>
        <v>0.42303766601737386</v>
      </c>
    </row>
    <row r="13" spans="1:8">
      <c r="A13" s="16">
        <v>5</v>
      </c>
      <c r="B13" s="66">
        <v>7.333333333333333</v>
      </c>
      <c r="C13" s="16">
        <v>2</v>
      </c>
      <c r="D13" s="19">
        <v>1.28</v>
      </c>
      <c r="E13" s="19">
        <v>1.2829999999999999</v>
      </c>
      <c r="F13" s="19">
        <v>1.274</v>
      </c>
      <c r="G13" s="16">
        <f t="shared" si="0"/>
        <v>42.597835137385516</v>
      </c>
      <c r="H13" s="19">
        <f t="shared" si="1"/>
        <v>0.15262533538570514</v>
      </c>
    </row>
    <row r="14" spans="1:8">
      <c r="A14" s="16">
        <v>6</v>
      </c>
      <c r="B14" s="66">
        <v>10.333333333333334</v>
      </c>
      <c r="C14" s="16">
        <v>2</v>
      </c>
      <c r="D14" s="19">
        <v>1.0669999999999999</v>
      </c>
      <c r="E14" s="19">
        <v>1.0580000000000001</v>
      </c>
      <c r="F14" s="19">
        <v>1.0589999999999999</v>
      </c>
      <c r="G14" s="16">
        <f t="shared" si="0"/>
        <v>35.348320843741334</v>
      </c>
      <c r="H14" s="19">
        <f t="shared" si="1"/>
        <v>0.16429251831194719</v>
      </c>
    </row>
    <row r="15" spans="1:8">
      <c r="A15" s="16">
        <v>7</v>
      </c>
      <c r="B15" s="66">
        <v>11.666666666666666</v>
      </c>
      <c r="C15" s="16">
        <v>2</v>
      </c>
      <c r="D15" s="19">
        <v>0.95899999999999996</v>
      </c>
      <c r="E15" s="19">
        <v>0.95</v>
      </c>
      <c r="F15" s="19">
        <v>0.94299999999999995</v>
      </c>
      <c r="G15" s="16">
        <f t="shared" si="0"/>
        <v>31.662503469331114</v>
      </c>
      <c r="H15" s="19">
        <f t="shared" si="1"/>
        <v>0.26713759457154546</v>
      </c>
    </row>
    <row r="16" spans="1:8">
      <c r="A16" s="16">
        <v>8</v>
      </c>
      <c r="B16" s="66">
        <v>13</v>
      </c>
      <c r="C16" s="16">
        <v>2</v>
      </c>
      <c r="D16" s="19">
        <v>0.88500000000000001</v>
      </c>
      <c r="E16" s="19">
        <v>0.86699999999999999</v>
      </c>
      <c r="F16" s="19">
        <v>0.88100000000000001</v>
      </c>
      <c r="G16" s="16">
        <f t="shared" si="0"/>
        <v>29.231196225367754</v>
      </c>
      <c r="H16" s="19">
        <f t="shared" si="1"/>
        <v>0.31479204837652708</v>
      </c>
    </row>
    <row r="17" spans="1:8">
      <c r="A17" s="16">
        <v>9</v>
      </c>
      <c r="B17" s="66">
        <v>14.333333333333334</v>
      </c>
      <c r="C17" s="16">
        <v>2</v>
      </c>
      <c r="D17" s="19">
        <v>0.84599999999999997</v>
      </c>
      <c r="E17" s="19">
        <v>0.84499999999999997</v>
      </c>
      <c r="F17" s="19">
        <v>0.83299999999999996</v>
      </c>
      <c r="G17" s="16">
        <f t="shared" si="0"/>
        <v>28.021093533166809</v>
      </c>
      <c r="H17" s="19">
        <f t="shared" si="1"/>
        <v>0.24093848919467914</v>
      </c>
    </row>
    <row r="18" spans="1:8">
      <c r="A18" s="16">
        <v>10</v>
      </c>
      <c r="B18" s="66">
        <v>15.666666666666666</v>
      </c>
      <c r="C18" s="16">
        <v>2</v>
      </c>
      <c r="D18" s="19">
        <v>0.83899999999999997</v>
      </c>
      <c r="E18" s="19">
        <v>0.82599999999999996</v>
      </c>
      <c r="F18" s="19">
        <v>0.82299999999999995</v>
      </c>
      <c r="G18" s="16">
        <f t="shared" ref="G18:G23" si="2">(C18*1000*AVERAGE(D18:F18))/$B$2</f>
        <v>27.621426588953653</v>
      </c>
      <c r="H18" s="19">
        <f t="shared" ref="H18:H23" si="3">(C18*1000*STDEV(D18:F18))/$B$2</f>
        <v>0.28326063440850596</v>
      </c>
    </row>
    <row r="19" spans="1:8">
      <c r="A19" s="16">
        <v>11</v>
      </c>
      <c r="B19" s="66">
        <v>17</v>
      </c>
      <c r="C19" s="16">
        <v>2</v>
      </c>
      <c r="D19" s="19">
        <v>0.82799999999999996</v>
      </c>
      <c r="E19" s="19">
        <v>0.82199999999999995</v>
      </c>
      <c r="F19" s="19">
        <v>0.82499999999999996</v>
      </c>
      <c r="G19" s="16">
        <f t="shared" si="2"/>
        <v>27.477102414654453</v>
      </c>
      <c r="H19" s="19">
        <f t="shared" si="3"/>
        <v>9.9916736053289018E-2</v>
      </c>
    </row>
    <row r="20" spans="1:8">
      <c r="A20" s="16">
        <v>12</v>
      </c>
      <c r="B20" s="66">
        <v>18.333333333333332</v>
      </c>
      <c r="C20" s="16">
        <v>2</v>
      </c>
      <c r="D20" s="19">
        <v>0.83699999999999997</v>
      </c>
      <c r="E20" s="19">
        <v>0.83299999999999996</v>
      </c>
      <c r="F20" s="19">
        <v>0.82799999999999996</v>
      </c>
      <c r="G20" s="16">
        <f t="shared" si="2"/>
        <v>27.732445184568412</v>
      </c>
      <c r="H20" s="19">
        <f t="shared" si="3"/>
        <v>0.15018317245038798</v>
      </c>
    </row>
    <row r="21" spans="1:8">
      <c r="A21" s="16">
        <v>13</v>
      </c>
      <c r="B21" s="66">
        <v>24</v>
      </c>
      <c r="C21" s="16">
        <v>2</v>
      </c>
      <c r="D21" s="19">
        <v>0.89600000000000002</v>
      </c>
      <c r="E21" s="19">
        <v>0.81499999999999995</v>
      </c>
      <c r="F21" s="19">
        <v>0.81599999999999995</v>
      </c>
      <c r="G21" s="16">
        <f t="shared" si="2"/>
        <v>28.054399111851232</v>
      </c>
      <c r="H21" s="19">
        <f t="shared" si="3"/>
        <v>1.5480228513518133</v>
      </c>
    </row>
    <row r="22" spans="1:8">
      <c r="A22" s="16">
        <v>14</v>
      </c>
      <c r="B22" s="66">
        <v>30</v>
      </c>
      <c r="C22" s="16">
        <v>2</v>
      </c>
      <c r="D22" s="19">
        <v>0.80800000000000005</v>
      </c>
      <c r="E22" s="19">
        <v>0.80100000000000005</v>
      </c>
      <c r="F22" s="19">
        <v>0.79800000000000004</v>
      </c>
      <c r="G22" s="16">
        <f t="shared" si="2"/>
        <v>26.722175964474051</v>
      </c>
      <c r="H22" s="19">
        <f t="shared" si="3"/>
        <v>0.17091095551863081</v>
      </c>
    </row>
    <row r="23" spans="1:8">
      <c r="A23" s="16">
        <v>15</v>
      </c>
      <c r="B23" s="66">
        <v>48</v>
      </c>
      <c r="C23" s="16">
        <v>2</v>
      </c>
      <c r="D23" s="19">
        <v>0.8</v>
      </c>
      <c r="E23" s="19">
        <v>0.79100000000000004</v>
      </c>
      <c r="F23" s="19">
        <v>0.79100000000000004</v>
      </c>
      <c r="G23" s="16">
        <f t="shared" si="2"/>
        <v>26.444629475437136</v>
      </c>
      <c r="H23" s="19">
        <f t="shared" si="3"/>
        <v>0.17306086337074561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3"/>
  <sheetViews>
    <sheetView workbookViewId="0">
      <selection activeCell="B7" sqref="B7:B2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8" t="s">
        <v>35</v>
      </c>
      <c r="B1" s="28" t="s">
        <v>60</v>
      </c>
    </row>
    <row r="2" spans="1:8">
      <c r="A2" s="28" t="s">
        <v>66</v>
      </c>
      <c r="B2" s="17">
        <v>74.08</v>
      </c>
    </row>
    <row r="4" spans="1:8">
      <c r="A4" s="150" t="s">
        <v>66</v>
      </c>
      <c r="B4" s="151"/>
      <c r="C4" s="151"/>
      <c r="D4" s="151"/>
      <c r="E4" s="151"/>
      <c r="F4" s="151"/>
      <c r="G4" s="151"/>
      <c r="H4" s="152"/>
    </row>
    <row r="5" spans="1:8">
      <c r="A5" s="153" t="s">
        <v>61</v>
      </c>
      <c r="B5" s="151"/>
      <c r="C5" s="152"/>
      <c r="D5" s="154" t="s">
        <v>44</v>
      </c>
      <c r="E5" s="154" t="s">
        <v>45</v>
      </c>
      <c r="F5" s="154" t="s">
        <v>46</v>
      </c>
      <c r="G5" s="156" t="s">
        <v>62</v>
      </c>
      <c r="H5" s="156" t="s">
        <v>63</v>
      </c>
    </row>
    <row r="6" spans="1:8">
      <c r="A6" s="29" t="s">
        <v>4</v>
      </c>
      <c r="B6" s="29" t="s">
        <v>59</v>
      </c>
      <c r="C6" s="29" t="s">
        <v>19</v>
      </c>
      <c r="D6" s="155"/>
      <c r="E6" s="155"/>
      <c r="F6" s="155"/>
      <c r="G6" s="157"/>
      <c r="H6" s="157"/>
    </row>
    <row r="7" spans="1:8">
      <c r="A7" s="16">
        <v>0</v>
      </c>
      <c r="B7" s="66">
        <v>-0.16666666666666666</v>
      </c>
      <c r="C7" s="16">
        <v>2</v>
      </c>
      <c r="D7" s="42">
        <v>0</v>
      </c>
      <c r="E7" s="42">
        <v>0</v>
      </c>
      <c r="F7" s="42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16">
        <v>0</v>
      </c>
      <c r="B8" s="66">
        <v>0.16666666666666666</v>
      </c>
      <c r="C8" s="16">
        <v>2</v>
      </c>
      <c r="D8" s="42">
        <v>0</v>
      </c>
      <c r="E8" s="42">
        <v>0</v>
      </c>
      <c r="F8" s="42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16">
        <v>1</v>
      </c>
      <c r="B9" s="66">
        <v>2</v>
      </c>
      <c r="C9" s="16">
        <v>2</v>
      </c>
      <c r="D9" s="42">
        <v>0</v>
      </c>
      <c r="E9" s="42">
        <v>0</v>
      </c>
      <c r="F9" s="42">
        <v>0</v>
      </c>
      <c r="G9" s="16">
        <f t="shared" si="0"/>
        <v>0</v>
      </c>
      <c r="H9" s="19">
        <f t="shared" si="1"/>
        <v>0</v>
      </c>
    </row>
    <row r="10" spans="1:8">
      <c r="A10" s="16">
        <v>2</v>
      </c>
      <c r="B10" s="66">
        <v>3.3333333333333335</v>
      </c>
      <c r="C10" s="16">
        <v>2</v>
      </c>
      <c r="D10" s="42">
        <v>0</v>
      </c>
      <c r="E10" s="42">
        <v>0</v>
      </c>
      <c r="F10" s="42">
        <v>0</v>
      </c>
      <c r="G10" s="16">
        <f t="shared" si="0"/>
        <v>0</v>
      </c>
      <c r="H10" s="19">
        <f t="shared" si="1"/>
        <v>0</v>
      </c>
    </row>
    <row r="11" spans="1:8">
      <c r="A11" s="16">
        <v>3</v>
      </c>
      <c r="B11" s="66">
        <v>4.666666666666667</v>
      </c>
      <c r="C11" s="16">
        <v>2</v>
      </c>
      <c r="D11" s="42">
        <v>0</v>
      </c>
      <c r="E11" s="42">
        <v>0</v>
      </c>
      <c r="F11" s="42">
        <v>0</v>
      </c>
      <c r="G11" s="16">
        <f t="shared" si="0"/>
        <v>0</v>
      </c>
      <c r="H11" s="19">
        <f t="shared" si="1"/>
        <v>0</v>
      </c>
    </row>
    <row r="12" spans="1:8">
      <c r="A12" s="16">
        <v>4</v>
      </c>
      <c r="B12" s="66">
        <v>6</v>
      </c>
      <c r="C12" s="16">
        <v>2</v>
      </c>
      <c r="D12" s="42">
        <v>0</v>
      </c>
      <c r="E12" s="42">
        <v>0</v>
      </c>
      <c r="F12" s="42">
        <v>0</v>
      </c>
      <c r="G12" s="16">
        <f t="shared" si="0"/>
        <v>0</v>
      </c>
      <c r="H12" s="19">
        <f t="shared" si="1"/>
        <v>0</v>
      </c>
    </row>
    <row r="13" spans="1:8">
      <c r="A13" s="16">
        <v>5</v>
      </c>
      <c r="B13" s="66">
        <v>7.333333333333333</v>
      </c>
      <c r="C13" s="16">
        <v>2</v>
      </c>
      <c r="D13" s="42">
        <v>0</v>
      </c>
      <c r="E13" s="42">
        <v>0</v>
      </c>
      <c r="F13" s="42">
        <v>0</v>
      </c>
      <c r="G13" s="16">
        <f t="shared" si="0"/>
        <v>0</v>
      </c>
      <c r="H13" s="19">
        <f t="shared" si="1"/>
        <v>0</v>
      </c>
    </row>
    <row r="14" spans="1:8">
      <c r="A14" s="16">
        <v>6</v>
      </c>
      <c r="B14" s="66">
        <v>10.333333333333334</v>
      </c>
      <c r="C14" s="16">
        <v>2</v>
      </c>
      <c r="D14" s="42">
        <v>0</v>
      </c>
      <c r="E14" s="42">
        <v>0</v>
      </c>
      <c r="F14" s="42">
        <v>0</v>
      </c>
      <c r="G14" s="16">
        <f t="shared" si="0"/>
        <v>0</v>
      </c>
      <c r="H14" s="19">
        <f t="shared" si="1"/>
        <v>0</v>
      </c>
    </row>
    <row r="15" spans="1:8">
      <c r="A15" s="16">
        <v>7</v>
      </c>
      <c r="B15" s="66">
        <v>11.666666666666666</v>
      </c>
      <c r="C15" s="16">
        <v>2</v>
      </c>
      <c r="D15" s="42">
        <v>0</v>
      </c>
      <c r="E15" s="42">
        <v>0</v>
      </c>
      <c r="F15" s="42">
        <v>0</v>
      </c>
      <c r="G15" s="16">
        <f t="shared" si="0"/>
        <v>0</v>
      </c>
      <c r="H15" s="19">
        <f t="shared" si="1"/>
        <v>0</v>
      </c>
    </row>
    <row r="16" spans="1:8">
      <c r="A16" s="16">
        <v>8</v>
      </c>
      <c r="B16" s="66">
        <v>13</v>
      </c>
      <c r="C16" s="16">
        <v>2</v>
      </c>
      <c r="D16" s="42">
        <v>0</v>
      </c>
      <c r="E16" s="42">
        <v>0</v>
      </c>
      <c r="F16" s="42">
        <v>0</v>
      </c>
      <c r="G16" s="16">
        <f t="shared" si="0"/>
        <v>0</v>
      </c>
      <c r="H16" s="19">
        <f t="shared" si="1"/>
        <v>0</v>
      </c>
    </row>
    <row r="17" spans="1:8">
      <c r="A17" s="16">
        <v>9</v>
      </c>
      <c r="B17" s="66">
        <v>14.333333333333334</v>
      </c>
      <c r="C17" s="16">
        <v>2</v>
      </c>
      <c r="D17" s="42">
        <v>0</v>
      </c>
      <c r="E17" s="42">
        <v>0</v>
      </c>
      <c r="F17" s="42">
        <v>0</v>
      </c>
      <c r="G17" s="16">
        <f t="shared" si="0"/>
        <v>0</v>
      </c>
      <c r="H17" s="19">
        <f t="shared" si="1"/>
        <v>0</v>
      </c>
    </row>
    <row r="18" spans="1:8">
      <c r="A18" s="16">
        <v>10</v>
      </c>
      <c r="B18" s="66">
        <v>15.666666666666666</v>
      </c>
      <c r="C18" s="16">
        <v>2</v>
      </c>
      <c r="D18" s="42">
        <v>0</v>
      </c>
      <c r="E18" s="42">
        <v>0</v>
      </c>
      <c r="F18" s="42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16">
        <v>11</v>
      </c>
      <c r="B19" s="66">
        <v>17</v>
      </c>
      <c r="C19" s="16">
        <v>2</v>
      </c>
      <c r="D19" s="42">
        <v>0</v>
      </c>
      <c r="E19" s="42">
        <v>0</v>
      </c>
      <c r="F19" s="42">
        <v>0</v>
      </c>
      <c r="G19" s="16">
        <f t="shared" si="2"/>
        <v>0</v>
      </c>
      <c r="H19" s="19">
        <f t="shared" si="3"/>
        <v>0</v>
      </c>
    </row>
    <row r="20" spans="1:8">
      <c r="A20" s="16">
        <v>12</v>
      </c>
      <c r="B20" s="66">
        <v>18.333333333333332</v>
      </c>
      <c r="C20" s="16">
        <v>2</v>
      </c>
      <c r="D20" s="42">
        <v>0</v>
      </c>
      <c r="E20" s="42">
        <v>0</v>
      </c>
      <c r="F20" s="42">
        <v>0</v>
      </c>
      <c r="G20" s="16">
        <f t="shared" si="2"/>
        <v>0</v>
      </c>
      <c r="H20" s="19">
        <f t="shared" si="3"/>
        <v>0</v>
      </c>
    </row>
    <row r="21" spans="1:8">
      <c r="A21" s="16">
        <v>13</v>
      </c>
      <c r="B21" s="66">
        <v>24</v>
      </c>
      <c r="C21" s="16">
        <v>2</v>
      </c>
      <c r="D21" s="42">
        <v>0</v>
      </c>
      <c r="E21" s="42">
        <v>0</v>
      </c>
      <c r="F21" s="42">
        <v>0</v>
      </c>
      <c r="G21" s="16">
        <f t="shared" si="2"/>
        <v>0</v>
      </c>
      <c r="H21" s="19">
        <f t="shared" si="3"/>
        <v>0</v>
      </c>
    </row>
    <row r="22" spans="1:8">
      <c r="A22" s="16">
        <v>14</v>
      </c>
      <c r="B22" s="66">
        <v>30</v>
      </c>
      <c r="C22" s="16">
        <v>2</v>
      </c>
      <c r="D22" s="42">
        <v>0</v>
      </c>
      <c r="E22" s="42">
        <v>0</v>
      </c>
      <c r="F22" s="42">
        <v>0</v>
      </c>
      <c r="G22" s="16">
        <f t="shared" si="2"/>
        <v>0</v>
      </c>
      <c r="H22" s="19">
        <f t="shared" si="3"/>
        <v>0</v>
      </c>
    </row>
    <row r="23" spans="1:8">
      <c r="A23" s="16">
        <v>15</v>
      </c>
      <c r="B23" s="66">
        <v>48</v>
      </c>
      <c r="C23" s="16">
        <v>2</v>
      </c>
      <c r="D23" s="42">
        <v>0</v>
      </c>
      <c r="E23" s="42">
        <v>0</v>
      </c>
      <c r="F23" s="42">
        <v>0</v>
      </c>
      <c r="G23" s="16">
        <f t="shared" si="2"/>
        <v>0</v>
      </c>
      <c r="H23" s="19">
        <f t="shared" si="3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3"/>
  <sheetViews>
    <sheetView workbookViewId="0">
      <selection activeCell="G7" sqref="G7:H2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8" t="s">
        <v>35</v>
      </c>
      <c r="B1" s="28" t="s">
        <v>60</v>
      </c>
    </row>
    <row r="2" spans="1:8">
      <c r="A2" s="28" t="s">
        <v>65</v>
      </c>
      <c r="B2" s="17">
        <v>88.11</v>
      </c>
    </row>
    <row r="4" spans="1:8">
      <c r="A4" s="150" t="s">
        <v>65</v>
      </c>
      <c r="B4" s="151"/>
      <c r="C4" s="151"/>
      <c r="D4" s="151"/>
      <c r="E4" s="151"/>
      <c r="F4" s="151"/>
      <c r="G4" s="151"/>
      <c r="H4" s="152"/>
    </row>
    <row r="5" spans="1:8">
      <c r="A5" s="153" t="s">
        <v>61</v>
      </c>
      <c r="B5" s="151"/>
      <c r="C5" s="152"/>
      <c r="D5" s="154" t="s">
        <v>44</v>
      </c>
      <c r="E5" s="154" t="s">
        <v>45</v>
      </c>
      <c r="F5" s="154" t="s">
        <v>46</v>
      </c>
      <c r="G5" s="156" t="s">
        <v>62</v>
      </c>
      <c r="H5" s="156" t="s">
        <v>63</v>
      </c>
    </row>
    <row r="6" spans="1:8">
      <c r="A6" s="29" t="s">
        <v>4</v>
      </c>
      <c r="B6" s="29" t="s">
        <v>59</v>
      </c>
      <c r="C6" s="29" t="s">
        <v>19</v>
      </c>
      <c r="D6" s="155"/>
      <c r="E6" s="155"/>
      <c r="F6" s="155"/>
      <c r="G6" s="157"/>
      <c r="H6" s="157"/>
    </row>
    <row r="7" spans="1:8">
      <c r="A7" s="16">
        <v>0</v>
      </c>
      <c r="B7" s="66">
        <v>-0.16666666666666666</v>
      </c>
      <c r="C7" s="16">
        <v>2</v>
      </c>
      <c r="D7" s="42">
        <v>0</v>
      </c>
      <c r="E7" s="42">
        <v>0</v>
      </c>
      <c r="F7" s="42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16">
        <v>0</v>
      </c>
      <c r="B8" s="66">
        <v>0.16666666666666666</v>
      </c>
      <c r="C8" s="16">
        <v>2</v>
      </c>
      <c r="D8" s="42">
        <v>9.1999999999999998E-2</v>
      </c>
      <c r="E8" s="42">
        <v>6.6000000000000003E-2</v>
      </c>
      <c r="F8" s="42">
        <v>6.7000000000000004E-2</v>
      </c>
      <c r="G8" s="16">
        <f>(C8*1000*AVERAGE(D8:F8))/$B$2</f>
        <v>1.7024174327545114</v>
      </c>
      <c r="H8" s="19">
        <f t="shared" ref="H8:H17" si="0">(C8*1000*STDEV(D8:F8))/$B$2</f>
        <v>0.33437566366260907</v>
      </c>
    </row>
    <row r="9" spans="1:8">
      <c r="A9" s="16">
        <v>1</v>
      </c>
      <c r="B9" s="66">
        <v>2</v>
      </c>
      <c r="C9" s="16">
        <v>2</v>
      </c>
      <c r="D9" s="42">
        <v>0.13500000000000001</v>
      </c>
      <c r="E9" s="42">
        <v>0.11899999999999999</v>
      </c>
      <c r="F9" s="42">
        <v>0.14099999999999999</v>
      </c>
      <c r="G9" s="16">
        <f t="shared" ref="G9:G17" si="1">(C9*1000*AVERAGE(D9:F9))/$B$2</f>
        <v>2.9886883819468095</v>
      </c>
      <c r="H9" s="19">
        <f t="shared" si="0"/>
        <v>0.2581428079935229</v>
      </c>
    </row>
    <row r="10" spans="1:8">
      <c r="A10" s="16">
        <v>2</v>
      </c>
      <c r="B10" s="66">
        <v>3.3333333333333335</v>
      </c>
      <c r="C10" s="16">
        <v>2</v>
      </c>
      <c r="D10" s="74">
        <v>0.184</v>
      </c>
      <c r="E10" s="74">
        <v>0.13900000000000001</v>
      </c>
      <c r="F10" s="74">
        <v>0.13900000000000001</v>
      </c>
      <c r="G10" s="16">
        <f t="shared" si="1"/>
        <v>3.4956304619225969</v>
      </c>
      <c r="H10" s="19">
        <f t="shared" si="0"/>
        <v>0.58973469784435817</v>
      </c>
    </row>
    <row r="11" spans="1:8">
      <c r="A11" s="16">
        <v>3</v>
      </c>
      <c r="B11" s="66">
        <v>4.666666666666667</v>
      </c>
      <c r="C11" s="16">
        <v>2</v>
      </c>
      <c r="D11" s="74">
        <v>0.186</v>
      </c>
      <c r="E11" s="74">
        <v>0.19800000000000001</v>
      </c>
      <c r="F11" s="74">
        <v>0.19500000000000001</v>
      </c>
      <c r="G11" s="16">
        <f t="shared" si="1"/>
        <v>4.3808875269549423</v>
      </c>
      <c r="H11" s="19">
        <f t="shared" si="0"/>
        <v>0.14175457946653966</v>
      </c>
    </row>
    <row r="12" spans="1:8">
      <c r="A12" s="16">
        <v>4</v>
      </c>
      <c r="B12" s="66">
        <v>6</v>
      </c>
      <c r="C12" s="16">
        <v>2</v>
      </c>
      <c r="D12" s="74">
        <v>0.35799999999999998</v>
      </c>
      <c r="E12" s="74">
        <v>0.36199999999999999</v>
      </c>
      <c r="F12" s="74">
        <v>0.35</v>
      </c>
      <c r="G12" s="16">
        <f t="shared" si="1"/>
        <v>8.095940680210342</v>
      </c>
      <c r="H12" s="19">
        <f t="shared" si="0"/>
        <v>0.1386925644446213</v>
      </c>
    </row>
    <row r="13" spans="1:8">
      <c r="A13" s="16">
        <v>5</v>
      </c>
      <c r="B13" s="66">
        <v>7.333333333333333</v>
      </c>
      <c r="C13" s="16">
        <v>2</v>
      </c>
      <c r="D13" s="75">
        <v>0.57399999999999995</v>
      </c>
      <c r="E13" s="75">
        <v>0.58099999999999996</v>
      </c>
      <c r="F13" s="75">
        <v>0.56999999999999995</v>
      </c>
      <c r="G13" s="16">
        <f t="shared" si="1"/>
        <v>13.051866984451252</v>
      </c>
      <c r="H13" s="19">
        <f t="shared" si="0"/>
        <v>0.12638212150334871</v>
      </c>
    </row>
    <row r="14" spans="1:8">
      <c r="A14" s="16">
        <v>6</v>
      </c>
      <c r="B14" s="66">
        <v>10.333333333333334</v>
      </c>
      <c r="C14" s="16">
        <v>2</v>
      </c>
      <c r="D14" s="75">
        <v>1.278</v>
      </c>
      <c r="E14" s="75">
        <v>1.2629999999999999</v>
      </c>
      <c r="F14" s="75">
        <v>1.2729999999999999</v>
      </c>
      <c r="G14" s="16">
        <f t="shared" si="1"/>
        <v>28.857867060114256</v>
      </c>
      <c r="H14" s="19">
        <f t="shared" si="0"/>
        <v>0.17336570555577774</v>
      </c>
    </row>
    <row r="15" spans="1:8">
      <c r="A15" s="16">
        <v>7</v>
      </c>
      <c r="B15" s="66">
        <v>11.666666666666666</v>
      </c>
      <c r="C15" s="16">
        <v>2</v>
      </c>
      <c r="D15" s="75">
        <v>1.69</v>
      </c>
      <c r="E15" s="75">
        <v>1.677</v>
      </c>
      <c r="F15" s="75">
        <v>1.667</v>
      </c>
      <c r="G15" s="16">
        <f t="shared" si="1"/>
        <v>38.088752695494271</v>
      </c>
      <c r="H15" s="19">
        <f t="shared" si="0"/>
        <v>0.2617764747400011</v>
      </c>
    </row>
    <row r="16" spans="1:8">
      <c r="A16" s="16">
        <v>8</v>
      </c>
      <c r="B16" s="66">
        <v>13</v>
      </c>
      <c r="C16" s="16">
        <v>2</v>
      </c>
      <c r="D16" s="76">
        <v>2.0129999999999999</v>
      </c>
      <c r="E16" s="76">
        <v>1.99</v>
      </c>
      <c r="F16" s="76">
        <v>2.0110000000000001</v>
      </c>
      <c r="G16" s="16">
        <f t="shared" si="1"/>
        <v>45.503726402602801</v>
      </c>
      <c r="H16" s="19">
        <f t="shared" si="0"/>
        <v>0.28920689825016305</v>
      </c>
    </row>
    <row r="17" spans="1:8">
      <c r="A17" s="16">
        <v>9</v>
      </c>
      <c r="B17" s="66">
        <v>14.333333333333334</v>
      </c>
      <c r="C17" s="16">
        <v>2</v>
      </c>
      <c r="D17" s="76">
        <v>2.2610000000000001</v>
      </c>
      <c r="E17" s="76">
        <v>2.2450000000000001</v>
      </c>
      <c r="F17" s="76">
        <v>2.2200000000000002</v>
      </c>
      <c r="G17" s="16">
        <f t="shared" si="1"/>
        <v>50.890931789808207</v>
      </c>
      <c r="H17" s="19">
        <f t="shared" si="0"/>
        <v>0.46904955895521022</v>
      </c>
    </row>
    <row r="18" spans="1:8">
      <c r="A18" s="16">
        <v>10</v>
      </c>
      <c r="B18" s="66">
        <v>15.666666666666666</v>
      </c>
      <c r="C18" s="16">
        <v>2</v>
      </c>
      <c r="D18" s="76">
        <v>2.29</v>
      </c>
      <c r="E18" s="76">
        <v>2.258</v>
      </c>
      <c r="F18" s="76">
        <v>2.2599999999999998</v>
      </c>
      <c r="G18" s="16">
        <f t="shared" ref="G18:G23" si="2">(C18*1000*AVERAGE(D18:F18))/$B$2</f>
        <v>51.511368365300953</v>
      </c>
      <c r="H18" s="19">
        <f t="shared" ref="H18:H23" si="3">(C18*1000*STDEV(D18:F18))/$B$2</f>
        <v>0.40689530994586481</v>
      </c>
    </row>
    <row r="19" spans="1:8">
      <c r="A19" s="16">
        <v>11</v>
      </c>
      <c r="B19" s="66">
        <v>17</v>
      </c>
      <c r="C19" s="16">
        <v>2</v>
      </c>
      <c r="D19" s="76">
        <v>2.2829999999999999</v>
      </c>
      <c r="E19" s="76">
        <v>2.2930000000000001</v>
      </c>
      <c r="F19" s="76">
        <v>2.2759999999999998</v>
      </c>
      <c r="G19" s="16">
        <f t="shared" si="2"/>
        <v>51.84428555215073</v>
      </c>
      <c r="H19" s="19">
        <f t="shared" si="3"/>
        <v>0.1939394789539827</v>
      </c>
    </row>
    <row r="20" spans="1:8">
      <c r="A20" s="16">
        <v>12</v>
      </c>
      <c r="B20" s="66">
        <v>18.333333333333332</v>
      </c>
      <c r="C20" s="16">
        <v>2</v>
      </c>
      <c r="D20" s="76">
        <v>2.3359999999999999</v>
      </c>
      <c r="E20" s="76">
        <v>2.3090000000000002</v>
      </c>
      <c r="F20" s="76">
        <v>2.294</v>
      </c>
      <c r="G20" s="16">
        <f t="shared" si="2"/>
        <v>52.50255362614913</v>
      </c>
      <c r="H20" s="19">
        <f t="shared" si="3"/>
        <v>0.48311875278158334</v>
      </c>
    </row>
    <row r="21" spans="1:8">
      <c r="A21" s="16">
        <v>13</v>
      </c>
      <c r="B21" s="66">
        <v>24</v>
      </c>
      <c r="C21" s="16">
        <v>2</v>
      </c>
      <c r="D21" s="76">
        <v>2.5550000000000002</v>
      </c>
      <c r="E21" s="76">
        <v>2.306</v>
      </c>
      <c r="F21" s="76">
        <v>2.294</v>
      </c>
      <c r="G21" s="16">
        <f t="shared" si="2"/>
        <v>54.13687436159347</v>
      </c>
      <c r="H21" s="19">
        <f t="shared" si="3"/>
        <v>3.3446040251734726</v>
      </c>
    </row>
    <row r="22" spans="1:8">
      <c r="A22" s="16">
        <v>14</v>
      </c>
      <c r="B22" s="66">
        <v>30</v>
      </c>
      <c r="C22" s="16">
        <v>2</v>
      </c>
      <c r="D22" s="76">
        <v>2.3530000000000002</v>
      </c>
      <c r="E22" s="76">
        <v>2.3290000000000002</v>
      </c>
      <c r="F22" s="76">
        <v>2.3199999999999998</v>
      </c>
      <c r="G22" s="16">
        <f t="shared" si="2"/>
        <v>52.979230507320395</v>
      </c>
      <c r="H22" s="19">
        <f t="shared" si="3"/>
        <v>0.38721421199028788</v>
      </c>
    </row>
    <row r="23" spans="1:8">
      <c r="A23" s="16">
        <v>15</v>
      </c>
      <c r="B23" s="66">
        <v>48</v>
      </c>
      <c r="C23" s="16">
        <v>2</v>
      </c>
      <c r="D23" s="76">
        <v>2.419</v>
      </c>
      <c r="E23" s="76">
        <v>2.4159999999999999</v>
      </c>
      <c r="F23" s="76">
        <v>2.399</v>
      </c>
      <c r="G23" s="16">
        <f t="shared" si="2"/>
        <v>54.734612037982828</v>
      </c>
      <c r="H23" s="19">
        <f t="shared" si="3"/>
        <v>0.24482562989238321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E9" sqref="E9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60</v>
      </c>
    </row>
    <row r="2" spans="1:8">
      <c r="A2" s="21" t="s">
        <v>41</v>
      </c>
      <c r="B2" s="17">
        <v>90.08</v>
      </c>
    </row>
    <row r="4" spans="1:8">
      <c r="A4" s="150" t="s">
        <v>41</v>
      </c>
      <c r="B4" s="151"/>
      <c r="C4" s="151"/>
      <c r="D4" s="151"/>
      <c r="E4" s="151"/>
      <c r="F4" s="151"/>
      <c r="G4" s="151"/>
      <c r="H4" s="152"/>
    </row>
    <row r="5" spans="1:8">
      <c r="A5" s="153" t="s">
        <v>61</v>
      </c>
      <c r="B5" s="151"/>
      <c r="C5" s="152"/>
      <c r="D5" s="154" t="s">
        <v>44</v>
      </c>
      <c r="E5" s="154" t="s">
        <v>45</v>
      </c>
      <c r="F5" s="154" t="s">
        <v>46</v>
      </c>
      <c r="G5" s="156" t="s">
        <v>62</v>
      </c>
      <c r="H5" s="156" t="s">
        <v>63</v>
      </c>
    </row>
    <row r="6" spans="1:8">
      <c r="A6" s="22" t="s">
        <v>4</v>
      </c>
      <c r="B6" s="22" t="s">
        <v>59</v>
      </c>
      <c r="C6" s="22" t="s">
        <v>19</v>
      </c>
      <c r="D6" s="155"/>
      <c r="E6" s="155"/>
      <c r="F6" s="155"/>
      <c r="G6" s="157"/>
      <c r="H6" s="157"/>
    </row>
    <row r="7" spans="1:8">
      <c r="A7" s="16">
        <v>0</v>
      </c>
      <c r="B7" s="66">
        <v>-0.16666666666666666</v>
      </c>
      <c r="C7" s="16">
        <v>2</v>
      </c>
      <c r="D7" s="42">
        <v>2E-3</v>
      </c>
      <c r="E7" s="42">
        <v>2E-3</v>
      </c>
      <c r="F7" s="42">
        <v>1E-3</v>
      </c>
      <c r="G7" s="16">
        <f>(C7*1000*AVERAGE(D7:F7))/$B$2</f>
        <v>3.7004144464179989E-2</v>
      </c>
      <c r="H7" s="19">
        <f>(C7*1000*STDEV(D7:F7))/$B$2</f>
        <v>1.2818611660515672E-2</v>
      </c>
    </row>
    <row r="8" spans="1:8">
      <c r="A8" s="16">
        <v>0</v>
      </c>
      <c r="B8" s="66">
        <v>0.16666666666666666</v>
      </c>
      <c r="C8" s="16">
        <v>2</v>
      </c>
      <c r="D8" s="42">
        <v>1.6E-2</v>
      </c>
      <c r="E8" s="42">
        <v>1.4E-2</v>
      </c>
      <c r="F8" s="42">
        <v>1.2999999999999999E-2</v>
      </c>
      <c r="G8" s="16">
        <f t="shared" ref="G8:G17" si="0">(C8*1000*AVERAGE(D8:F8))/$B$2</f>
        <v>0.3182356423919479</v>
      </c>
      <c r="H8" s="19">
        <f t="shared" ref="H8:H17" si="1">(C8*1000*STDEV(D8:F8))/$B$2</f>
        <v>3.3914858606837191E-2</v>
      </c>
    </row>
    <row r="9" spans="1:8">
      <c r="A9" s="16">
        <v>1</v>
      </c>
      <c r="B9" s="66">
        <v>2</v>
      </c>
      <c r="C9" s="16">
        <v>2</v>
      </c>
      <c r="D9" s="42">
        <v>0.01</v>
      </c>
      <c r="E9" s="42">
        <v>5.0000000000000001E-3</v>
      </c>
      <c r="F9" s="42">
        <v>7.0000000000000001E-3</v>
      </c>
      <c r="G9" s="16">
        <f t="shared" si="0"/>
        <v>0.16281823564239195</v>
      </c>
      <c r="H9" s="19">
        <f t="shared" si="1"/>
        <v>5.5875032824679913E-2</v>
      </c>
    </row>
    <row r="10" spans="1:8">
      <c r="A10" s="16">
        <v>2</v>
      </c>
      <c r="B10" s="66">
        <v>3.3333333333333335</v>
      </c>
      <c r="C10" s="16">
        <v>2</v>
      </c>
      <c r="D10" s="42">
        <v>0.01</v>
      </c>
      <c r="E10" s="42">
        <v>1.4E-2</v>
      </c>
      <c r="F10" s="42">
        <v>1.9E-2</v>
      </c>
      <c r="G10" s="16">
        <f t="shared" si="0"/>
        <v>0.3182356423919479</v>
      </c>
      <c r="H10" s="19">
        <f t="shared" si="1"/>
        <v>0.10011655756711597</v>
      </c>
    </row>
    <row r="11" spans="1:8">
      <c r="A11" s="16">
        <v>3</v>
      </c>
      <c r="B11" s="66">
        <v>4.666666666666667</v>
      </c>
      <c r="C11" s="16">
        <v>2</v>
      </c>
      <c r="D11" s="42">
        <v>1.4E-2</v>
      </c>
      <c r="E11" s="42">
        <v>1.2E-2</v>
      </c>
      <c r="F11" s="42">
        <v>1.7000000000000001E-2</v>
      </c>
      <c r="G11" s="16">
        <f t="shared" si="0"/>
        <v>0.31823564239194796</v>
      </c>
      <c r="H11" s="19">
        <f t="shared" si="1"/>
        <v>5.5875032824679934E-2</v>
      </c>
    </row>
    <row r="12" spans="1:8">
      <c r="A12" s="16">
        <v>4</v>
      </c>
      <c r="B12" s="66">
        <v>6</v>
      </c>
      <c r="C12" s="16">
        <v>2</v>
      </c>
      <c r="D12" s="43">
        <v>1.9E-2</v>
      </c>
      <c r="E12" s="43">
        <v>0.02</v>
      </c>
      <c r="F12" s="43">
        <v>1.7000000000000001E-2</v>
      </c>
      <c r="G12" s="16">
        <f t="shared" si="0"/>
        <v>0.41444641799881587</v>
      </c>
      <c r="H12" s="19">
        <f t="shared" si="1"/>
        <v>3.391485860683717E-2</v>
      </c>
    </row>
    <row r="13" spans="1:8">
      <c r="A13" s="16">
        <v>5</v>
      </c>
      <c r="B13" s="66">
        <v>7.333333333333333</v>
      </c>
      <c r="C13" s="16">
        <v>2</v>
      </c>
      <c r="D13" s="43">
        <v>1.7999999999999999E-2</v>
      </c>
      <c r="E13" s="43">
        <v>1.7000000000000001E-2</v>
      </c>
      <c r="F13" s="43">
        <v>1.7000000000000001E-2</v>
      </c>
      <c r="G13" s="16">
        <f t="shared" si="0"/>
        <v>0.38484310242747194</v>
      </c>
      <c r="H13" s="19">
        <f t="shared" si="1"/>
        <v>1.2818611660515638E-2</v>
      </c>
    </row>
    <row r="14" spans="1:8">
      <c r="A14" s="16">
        <v>6</v>
      </c>
      <c r="B14" s="66">
        <v>10.333333333333334</v>
      </c>
      <c r="C14" s="16">
        <v>2</v>
      </c>
      <c r="D14" s="43">
        <v>2.3E-2</v>
      </c>
      <c r="E14" s="43">
        <v>2.4E-2</v>
      </c>
      <c r="F14" s="43">
        <v>2.3E-2</v>
      </c>
      <c r="G14" s="16">
        <f t="shared" si="0"/>
        <v>0.51805802249851984</v>
      </c>
      <c r="H14" s="19">
        <f t="shared" si="1"/>
        <v>1.2818611660515679E-2</v>
      </c>
    </row>
    <row r="15" spans="1:8">
      <c r="A15" s="16">
        <v>7</v>
      </c>
      <c r="B15" s="66">
        <v>11.666666666666666</v>
      </c>
      <c r="C15" s="16">
        <v>2</v>
      </c>
      <c r="D15" s="62">
        <v>3.3000000000000002E-2</v>
      </c>
      <c r="E15" s="62">
        <v>3.2000000000000001E-2</v>
      </c>
      <c r="F15" s="62">
        <v>3.1E-2</v>
      </c>
      <c r="G15" s="16">
        <f t="shared" si="0"/>
        <v>0.71047957371225579</v>
      </c>
      <c r="H15" s="19">
        <f t="shared" si="1"/>
        <v>2.2202486678508014E-2</v>
      </c>
    </row>
    <row r="16" spans="1:8">
      <c r="A16" s="16">
        <v>8</v>
      </c>
      <c r="B16" s="66">
        <v>13</v>
      </c>
      <c r="C16" s="16">
        <v>2</v>
      </c>
      <c r="D16" s="62">
        <v>8.5000000000000006E-2</v>
      </c>
      <c r="E16" s="62">
        <v>8.3000000000000004E-2</v>
      </c>
      <c r="F16" s="62">
        <v>8.4000000000000005E-2</v>
      </c>
      <c r="G16" s="16">
        <f t="shared" si="0"/>
        <v>1.8650088809946714</v>
      </c>
      <c r="H16" s="19">
        <f t="shared" si="1"/>
        <v>2.2202486678508014E-2</v>
      </c>
    </row>
    <row r="17" spans="1:8">
      <c r="A17" s="16">
        <v>9</v>
      </c>
      <c r="B17" s="66">
        <v>14.333333333333334</v>
      </c>
      <c r="C17" s="16">
        <v>2</v>
      </c>
      <c r="D17" s="62">
        <v>0.187</v>
      </c>
      <c r="E17" s="62">
        <v>0.189</v>
      </c>
      <c r="F17" s="62">
        <v>0.188</v>
      </c>
      <c r="G17" s="16">
        <f t="shared" si="0"/>
        <v>4.1740674955595036</v>
      </c>
      <c r="H17" s="19">
        <f t="shared" si="1"/>
        <v>2.2202486678508014E-2</v>
      </c>
    </row>
    <row r="18" spans="1:8">
      <c r="A18" s="16">
        <v>10</v>
      </c>
      <c r="B18" s="66">
        <v>15.666666666666666</v>
      </c>
      <c r="C18" s="16">
        <v>2</v>
      </c>
      <c r="D18" s="42">
        <v>0.191</v>
      </c>
      <c r="E18" s="42">
        <v>0.189</v>
      </c>
      <c r="F18" s="42">
        <v>0.19</v>
      </c>
      <c r="G18" s="16">
        <f t="shared" ref="G18:G23" si="2">(C18*1000*AVERAGE(D18:F18))/$B$2</f>
        <v>4.2184724689165192</v>
      </c>
      <c r="H18" s="19">
        <f t="shared" ref="H18:H23" si="3">(C18*1000*STDEV(D18:F18))/$B$2</f>
        <v>2.2202486678508014E-2</v>
      </c>
    </row>
    <row r="19" spans="1:8">
      <c r="A19" s="16">
        <v>11</v>
      </c>
      <c r="B19" s="66">
        <v>17</v>
      </c>
      <c r="C19" s="16">
        <v>2</v>
      </c>
      <c r="D19" s="62">
        <v>0.19900000000000001</v>
      </c>
      <c r="E19" s="62">
        <v>0.19900000000000001</v>
      </c>
      <c r="F19" s="62">
        <v>0.19400000000000001</v>
      </c>
      <c r="G19" s="16">
        <f t="shared" si="2"/>
        <v>4.3812907045589116</v>
      </c>
      <c r="H19" s="19">
        <f t="shared" si="3"/>
        <v>6.4093058302578401E-2</v>
      </c>
    </row>
    <row r="20" spans="1:8">
      <c r="A20" s="16">
        <v>12</v>
      </c>
      <c r="B20" s="66">
        <v>18.333333333333332</v>
      </c>
      <c r="C20" s="16">
        <v>2</v>
      </c>
      <c r="D20" s="62">
        <v>0.21099999999999999</v>
      </c>
      <c r="E20" s="62">
        <v>0.21099999999999999</v>
      </c>
      <c r="F20" s="62">
        <v>0.20599999999999999</v>
      </c>
      <c r="G20" s="16">
        <f t="shared" si="2"/>
        <v>4.6477205447010066</v>
      </c>
      <c r="H20" s="19">
        <f t="shared" si="3"/>
        <v>6.4093058302578401E-2</v>
      </c>
    </row>
    <row r="21" spans="1:8">
      <c r="A21" s="16">
        <v>13</v>
      </c>
      <c r="B21" s="66">
        <v>24</v>
      </c>
      <c r="C21" s="16">
        <v>2</v>
      </c>
      <c r="D21" s="62">
        <v>0.252</v>
      </c>
      <c r="E21" s="62">
        <v>0.23</v>
      </c>
      <c r="F21" s="62">
        <v>0.22500000000000001</v>
      </c>
      <c r="G21" s="16">
        <f t="shared" si="2"/>
        <v>5.2323860272350506</v>
      </c>
      <c r="H21" s="19">
        <f t="shared" si="3"/>
        <v>0.31892334852598042</v>
      </c>
    </row>
    <row r="22" spans="1:8">
      <c r="A22" s="16">
        <v>14</v>
      </c>
      <c r="B22" s="66">
        <v>30</v>
      </c>
      <c r="C22" s="16">
        <v>2</v>
      </c>
      <c r="D22" s="62">
        <v>0.23100000000000001</v>
      </c>
      <c r="E22" s="62">
        <v>0.224</v>
      </c>
      <c r="F22" s="62">
        <v>0.22500000000000001</v>
      </c>
      <c r="G22" s="16">
        <f t="shared" si="2"/>
        <v>5.0325636471284785</v>
      </c>
      <c r="H22" s="19">
        <f t="shared" si="3"/>
        <v>8.4057257930732363E-2</v>
      </c>
    </row>
    <row r="23" spans="1:8">
      <c r="A23" s="16">
        <v>15</v>
      </c>
      <c r="B23" s="66">
        <v>48</v>
      </c>
      <c r="C23" s="16">
        <v>2</v>
      </c>
      <c r="D23" s="62">
        <v>0.22900000000000001</v>
      </c>
      <c r="E23" s="62">
        <v>0.22700000000000001</v>
      </c>
      <c r="F23" s="62">
        <v>0.22900000000000001</v>
      </c>
      <c r="G23" s="16">
        <f t="shared" si="2"/>
        <v>5.0695677915926591</v>
      </c>
      <c r="H23" s="19">
        <f t="shared" si="3"/>
        <v>2.5637223321031362E-2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7" sqref="B7:B2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1" t="s">
        <v>35</v>
      </c>
      <c r="B1" s="21" t="s">
        <v>60</v>
      </c>
    </row>
    <row r="2" spans="1:8">
      <c r="A2" s="21" t="s">
        <v>43</v>
      </c>
      <c r="B2" s="17">
        <v>46.07</v>
      </c>
    </row>
    <row r="4" spans="1:8">
      <c r="A4" s="150" t="s">
        <v>43</v>
      </c>
      <c r="B4" s="151"/>
      <c r="C4" s="151"/>
      <c r="D4" s="151"/>
      <c r="E4" s="151"/>
      <c r="F4" s="151"/>
      <c r="G4" s="151"/>
      <c r="H4" s="152"/>
    </row>
    <row r="5" spans="1:8">
      <c r="A5" s="153" t="s">
        <v>61</v>
      </c>
      <c r="B5" s="151"/>
      <c r="C5" s="152"/>
      <c r="D5" s="154" t="s">
        <v>44</v>
      </c>
      <c r="E5" s="154" t="s">
        <v>45</v>
      </c>
      <c r="F5" s="154" t="s">
        <v>46</v>
      </c>
      <c r="G5" s="156" t="s">
        <v>62</v>
      </c>
      <c r="H5" s="156" t="s">
        <v>63</v>
      </c>
    </row>
    <row r="6" spans="1:8">
      <c r="A6" s="22" t="s">
        <v>4</v>
      </c>
      <c r="B6" s="22" t="s">
        <v>59</v>
      </c>
      <c r="C6" s="22" t="s">
        <v>19</v>
      </c>
      <c r="D6" s="155"/>
      <c r="E6" s="155"/>
      <c r="F6" s="155"/>
      <c r="G6" s="157"/>
      <c r="H6" s="157"/>
    </row>
    <row r="7" spans="1:8">
      <c r="A7" s="16">
        <v>0</v>
      </c>
      <c r="B7" s="66">
        <v>-0.16666666666666666</v>
      </c>
      <c r="C7" s="16">
        <v>2</v>
      </c>
      <c r="D7" s="18">
        <v>0</v>
      </c>
      <c r="E7" s="18">
        <v>0</v>
      </c>
      <c r="F7" s="18">
        <v>0</v>
      </c>
      <c r="G7" s="16">
        <f>(C7*1000*AVERAGE(D7:F7))/$B$2</f>
        <v>0</v>
      </c>
      <c r="H7" s="19">
        <f>(C7*1000*STDEV(D7:F7))/$B$2</f>
        <v>0</v>
      </c>
    </row>
    <row r="8" spans="1:8">
      <c r="A8" s="16">
        <v>0</v>
      </c>
      <c r="B8" s="66">
        <v>0.16666666666666666</v>
      </c>
      <c r="C8" s="16">
        <v>2</v>
      </c>
      <c r="D8" s="18">
        <v>0</v>
      </c>
      <c r="E8" s="18">
        <v>0</v>
      </c>
      <c r="F8" s="18">
        <v>0</v>
      </c>
      <c r="G8" s="16">
        <f t="shared" ref="G8:G17" si="0">(C8*1000*AVERAGE(D8:F8))/$B$2</f>
        <v>0</v>
      </c>
      <c r="H8" s="19">
        <f t="shared" ref="H8:H17" si="1">(C8*1000*STDEV(D8:F8))/$B$2</f>
        <v>0</v>
      </c>
    </row>
    <row r="9" spans="1:8">
      <c r="A9" s="16">
        <v>1</v>
      </c>
      <c r="B9" s="66">
        <v>2</v>
      </c>
      <c r="C9" s="16">
        <v>2</v>
      </c>
      <c r="D9" s="18">
        <v>0</v>
      </c>
      <c r="E9" s="18">
        <v>0</v>
      </c>
      <c r="F9" s="18">
        <v>0</v>
      </c>
      <c r="G9" s="16">
        <f t="shared" si="0"/>
        <v>0</v>
      </c>
      <c r="H9" s="19">
        <f t="shared" si="1"/>
        <v>0</v>
      </c>
    </row>
    <row r="10" spans="1:8">
      <c r="A10" s="16">
        <v>2</v>
      </c>
      <c r="B10" s="66">
        <v>3.3333333333333335</v>
      </c>
      <c r="C10" s="16">
        <v>2</v>
      </c>
      <c r="D10" s="18">
        <v>0</v>
      </c>
      <c r="E10" s="18">
        <v>0</v>
      </c>
      <c r="F10" s="18">
        <v>0</v>
      </c>
      <c r="G10" s="16">
        <f t="shared" si="0"/>
        <v>0</v>
      </c>
      <c r="H10" s="19">
        <f t="shared" si="1"/>
        <v>0</v>
      </c>
    </row>
    <row r="11" spans="1:8">
      <c r="A11" s="16">
        <v>3</v>
      </c>
      <c r="B11" s="66">
        <v>4.666666666666667</v>
      </c>
      <c r="C11" s="16">
        <v>2</v>
      </c>
      <c r="D11" s="18">
        <v>0</v>
      </c>
      <c r="E11" s="18">
        <v>0</v>
      </c>
      <c r="F11" s="18">
        <v>0</v>
      </c>
      <c r="G11" s="16">
        <f t="shared" si="0"/>
        <v>0</v>
      </c>
      <c r="H11" s="19">
        <f t="shared" si="1"/>
        <v>0</v>
      </c>
    </row>
    <row r="12" spans="1:8">
      <c r="A12" s="16">
        <v>4</v>
      </c>
      <c r="B12" s="66">
        <v>6</v>
      </c>
      <c r="C12" s="16">
        <v>2</v>
      </c>
      <c r="D12" s="18">
        <v>0</v>
      </c>
      <c r="E12" s="18">
        <v>0</v>
      </c>
      <c r="F12" s="18">
        <v>0</v>
      </c>
      <c r="G12" s="16">
        <f t="shared" si="0"/>
        <v>0</v>
      </c>
      <c r="H12" s="19">
        <f t="shared" si="1"/>
        <v>0</v>
      </c>
    </row>
    <row r="13" spans="1:8">
      <c r="A13" s="16">
        <v>5</v>
      </c>
      <c r="B13" s="66">
        <v>7.333333333333333</v>
      </c>
      <c r="C13" s="16">
        <v>2</v>
      </c>
      <c r="D13" s="18">
        <v>0</v>
      </c>
      <c r="E13" s="18">
        <v>0</v>
      </c>
      <c r="F13" s="18">
        <v>0</v>
      </c>
      <c r="G13" s="16">
        <f t="shared" si="0"/>
        <v>0</v>
      </c>
      <c r="H13" s="19">
        <f t="shared" si="1"/>
        <v>0</v>
      </c>
    </row>
    <row r="14" spans="1:8">
      <c r="A14" s="16">
        <v>6</v>
      </c>
      <c r="B14" s="66">
        <v>10.333333333333334</v>
      </c>
      <c r="C14" s="16">
        <v>2</v>
      </c>
      <c r="D14" s="18">
        <v>0</v>
      </c>
      <c r="E14" s="18">
        <v>0</v>
      </c>
      <c r="F14" s="18">
        <v>0</v>
      </c>
      <c r="G14" s="16">
        <f t="shared" si="0"/>
        <v>0</v>
      </c>
      <c r="H14" s="19">
        <f t="shared" si="1"/>
        <v>0</v>
      </c>
    </row>
    <row r="15" spans="1:8">
      <c r="A15" s="16">
        <v>7</v>
      </c>
      <c r="B15" s="66">
        <v>11.666666666666666</v>
      </c>
      <c r="C15" s="16">
        <v>2</v>
      </c>
      <c r="D15" s="18">
        <v>0</v>
      </c>
      <c r="E15" s="18">
        <v>0</v>
      </c>
      <c r="F15" s="18">
        <v>0</v>
      </c>
      <c r="G15" s="16">
        <f t="shared" si="0"/>
        <v>0</v>
      </c>
      <c r="H15" s="19">
        <f t="shared" si="1"/>
        <v>0</v>
      </c>
    </row>
    <row r="16" spans="1:8">
      <c r="A16" s="16">
        <v>8</v>
      </c>
      <c r="B16" s="66">
        <v>13</v>
      </c>
      <c r="C16" s="16">
        <v>2</v>
      </c>
      <c r="D16" s="18">
        <v>0</v>
      </c>
      <c r="E16" s="18">
        <v>0</v>
      </c>
      <c r="F16" s="18">
        <v>0</v>
      </c>
      <c r="G16" s="16">
        <f t="shared" si="0"/>
        <v>0</v>
      </c>
      <c r="H16" s="19">
        <f t="shared" si="1"/>
        <v>0</v>
      </c>
    </row>
    <row r="17" spans="1:8">
      <c r="A17" s="16">
        <v>9</v>
      </c>
      <c r="B17" s="66">
        <v>14.333333333333334</v>
      </c>
      <c r="C17" s="16">
        <v>2</v>
      </c>
      <c r="D17" s="18">
        <v>0</v>
      </c>
      <c r="E17" s="18">
        <v>0</v>
      </c>
      <c r="F17" s="18">
        <v>0</v>
      </c>
      <c r="G17" s="16">
        <f t="shared" si="0"/>
        <v>0</v>
      </c>
      <c r="H17" s="19">
        <f t="shared" si="1"/>
        <v>0</v>
      </c>
    </row>
    <row r="18" spans="1:8">
      <c r="A18" s="16">
        <v>10</v>
      </c>
      <c r="B18" s="66">
        <v>15.666666666666666</v>
      </c>
      <c r="C18" s="16">
        <v>2</v>
      </c>
      <c r="D18" s="18">
        <v>0</v>
      </c>
      <c r="E18" s="18">
        <v>0</v>
      </c>
      <c r="F18" s="18">
        <v>0</v>
      </c>
      <c r="G18" s="16">
        <f t="shared" ref="G18:G23" si="2">(C18*1000*AVERAGE(D18:F18))/$B$2</f>
        <v>0</v>
      </c>
      <c r="H18" s="19">
        <f t="shared" ref="H18:H23" si="3">(C18*1000*STDEV(D18:F18))/$B$2</f>
        <v>0</v>
      </c>
    </row>
    <row r="19" spans="1:8">
      <c r="A19" s="16">
        <v>11</v>
      </c>
      <c r="B19" s="66">
        <v>17</v>
      </c>
      <c r="C19" s="16">
        <v>2</v>
      </c>
      <c r="D19" s="18">
        <v>0</v>
      </c>
      <c r="E19" s="18">
        <v>0</v>
      </c>
      <c r="F19" s="18">
        <v>0</v>
      </c>
      <c r="G19" s="16">
        <f t="shared" si="2"/>
        <v>0</v>
      </c>
      <c r="H19" s="19">
        <f t="shared" si="3"/>
        <v>0</v>
      </c>
    </row>
    <row r="20" spans="1:8">
      <c r="A20" s="16">
        <v>12</v>
      </c>
      <c r="B20" s="66">
        <v>18.333333333333332</v>
      </c>
      <c r="C20" s="16">
        <v>2</v>
      </c>
      <c r="D20" s="18">
        <v>0</v>
      </c>
      <c r="E20" s="18">
        <v>0</v>
      </c>
      <c r="F20" s="18">
        <v>0</v>
      </c>
      <c r="G20" s="16">
        <f t="shared" si="2"/>
        <v>0</v>
      </c>
      <c r="H20" s="19">
        <f t="shared" si="3"/>
        <v>0</v>
      </c>
    </row>
    <row r="21" spans="1:8">
      <c r="A21" s="16">
        <v>13</v>
      </c>
      <c r="B21" s="66">
        <v>24</v>
      </c>
      <c r="C21" s="16">
        <v>2</v>
      </c>
      <c r="D21" s="18">
        <v>0</v>
      </c>
      <c r="E21" s="18">
        <v>0</v>
      </c>
      <c r="F21" s="18">
        <v>0</v>
      </c>
      <c r="G21" s="16">
        <f t="shared" si="2"/>
        <v>0</v>
      </c>
      <c r="H21" s="19">
        <f t="shared" si="3"/>
        <v>0</v>
      </c>
    </row>
    <row r="22" spans="1:8">
      <c r="A22" s="16">
        <v>14</v>
      </c>
      <c r="B22" s="66">
        <v>30</v>
      </c>
      <c r="C22" s="16">
        <v>2</v>
      </c>
      <c r="D22" s="18">
        <v>0</v>
      </c>
      <c r="E22" s="18">
        <v>0</v>
      </c>
      <c r="F22" s="18">
        <v>0</v>
      </c>
      <c r="G22" s="16">
        <f t="shared" si="2"/>
        <v>0</v>
      </c>
      <c r="H22" s="19">
        <f t="shared" si="3"/>
        <v>0</v>
      </c>
    </row>
    <row r="23" spans="1:8">
      <c r="A23" s="16">
        <v>15</v>
      </c>
      <c r="B23" s="66">
        <v>48</v>
      </c>
      <c r="C23" s="16">
        <v>2</v>
      </c>
      <c r="D23" s="18">
        <v>0</v>
      </c>
      <c r="E23" s="18">
        <v>0</v>
      </c>
      <c r="F23" s="18">
        <v>0</v>
      </c>
      <c r="G23" s="16">
        <f t="shared" si="2"/>
        <v>0</v>
      </c>
      <c r="H23" s="19">
        <f t="shared" si="3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F29"/>
  <sheetViews>
    <sheetView workbookViewId="0">
      <selection activeCell="E27" sqref="E27"/>
    </sheetView>
  </sheetViews>
  <sheetFormatPr baseColWidth="10" defaultColWidth="8.83203125" defaultRowHeight="14" x14ac:dyDescent="0"/>
  <cols>
    <col min="1" max="1" width="23.6640625" bestFit="1" customWidth="1"/>
    <col min="3" max="3" width="9.1640625" bestFit="1" customWidth="1"/>
    <col min="4" max="4" width="10.1640625" bestFit="1" customWidth="1"/>
  </cols>
  <sheetData>
    <row r="1" spans="1:4">
      <c r="B1" s="31" t="s">
        <v>77</v>
      </c>
      <c r="C1" s="31" t="s">
        <v>78</v>
      </c>
    </row>
    <row r="2" spans="1:4">
      <c r="A2" s="31" t="s">
        <v>147</v>
      </c>
      <c r="B2" s="82">
        <f>Metabolites!H4-Metabolites!H19</f>
        <v>47.713143872113669</v>
      </c>
      <c r="C2" s="82">
        <f>Metabolites!I4+Metabolites!I19</f>
        <v>0.60773604321363239</v>
      </c>
      <c r="D2" s="82"/>
    </row>
    <row r="3" spans="1:4">
      <c r="A3" s="31" t="s">
        <v>110</v>
      </c>
      <c r="B3" s="82">
        <f>Metabolites!P4-Metabolites!P19</f>
        <v>19.528259373741403</v>
      </c>
      <c r="C3" s="82">
        <f>Metabolites!Q4+Metabolites!Q19</f>
        <v>0.75944745034223982</v>
      </c>
      <c r="D3" s="82"/>
    </row>
    <row r="4" spans="1:4">
      <c r="A4" s="31" t="s">
        <v>111</v>
      </c>
      <c r="B4" s="82">
        <f>Metabolites!T19-Metabolites!T4</f>
        <v>6.2450075478275444</v>
      </c>
      <c r="C4" s="82">
        <f>Metabolites!U4+Metabolites!U19</f>
        <v>0.3093242731843065</v>
      </c>
      <c r="D4" s="82"/>
    </row>
    <row r="5" spans="1:4">
      <c r="A5" s="31" t="s">
        <v>112</v>
      </c>
      <c r="B5" s="82">
        <f>Metabolites!L19-Metabolites!L4</f>
        <v>5.030120147217203</v>
      </c>
      <c r="C5" s="82">
        <f>Metabolites!M19+Metabolites!M4</f>
        <v>6.0961935875620307E-2</v>
      </c>
      <c r="D5" s="82"/>
    </row>
    <row r="6" spans="1:4">
      <c r="A6" s="31" t="s">
        <v>113</v>
      </c>
      <c r="B6" s="82">
        <f>Metabolites!L39-Metabolites!L24</f>
        <v>56.042185503778811</v>
      </c>
      <c r="C6" s="82">
        <f>Metabolites!M39+Metabolites!M24</f>
        <v>0.59266485692503279</v>
      </c>
      <c r="D6" s="82"/>
    </row>
    <row r="7" spans="1:4">
      <c r="A7" s="31" t="s">
        <v>79</v>
      </c>
      <c r="B7" s="82">
        <f>'H2'!G203</f>
        <v>116.55307037505735</v>
      </c>
      <c r="C7" s="82"/>
      <c r="D7" s="82"/>
    </row>
    <row r="8" spans="1:4">
      <c r="A8" s="31" t="s">
        <v>80</v>
      </c>
      <c r="B8" s="82">
        <f>'CO2'!G202</f>
        <v>83.397085662838819</v>
      </c>
      <c r="C8" s="82"/>
      <c r="D8" s="82"/>
    </row>
    <row r="9" spans="1:4">
      <c r="A9" s="31" t="s">
        <v>115</v>
      </c>
      <c r="B9" s="82">
        <f xml:space="preserve"> Calculation!G19*1.5/1000</f>
        <v>7.4999999999999997E-2</v>
      </c>
      <c r="C9" s="82"/>
      <c r="D9" s="82"/>
    </row>
    <row r="10" spans="1:4" ht="16">
      <c r="A10" s="31" t="s">
        <v>116</v>
      </c>
      <c r="B10" s="82">
        <f>Calculation!H19*1.5/1000</f>
        <v>2.2499999999999999E-2</v>
      </c>
      <c r="C10" s="82"/>
      <c r="D10" s="82"/>
    </row>
    <row r="12" spans="1:4">
      <c r="A12" s="31" t="s">
        <v>81</v>
      </c>
      <c r="B12" s="83">
        <f>((4*$B$6)+(3*$B$5)+($B$4)+(B8))/((6*$B$2)+(2*$B$3))</f>
        <v>1.0109604238726355</v>
      </c>
    </row>
    <row r="13" spans="1:4">
      <c r="A13" s="31" t="s">
        <v>114</v>
      </c>
    </row>
    <row r="15" spans="1:4">
      <c r="C15" t="s">
        <v>126</v>
      </c>
      <c r="D15" t="s">
        <v>127</v>
      </c>
    </row>
    <row r="16" spans="1:4">
      <c r="A16" t="s">
        <v>160</v>
      </c>
      <c r="B16" t="s">
        <v>118</v>
      </c>
      <c r="C16" s="82">
        <f>B2</f>
        <v>47.713143872113669</v>
      </c>
      <c r="D16" s="82">
        <f>B2</f>
        <v>47.713143872113669</v>
      </c>
    </row>
    <row r="17" spans="1:6">
      <c r="A17" t="s">
        <v>161</v>
      </c>
      <c r="B17" t="s">
        <v>119</v>
      </c>
      <c r="C17" s="82">
        <f>2*C16</f>
        <v>95.426287744227338</v>
      </c>
      <c r="D17" s="82">
        <f>2*B2</f>
        <v>95.426287744227338</v>
      </c>
    </row>
    <row r="18" spans="1:6">
      <c r="A18" t="s">
        <v>162</v>
      </c>
      <c r="B18" t="s">
        <v>120</v>
      </c>
      <c r="C18" s="82">
        <f>B5</f>
        <v>5.030120147217203</v>
      </c>
      <c r="D18" s="82">
        <f>B5</f>
        <v>5.030120147217203</v>
      </c>
    </row>
    <row r="19" spans="1:6">
      <c r="A19" t="s">
        <v>163</v>
      </c>
      <c r="B19" t="s">
        <v>129</v>
      </c>
      <c r="C19" s="82">
        <f>B4</f>
        <v>6.2450075478275444</v>
      </c>
      <c r="D19" s="82">
        <f>B4</f>
        <v>6.2450075478275444</v>
      </c>
    </row>
    <row r="20" spans="1:6">
      <c r="A20" t="s">
        <v>164</v>
      </c>
      <c r="B20" t="s">
        <v>121</v>
      </c>
      <c r="C20" s="84">
        <f>C17-C18</f>
        <v>90.396167597010134</v>
      </c>
      <c r="D20" s="84">
        <f>B8</f>
        <v>83.397085662838819</v>
      </c>
    </row>
    <row r="21" spans="1:6">
      <c r="A21" t="s">
        <v>165</v>
      </c>
      <c r="B21" t="s">
        <v>130</v>
      </c>
      <c r="C21" s="85">
        <f>C20-C19</f>
        <v>84.151160049182593</v>
      </c>
      <c r="D21" s="85">
        <f>B8</f>
        <v>83.397085662838819</v>
      </c>
    </row>
    <row r="22" spans="1:6">
      <c r="A22" t="s">
        <v>166</v>
      </c>
      <c r="B22" t="s">
        <v>122</v>
      </c>
      <c r="C22" s="82">
        <f>B3</f>
        <v>19.528259373741403</v>
      </c>
      <c r="D22" s="82">
        <f>B3</f>
        <v>19.528259373741403</v>
      </c>
    </row>
    <row r="23" spans="1:6">
      <c r="A23" t="s">
        <v>167</v>
      </c>
      <c r="B23" t="s">
        <v>150</v>
      </c>
      <c r="C23" s="82">
        <f>C20+C22</f>
        <v>109.92442697075154</v>
      </c>
      <c r="D23" s="82"/>
    </row>
    <row r="24" spans="1:6">
      <c r="A24" t="s">
        <v>168</v>
      </c>
      <c r="B24" t="s">
        <v>123</v>
      </c>
      <c r="C24" s="85">
        <f>C23/2</f>
        <v>54.96221348537577</v>
      </c>
      <c r="D24" s="85">
        <f>B6</f>
        <v>56.042185503778811</v>
      </c>
    </row>
    <row r="25" spans="1:6">
      <c r="A25" t="s">
        <v>154</v>
      </c>
      <c r="B25" t="s">
        <v>128</v>
      </c>
      <c r="C25" s="82">
        <f>C20-C22</f>
        <v>70.867908223268728</v>
      </c>
      <c r="D25" s="82">
        <f>B7</f>
        <v>116.55307037505735</v>
      </c>
      <c r="F25" t="s">
        <v>187</v>
      </c>
    </row>
    <row r="26" spans="1:6">
      <c r="A26" t="s">
        <v>169</v>
      </c>
      <c r="B26" t="s">
        <v>149</v>
      </c>
      <c r="C26" s="86">
        <f>C25-C19</f>
        <v>64.622900675441187</v>
      </c>
      <c r="D26" s="86">
        <f>D25-D19</f>
        <v>110.3080628272298</v>
      </c>
    </row>
    <row r="28" spans="1:6">
      <c r="A28" t="s">
        <v>124</v>
      </c>
    </row>
    <row r="29" spans="1:6">
      <c r="A29" t="s">
        <v>125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4" sqref="A4:D19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15.83203125" style="2" customWidth="1"/>
    <col min="12" max="16384" width="8.83203125" style="2"/>
  </cols>
  <sheetData>
    <row r="1" spans="1:11">
      <c r="A1" s="125" t="s">
        <v>4</v>
      </c>
      <c r="B1" s="125" t="s">
        <v>104</v>
      </c>
      <c r="C1" s="125" t="s">
        <v>104</v>
      </c>
      <c r="D1" s="125" t="s">
        <v>5</v>
      </c>
      <c r="E1" s="4" t="s">
        <v>7</v>
      </c>
      <c r="F1" s="4" t="s">
        <v>9</v>
      </c>
      <c r="G1" s="121" t="s">
        <v>11</v>
      </c>
      <c r="H1" s="121" t="s">
        <v>12</v>
      </c>
      <c r="I1" s="4" t="s">
        <v>13</v>
      </c>
      <c r="J1" s="4" t="s">
        <v>16</v>
      </c>
      <c r="K1" s="4" t="s">
        <v>16</v>
      </c>
    </row>
    <row r="2" spans="1:11">
      <c r="A2" s="126"/>
      <c r="B2" s="126"/>
      <c r="C2" s="126"/>
      <c r="D2" s="126"/>
      <c r="E2" s="5" t="s">
        <v>8</v>
      </c>
      <c r="F2" s="5" t="s">
        <v>10</v>
      </c>
      <c r="G2" s="121"/>
      <c r="H2" s="121"/>
      <c r="I2" s="5" t="s">
        <v>14</v>
      </c>
      <c r="J2" s="5" t="s">
        <v>17</v>
      </c>
      <c r="K2" s="5" t="s">
        <v>151</v>
      </c>
    </row>
    <row r="3" spans="1:11">
      <c r="A3" s="33" t="s">
        <v>6</v>
      </c>
      <c r="B3" s="53">
        <v>-10</v>
      </c>
      <c r="C3" s="54">
        <v>-10</v>
      </c>
      <c r="D3" s="66">
        <f>C3/60</f>
        <v>-0.16666666666666666</v>
      </c>
      <c r="E3" s="3">
        <v>48</v>
      </c>
      <c r="F3" s="1">
        <f>E3</f>
        <v>48</v>
      </c>
      <c r="G3" s="1">
        <v>0</v>
      </c>
      <c r="H3" s="1">
        <v>0</v>
      </c>
      <c r="I3" s="1">
        <f>F21+G3+H3</f>
        <v>1500</v>
      </c>
      <c r="J3" s="13">
        <f>F3*1500/I3</f>
        <v>48</v>
      </c>
      <c r="K3" s="13">
        <f>F22-J3</f>
        <v>1527</v>
      </c>
    </row>
    <row r="4" spans="1:11">
      <c r="A4" s="1">
        <v>0</v>
      </c>
      <c r="B4" s="55">
        <v>10</v>
      </c>
      <c r="C4" s="56">
        <v>10</v>
      </c>
      <c r="D4" s="66">
        <f t="shared" ref="D4:D19" si="0">C4/60</f>
        <v>0.16666666666666666</v>
      </c>
      <c r="E4" s="1">
        <v>46</v>
      </c>
      <c r="F4" s="1">
        <f>E4+F3</f>
        <v>94</v>
      </c>
      <c r="G4" s="1">
        <v>0</v>
      </c>
      <c r="H4" s="1">
        <v>0</v>
      </c>
      <c r="I4" s="1">
        <f t="shared" ref="I4:I19" si="1">$F$22-F3+G4+H4</f>
        <v>1527</v>
      </c>
      <c r="J4" s="13">
        <f>E4*K3/I4</f>
        <v>46</v>
      </c>
      <c r="K4" s="13">
        <f>K3-J4</f>
        <v>1481</v>
      </c>
    </row>
    <row r="5" spans="1:11">
      <c r="A5" s="1">
        <v>1</v>
      </c>
      <c r="B5" s="55">
        <v>110</v>
      </c>
      <c r="C5" s="56">
        <f>C4+B5</f>
        <v>120</v>
      </c>
      <c r="D5" s="66">
        <f t="shared" si="0"/>
        <v>2</v>
      </c>
      <c r="E5" s="1">
        <v>43</v>
      </c>
      <c r="F5" s="40">
        <f t="shared" ref="F5:F18" si="2">E5+F4</f>
        <v>137</v>
      </c>
      <c r="G5" s="40">
        <v>1</v>
      </c>
      <c r="H5" s="1">
        <v>0</v>
      </c>
      <c r="I5" s="40">
        <f t="shared" si="1"/>
        <v>1482</v>
      </c>
      <c r="J5" s="13">
        <f>E5*K4/I5</f>
        <v>42.970985155195685</v>
      </c>
      <c r="K5" s="13">
        <f>K4-J5</f>
        <v>1438.0290148448044</v>
      </c>
    </row>
    <row r="6" spans="1:11">
      <c r="A6" s="1">
        <v>2</v>
      </c>
      <c r="B6" s="55">
        <v>80</v>
      </c>
      <c r="C6" s="56">
        <f t="shared" ref="C6:C18" si="3">C5+B6</f>
        <v>200</v>
      </c>
      <c r="D6" s="66">
        <f t="shared" si="0"/>
        <v>3.3333333333333335</v>
      </c>
      <c r="E6" s="1">
        <v>47</v>
      </c>
      <c r="F6" s="40">
        <f t="shared" si="2"/>
        <v>184</v>
      </c>
      <c r="G6" s="40">
        <v>3</v>
      </c>
      <c r="H6" s="23">
        <v>0</v>
      </c>
      <c r="I6" s="40">
        <f t="shared" si="1"/>
        <v>1441</v>
      </c>
      <c r="J6" s="13">
        <f t="shared" ref="J6:J19" si="4">E6*K5/I6</f>
        <v>46.903097638935328</v>
      </c>
      <c r="K6" s="13">
        <f>K5-J6</f>
        <v>1391.125917205869</v>
      </c>
    </row>
    <row r="7" spans="1:11">
      <c r="A7" s="1">
        <v>3</v>
      </c>
      <c r="B7" s="55">
        <v>80</v>
      </c>
      <c r="C7" s="56">
        <f>C6+B7</f>
        <v>280</v>
      </c>
      <c r="D7" s="66">
        <f t="shared" si="0"/>
        <v>4.666666666666667</v>
      </c>
      <c r="E7" s="1">
        <v>46</v>
      </c>
      <c r="F7" s="40">
        <f t="shared" si="2"/>
        <v>230</v>
      </c>
      <c r="G7" s="40">
        <v>5</v>
      </c>
      <c r="H7" s="23">
        <v>0</v>
      </c>
      <c r="I7" s="40">
        <f t="shared" si="1"/>
        <v>1396</v>
      </c>
      <c r="J7" s="13">
        <f t="shared" si="4"/>
        <v>45.839392687299402</v>
      </c>
      <c r="K7" s="13">
        <f t="shared" ref="K7:K19" si="5">K6-J7</f>
        <v>1345.2865245185696</v>
      </c>
    </row>
    <row r="8" spans="1:11">
      <c r="A8" s="1">
        <v>4</v>
      </c>
      <c r="B8" s="55">
        <v>80</v>
      </c>
      <c r="C8" s="56">
        <f t="shared" si="3"/>
        <v>360</v>
      </c>
      <c r="D8" s="66">
        <f t="shared" si="0"/>
        <v>6</v>
      </c>
      <c r="E8" s="1">
        <v>47</v>
      </c>
      <c r="F8" s="40">
        <f t="shared" si="2"/>
        <v>277</v>
      </c>
      <c r="G8" s="40">
        <v>9</v>
      </c>
      <c r="H8" s="23">
        <v>0</v>
      </c>
      <c r="I8" s="40">
        <f t="shared" si="1"/>
        <v>1354</v>
      </c>
      <c r="J8" s="13">
        <f t="shared" si="4"/>
        <v>46.697538147985796</v>
      </c>
      <c r="K8" s="13">
        <f t="shared" si="5"/>
        <v>1298.5889863705838</v>
      </c>
    </row>
    <row r="9" spans="1:11">
      <c r="A9" s="1">
        <v>5</v>
      </c>
      <c r="B9" s="55">
        <v>80</v>
      </c>
      <c r="C9" s="56">
        <f t="shared" si="3"/>
        <v>440</v>
      </c>
      <c r="D9" s="66">
        <f t="shared" si="0"/>
        <v>7.333333333333333</v>
      </c>
      <c r="E9" s="1">
        <v>50</v>
      </c>
      <c r="F9" s="40">
        <f>E9+F8</f>
        <v>327</v>
      </c>
      <c r="G9" s="40">
        <v>14</v>
      </c>
      <c r="H9" s="23">
        <v>0</v>
      </c>
      <c r="I9" s="40">
        <f t="shared" si="1"/>
        <v>1312</v>
      </c>
      <c r="J9" s="13">
        <f t="shared" si="4"/>
        <v>49.488909541561888</v>
      </c>
      <c r="K9" s="13">
        <f>K8-J9</f>
        <v>1249.1000768290219</v>
      </c>
    </row>
    <row r="10" spans="1:11">
      <c r="A10" s="1">
        <v>6</v>
      </c>
      <c r="B10" s="55">
        <v>180</v>
      </c>
      <c r="C10" s="56">
        <f t="shared" si="3"/>
        <v>620</v>
      </c>
      <c r="D10" s="66">
        <f t="shared" si="0"/>
        <v>10.333333333333334</v>
      </c>
      <c r="E10" s="1">
        <v>43</v>
      </c>
      <c r="F10" s="40">
        <f t="shared" si="2"/>
        <v>370</v>
      </c>
      <c r="G10" s="40">
        <v>29</v>
      </c>
      <c r="H10" s="23">
        <v>0</v>
      </c>
      <c r="I10" s="40">
        <f t="shared" si="1"/>
        <v>1277</v>
      </c>
      <c r="J10" s="13">
        <f t="shared" si="4"/>
        <v>42.060535085080609</v>
      </c>
      <c r="K10" s="13">
        <f>K9-J10</f>
        <v>1207.0395417439413</v>
      </c>
    </row>
    <row r="11" spans="1:11">
      <c r="A11" s="1">
        <v>7</v>
      </c>
      <c r="B11" s="55">
        <v>80</v>
      </c>
      <c r="C11" s="56">
        <f t="shared" si="3"/>
        <v>700</v>
      </c>
      <c r="D11" s="66">
        <f t="shared" si="0"/>
        <v>11.666666666666666</v>
      </c>
      <c r="E11" s="1">
        <v>46</v>
      </c>
      <c r="F11" s="40">
        <f t="shared" si="2"/>
        <v>416</v>
      </c>
      <c r="G11" s="40">
        <v>37</v>
      </c>
      <c r="H11" s="23">
        <v>0</v>
      </c>
      <c r="I11" s="40">
        <f t="shared" si="1"/>
        <v>1242</v>
      </c>
      <c r="J11" s="13">
        <f>E11*K10/I11</f>
        <v>44.705168212738563</v>
      </c>
      <c r="K11" s="13">
        <f t="shared" si="5"/>
        <v>1162.3343735312028</v>
      </c>
    </row>
    <row r="12" spans="1:11">
      <c r="A12" s="1">
        <v>8</v>
      </c>
      <c r="B12" s="55">
        <v>80</v>
      </c>
      <c r="C12" s="56">
        <f t="shared" si="3"/>
        <v>780</v>
      </c>
      <c r="D12" s="66">
        <f t="shared" si="0"/>
        <v>13</v>
      </c>
      <c r="E12" s="1">
        <v>48</v>
      </c>
      <c r="F12" s="40">
        <f t="shared" si="2"/>
        <v>464</v>
      </c>
      <c r="G12" s="40">
        <v>44</v>
      </c>
      <c r="H12" s="23">
        <v>0</v>
      </c>
      <c r="I12" s="40">
        <f t="shared" si="1"/>
        <v>1203</v>
      </c>
      <c r="J12" s="13">
        <f>E12*K11/I12</f>
        <v>46.377431362841008</v>
      </c>
      <c r="K12" s="13">
        <f t="shared" si="5"/>
        <v>1115.9569421683618</v>
      </c>
    </row>
    <row r="13" spans="1:11">
      <c r="A13" s="1">
        <v>9</v>
      </c>
      <c r="B13" s="55">
        <v>80</v>
      </c>
      <c r="C13" s="56">
        <f t="shared" si="3"/>
        <v>860</v>
      </c>
      <c r="D13" s="66">
        <f t="shared" si="0"/>
        <v>14.333333333333334</v>
      </c>
      <c r="E13" s="3">
        <v>53</v>
      </c>
      <c r="F13" s="40">
        <f t="shared" si="2"/>
        <v>517</v>
      </c>
      <c r="G13" s="40">
        <v>50</v>
      </c>
      <c r="H13" s="23">
        <v>0</v>
      </c>
      <c r="I13" s="40">
        <f t="shared" si="1"/>
        <v>1161</v>
      </c>
      <c r="J13" s="13">
        <f>E13*K12/I13</f>
        <v>50.943770831113845</v>
      </c>
      <c r="K13" s="13">
        <f t="shared" si="5"/>
        <v>1065.013171337248</v>
      </c>
    </row>
    <row r="14" spans="1:11">
      <c r="A14" s="37">
        <v>10</v>
      </c>
      <c r="B14" s="55">
        <v>80</v>
      </c>
      <c r="C14" s="56">
        <f t="shared" si="3"/>
        <v>940</v>
      </c>
      <c r="D14" s="66">
        <f t="shared" si="0"/>
        <v>15.666666666666666</v>
      </c>
      <c r="E14" s="37">
        <v>49</v>
      </c>
      <c r="F14" s="40">
        <f t="shared" si="2"/>
        <v>566</v>
      </c>
      <c r="G14" s="40">
        <v>50</v>
      </c>
      <c r="H14" s="37">
        <v>10</v>
      </c>
      <c r="I14" s="40">
        <f t="shared" si="1"/>
        <v>1118</v>
      </c>
      <c r="J14" s="13">
        <f t="shared" si="4"/>
        <v>46.677679244655771</v>
      </c>
      <c r="K14" s="13">
        <f t="shared" si="5"/>
        <v>1018.3354920925922</v>
      </c>
    </row>
    <row r="15" spans="1:11">
      <c r="A15" s="37">
        <v>11</v>
      </c>
      <c r="B15" s="55">
        <v>80</v>
      </c>
      <c r="C15" s="56">
        <f t="shared" si="3"/>
        <v>1020</v>
      </c>
      <c r="D15" s="66">
        <f t="shared" si="0"/>
        <v>17</v>
      </c>
      <c r="E15" s="37">
        <v>53</v>
      </c>
      <c r="F15" s="40">
        <f t="shared" si="2"/>
        <v>619</v>
      </c>
      <c r="G15" s="40">
        <v>50</v>
      </c>
      <c r="H15" s="40">
        <v>12</v>
      </c>
      <c r="I15" s="40">
        <f t="shared" si="1"/>
        <v>1071</v>
      </c>
      <c r="J15" s="13">
        <f t="shared" si="4"/>
        <v>50.393819870128276</v>
      </c>
      <c r="K15" s="13">
        <f t="shared" si="5"/>
        <v>967.94167222246392</v>
      </c>
    </row>
    <row r="16" spans="1:11">
      <c r="A16" s="37">
        <v>12</v>
      </c>
      <c r="B16" s="55">
        <v>80</v>
      </c>
      <c r="C16" s="56">
        <f t="shared" si="3"/>
        <v>1100</v>
      </c>
      <c r="D16" s="66">
        <f t="shared" si="0"/>
        <v>18.333333333333332</v>
      </c>
      <c r="E16" s="37">
        <v>51</v>
      </c>
      <c r="F16" s="40">
        <f t="shared" si="2"/>
        <v>670</v>
      </c>
      <c r="G16" s="40">
        <v>50</v>
      </c>
      <c r="H16" s="40">
        <v>13</v>
      </c>
      <c r="I16" s="40">
        <f t="shared" si="1"/>
        <v>1019</v>
      </c>
      <c r="J16" s="13">
        <f t="shared" si="4"/>
        <v>48.444578295726849</v>
      </c>
      <c r="K16" s="13">
        <f t="shared" si="5"/>
        <v>919.49709392673708</v>
      </c>
    </row>
    <row r="17" spans="1:11">
      <c r="A17" s="37">
        <v>13</v>
      </c>
      <c r="B17" s="55">
        <v>340</v>
      </c>
      <c r="C17" s="56">
        <f t="shared" si="3"/>
        <v>1440</v>
      </c>
      <c r="D17" s="66">
        <f t="shared" si="0"/>
        <v>24</v>
      </c>
      <c r="E17" s="37">
        <v>57</v>
      </c>
      <c r="F17" s="40">
        <f t="shared" si="2"/>
        <v>727</v>
      </c>
      <c r="G17" s="40">
        <v>50</v>
      </c>
      <c r="H17" s="40">
        <v>14</v>
      </c>
      <c r="I17" s="40">
        <f t="shared" si="1"/>
        <v>969</v>
      </c>
      <c r="J17" s="13">
        <f t="shared" si="4"/>
        <v>54.088064348631598</v>
      </c>
      <c r="K17" s="13">
        <f t="shared" si="5"/>
        <v>865.40902957810545</v>
      </c>
    </row>
    <row r="18" spans="1:11">
      <c r="A18" s="37">
        <v>14</v>
      </c>
      <c r="B18" s="55">
        <v>360</v>
      </c>
      <c r="C18" s="56">
        <f t="shared" si="3"/>
        <v>1800</v>
      </c>
      <c r="D18" s="66">
        <f t="shared" si="0"/>
        <v>30</v>
      </c>
      <c r="E18" s="2">
        <v>56</v>
      </c>
      <c r="F18" s="40">
        <f t="shared" si="2"/>
        <v>783</v>
      </c>
      <c r="G18" s="40">
        <v>50</v>
      </c>
      <c r="H18" s="37">
        <v>15</v>
      </c>
      <c r="I18" s="40">
        <f t="shared" si="1"/>
        <v>913</v>
      </c>
      <c r="J18" s="13">
        <f t="shared" si="4"/>
        <v>53.08094814498785</v>
      </c>
      <c r="K18" s="13">
        <f>K17-J18</f>
        <v>812.32808143311763</v>
      </c>
    </row>
    <row r="19" spans="1:11">
      <c r="A19" s="37">
        <v>15</v>
      </c>
      <c r="B19" s="55">
        <v>1080</v>
      </c>
      <c r="C19" s="56">
        <f>C18+B19</f>
        <v>2880</v>
      </c>
      <c r="D19" s="66">
        <f t="shared" si="0"/>
        <v>48</v>
      </c>
      <c r="E19" s="37">
        <v>51</v>
      </c>
      <c r="F19" s="40">
        <f>E19+F18</f>
        <v>834</v>
      </c>
      <c r="G19" s="40">
        <v>50</v>
      </c>
      <c r="H19" s="37">
        <v>15</v>
      </c>
      <c r="I19" s="40">
        <f t="shared" si="1"/>
        <v>857</v>
      </c>
      <c r="J19" s="13">
        <f t="shared" si="4"/>
        <v>48.341577774899648</v>
      </c>
      <c r="K19" s="13">
        <f t="shared" si="5"/>
        <v>763.986503658218</v>
      </c>
    </row>
    <row r="21" spans="1:11">
      <c r="A21" s="118" t="s">
        <v>15</v>
      </c>
      <c r="B21" s="119"/>
      <c r="C21" s="119"/>
      <c r="D21" s="119"/>
      <c r="E21" s="120"/>
      <c r="F21" s="1">
        <v>1500</v>
      </c>
    </row>
    <row r="22" spans="1:11">
      <c r="A22" s="122" t="s">
        <v>152</v>
      </c>
      <c r="B22" s="123"/>
      <c r="C22" s="123"/>
      <c r="D22" s="123"/>
      <c r="E22" s="124"/>
      <c r="F22" s="54">
        <v>1575</v>
      </c>
    </row>
  </sheetData>
  <mergeCells count="8">
    <mergeCell ref="A22:E22"/>
    <mergeCell ref="A1:A2"/>
    <mergeCell ref="D1:D2"/>
    <mergeCell ref="G1:G2"/>
    <mergeCell ref="H1:H2"/>
    <mergeCell ref="A21:E21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D16" sqref="D16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125" t="s">
        <v>4</v>
      </c>
      <c r="B1" s="125" t="s">
        <v>104</v>
      </c>
      <c r="C1" s="125" t="s">
        <v>104</v>
      </c>
      <c r="D1" s="125" t="s">
        <v>5</v>
      </c>
      <c r="E1" s="130" t="s">
        <v>18</v>
      </c>
      <c r="F1" s="130"/>
      <c r="G1" s="130"/>
      <c r="H1" s="130"/>
      <c r="I1" s="130" t="s">
        <v>20</v>
      </c>
      <c r="J1" s="130"/>
      <c r="K1" s="130"/>
      <c r="L1" s="130"/>
      <c r="M1" s="130" t="s">
        <v>21</v>
      </c>
      <c r="N1" s="130"/>
      <c r="O1" s="130"/>
      <c r="P1" s="130"/>
      <c r="Q1" s="38" t="s">
        <v>22</v>
      </c>
      <c r="R1" s="38" t="s">
        <v>22</v>
      </c>
      <c r="S1" s="38" t="s">
        <v>22</v>
      </c>
    </row>
    <row r="2" spans="1:19">
      <c r="A2" s="126"/>
      <c r="B2" s="126"/>
      <c r="C2" s="126"/>
      <c r="D2" s="126"/>
      <c r="E2" s="41" t="s">
        <v>19</v>
      </c>
      <c r="F2" s="41" t="s">
        <v>67</v>
      </c>
      <c r="G2" s="41" t="s">
        <v>105</v>
      </c>
      <c r="H2" s="41" t="s">
        <v>69</v>
      </c>
      <c r="I2" s="41" t="s">
        <v>19</v>
      </c>
      <c r="J2" s="41" t="s">
        <v>67</v>
      </c>
      <c r="K2" s="41" t="s">
        <v>68</v>
      </c>
      <c r="L2" s="41" t="s">
        <v>69</v>
      </c>
      <c r="M2" s="41" t="s">
        <v>19</v>
      </c>
      <c r="N2" s="41" t="s">
        <v>67</v>
      </c>
      <c r="O2" s="41" t="s">
        <v>68</v>
      </c>
      <c r="P2" s="41" t="s">
        <v>70</v>
      </c>
      <c r="Q2" s="39" t="s">
        <v>69</v>
      </c>
      <c r="R2" s="39" t="s">
        <v>23</v>
      </c>
      <c r="S2" s="39" t="s">
        <v>71</v>
      </c>
    </row>
    <row r="3" spans="1:19" s="6" customFormat="1">
      <c r="A3" s="40" t="s">
        <v>6</v>
      </c>
      <c r="B3" s="53">
        <v>-10</v>
      </c>
      <c r="C3" s="54">
        <v>-10</v>
      </c>
      <c r="D3" s="66">
        <f>C3/60</f>
        <v>-0.16666666666666666</v>
      </c>
      <c r="Q3" s="127"/>
      <c r="R3" s="128"/>
      <c r="S3" s="129"/>
    </row>
    <row r="4" spans="1:19">
      <c r="A4" s="40">
        <v>0</v>
      </c>
      <c r="B4" s="55">
        <v>10</v>
      </c>
      <c r="C4" s="56">
        <v>10</v>
      </c>
      <c r="D4" s="66">
        <f t="shared" ref="D4:D19" si="0">C4/60</f>
        <v>0.16666666666666666</v>
      </c>
      <c r="Q4" s="46" t="e">
        <f>AVERAGE('Flow cytometer'!P4,'Flow cytometer'!L4,'Flow cytometer'!H4)*Calculation!K4/Calculation!M3</f>
        <v>#DIV/0!</v>
      </c>
      <c r="R4" s="46" t="e">
        <f>STDEV('Flow cytometer'!P4,'Flow cytometer'!L4,'Flow cytometer'!H4)*Calculation!K4/Calculation!M3</f>
        <v>#DIV/0!</v>
      </c>
      <c r="S4" s="47" t="e">
        <f t="shared" ref="S4:S19" si="1">LOG(Q4)</f>
        <v>#DIV/0!</v>
      </c>
    </row>
    <row r="5" spans="1:19">
      <c r="A5" s="40">
        <v>1</v>
      </c>
      <c r="B5" s="55">
        <v>110</v>
      </c>
      <c r="C5" s="56">
        <f>C4+B5</f>
        <v>120</v>
      </c>
      <c r="D5" s="66">
        <f t="shared" si="0"/>
        <v>2</v>
      </c>
      <c r="Q5" s="46" t="e">
        <f>AVERAGE('Flow cytometer'!P5,'Flow cytometer'!L5,'Flow cytometer'!H5)*Calculation!K5/Calculation!M4</f>
        <v>#DIV/0!</v>
      </c>
      <c r="R5" s="46" t="e">
        <f>STDEV('Flow cytometer'!P5,'Flow cytometer'!L5,'Flow cytometer'!H5)*Calculation!K5/Calculation!M4</f>
        <v>#DIV/0!</v>
      </c>
      <c r="S5" s="47" t="e">
        <f t="shared" si="1"/>
        <v>#DIV/0!</v>
      </c>
    </row>
    <row r="6" spans="1:19">
      <c r="A6" s="40">
        <v>2</v>
      </c>
      <c r="B6" s="55">
        <v>80</v>
      </c>
      <c r="C6" s="56">
        <f t="shared" ref="C6:C18" si="2">C5+B6</f>
        <v>200</v>
      </c>
      <c r="D6" s="66">
        <f t="shared" si="0"/>
        <v>3.3333333333333335</v>
      </c>
      <c r="Q6" s="46" t="e">
        <f>AVERAGE('Flow cytometer'!P6,'Flow cytometer'!L6,'Flow cytometer'!H6)*Calculation!K6/Calculation!M5</f>
        <v>#DIV/0!</v>
      </c>
      <c r="R6" s="46" t="e">
        <f>STDEV('Flow cytometer'!P6,'Flow cytometer'!L6,'Flow cytometer'!H6)*Calculation!K6/Calculation!M5</f>
        <v>#DIV/0!</v>
      </c>
      <c r="S6" s="47" t="e">
        <f t="shared" si="1"/>
        <v>#DIV/0!</v>
      </c>
    </row>
    <row r="7" spans="1:19">
      <c r="A7" s="40">
        <v>3</v>
      </c>
      <c r="B7" s="55">
        <v>80</v>
      </c>
      <c r="C7" s="56">
        <f>C6+B7</f>
        <v>280</v>
      </c>
      <c r="D7" s="66">
        <f t="shared" si="0"/>
        <v>4.666666666666667</v>
      </c>
      <c r="Q7" s="46" t="e">
        <f>AVERAGE('Flow cytometer'!P7,'Flow cytometer'!L7,'Flow cytometer'!H7)*Calculation!K7/Calculation!M6</f>
        <v>#DIV/0!</v>
      </c>
      <c r="R7" s="46" t="e">
        <f>STDEV('Flow cytometer'!P7,'Flow cytometer'!L7,'Flow cytometer'!H7)*Calculation!K7/Calculation!M6</f>
        <v>#DIV/0!</v>
      </c>
      <c r="S7" s="47" t="e">
        <f t="shared" si="1"/>
        <v>#DIV/0!</v>
      </c>
    </row>
    <row r="8" spans="1:19">
      <c r="A8" s="40">
        <v>4</v>
      </c>
      <c r="B8" s="55">
        <v>80</v>
      </c>
      <c r="C8" s="56">
        <f t="shared" si="2"/>
        <v>360</v>
      </c>
      <c r="D8" s="66">
        <f t="shared" si="0"/>
        <v>6</v>
      </c>
      <c r="Q8" s="46" t="e">
        <f>AVERAGE('Flow cytometer'!P8,'Flow cytometer'!L8,'Flow cytometer'!H8)*Calculation!K8/Calculation!M7</f>
        <v>#DIV/0!</v>
      </c>
      <c r="R8" s="46" t="e">
        <f>STDEV('Flow cytometer'!P8,'Flow cytometer'!L8,'Flow cytometer'!H8)*Calculation!K8/Calculation!M7</f>
        <v>#DIV/0!</v>
      </c>
      <c r="S8" s="47" t="e">
        <f t="shared" si="1"/>
        <v>#DIV/0!</v>
      </c>
    </row>
    <row r="9" spans="1:19">
      <c r="A9" s="40">
        <v>5</v>
      </c>
      <c r="B9" s="55">
        <v>80</v>
      </c>
      <c r="C9" s="56">
        <f t="shared" si="2"/>
        <v>440</v>
      </c>
      <c r="D9" s="66">
        <f t="shared" si="0"/>
        <v>7.333333333333333</v>
      </c>
      <c r="Q9" s="46" t="e">
        <f>AVERAGE('Flow cytometer'!P9,'Flow cytometer'!L9,'Flow cytometer'!H9)*Calculation!K9/Calculation!M8</f>
        <v>#DIV/0!</v>
      </c>
      <c r="R9" s="46" t="e">
        <f>STDEV('Flow cytometer'!P9,'Flow cytometer'!L9,'Flow cytometer'!H9)*Calculation!K9/Calculation!M8</f>
        <v>#DIV/0!</v>
      </c>
      <c r="S9" s="47" t="e">
        <f t="shared" si="1"/>
        <v>#DIV/0!</v>
      </c>
    </row>
    <row r="10" spans="1:19">
      <c r="A10" s="40">
        <v>6</v>
      </c>
      <c r="B10" s="55">
        <v>180</v>
      </c>
      <c r="C10" s="56">
        <f t="shared" si="2"/>
        <v>620</v>
      </c>
      <c r="D10" s="66">
        <f t="shared" si="0"/>
        <v>10.333333333333334</v>
      </c>
      <c r="Q10" s="46" t="e">
        <f>AVERAGE('Flow cytometer'!P10,'Flow cytometer'!L10,'Flow cytometer'!H10)*Calculation!K10/Calculation!M9</f>
        <v>#DIV/0!</v>
      </c>
      <c r="R10" s="46" t="e">
        <f>STDEV('Flow cytometer'!P10,'Flow cytometer'!L10,'Flow cytometer'!H10)*Calculation!K10/Calculation!M9</f>
        <v>#DIV/0!</v>
      </c>
      <c r="S10" s="47" t="e">
        <f t="shared" si="1"/>
        <v>#DIV/0!</v>
      </c>
    </row>
    <row r="11" spans="1:19">
      <c r="A11" s="40">
        <v>7</v>
      </c>
      <c r="B11" s="55">
        <v>80</v>
      </c>
      <c r="C11" s="56">
        <f t="shared" si="2"/>
        <v>700</v>
      </c>
      <c r="D11" s="66">
        <f t="shared" si="0"/>
        <v>11.666666666666666</v>
      </c>
      <c r="Q11" s="46" t="e">
        <f>AVERAGE('Flow cytometer'!P11,'Flow cytometer'!L11,'Flow cytometer'!H11)*Calculation!K11/Calculation!M10</f>
        <v>#DIV/0!</v>
      </c>
      <c r="R11" s="46" t="e">
        <f>STDEV('Flow cytometer'!P11,'Flow cytometer'!L11,'Flow cytometer'!H11)*Calculation!K11/Calculation!M10</f>
        <v>#DIV/0!</v>
      </c>
      <c r="S11" s="47" t="e">
        <f t="shared" si="1"/>
        <v>#DIV/0!</v>
      </c>
    </row>
    <row r="12" spans="1:19">
      <c r="A12" s="40">
        <v>8</v>
      </c>
      <c r="B12" s="55">
        <v>80</v>
      </c>
      <c r="C12" s="56">
        <f t="shared" si="2"/>
        <v>780</v>
      </c>
      <c r="D12" s="66">
        <f t="shared" si="0"/>
        <v>13</v>
      </c>
      <c r="Q12" s="46" t="e">
        <f>AVERAGE('Flow cytometer'!P12,'Flow cytometer'!L12,'Flow cytometer'!H12)*Calculation!K12/Calculation!M11</f>
        <v>#DIV/0!</v>
      </c>
      <c r="R12" s="46" t="e">
        <f>STDEV('Flow cytometer'!P12,'Flow cytometer'!L12,'Flow cytometer'!H12)*Calculation!K12/Calculation!M11</f>
        <v>#DIV/0!</v>
      </c>
      <c r="S12" s="47" t="e">
        <f t="shared" si="1"/>
        <v>#DIV/0!</v>
      </c>
    </row>
    <row r="13" spans="1:19">
      <c r="A13" s="40">
        <v>9</v>
      </c>
      <c r="B13" s="55">
        <v>80</v>
      </c>
      <c r="C13" s="56">
        <f t="shared" si="2"/>
        <v>860</v>
      </c>
      <c r="D13" s="66">
        <f t="shared" si="0"/>
        <v>14.333333333333334</v>
      </c>
      <c r="Q13" s="46" t="e">
        <f>AVERAGE('Flow cytometer'!P13,'Flow cytometer'!L13,'Flow cytometer'!H13)*Calculation!K13/Calculation!M12</f>
        <v>#DIV/0!</v>
      </c>
      <c r="R13" s="46" t="e">
        <f>STDEV('Flow cytometer'!P13,'Flow cytometer'!L13,'Flow cytometer'!H13)*Calculation!K13/Calculation!M12</f>
        <v>#DIV/0!</v>
      </c>
      <c r="S13" s="47" t="e">
        <f t="shared" si="1"/>
        <v>#DIV/0!</v>
      </c>
    </row>
    <row r="14" spans="1:19">
      <c r="A14" s="40">
        <v>10</v>
      </c>
      <c r="B14" s="55">
        <v>80</v>
      </c>
      <c r="C14" s="56">
        <f t="shared" si="2"/>
        <v>940</v>
      </c>
      <c r="D14" s="66">
        <f t="shared" si="0"/>
        <v>15.666666666666666</v>
      </c>
      <c r="Q14" s="46" t="e">
        <f>AVERAGE('Flow cytometer'!P14,'Flow cytometer'!L14,'Flow cytometer'!H14)*Calculation!K14/Calculation!M13</f>
        <v>#DIV/0!</v>
      </c>
      <c r="R14" s="46" t="e">
        <f>STDEV('Flow cytometer'!P14,'Flow cytometer'!L14,'Flow cytometer'!H14)*Calculation!K14/Calculation!M13</f>
        <v>#DIV/0!</v>
      </c>
      <c r="S14" s="47" t="e">
        <f t="shared" si="1"/>
        <v>#DIV/0!</v>
      </c>
    </row>
    <row r="15" spans="1:19">
      <c r="A15" s="40">
        <v>11</v>
      </c>
      <c r="B15" s="55">
        <v>80</v>
      </c>
      <c r="C15" s="56">
        <f t="shared" si="2"/>
        <v>1020</v>
      </c>
      <c r="D15" s="66">
        <f t="shared" si="0"/>
        <v>17</v>
      </c>
      <c r="Q15" s="46" t="e">
        <f>AVERAGE('Flow cytometer'!P15,'Flow cytometer'!L15,'Flow cytometer'!H15)*Calculation!K15/Calculation!M14</f>
        <v>#DIV/0!</v>
      </c>
      <c r="R15" s="46" t="e">
        <f>STDEV('Flow cytometer'!P15,'Flow cytometer'!L15,'Flow cytometer'!H15)*Calculation!K15/Calculation!M14</f>
        <v>#DIV/0!</v>
      </c>
      <c r="S15" s="47" t="e">
        <f t="shared" si="1"/>
        <v>#DIV/0!</v>
      </c>
    </row>
    <row r="16" spans="1:19">
      <c r="A16" s="40">
        <v>12</v>
      </c>
      <c r="B16" s="55">
        <v>80</v>
      </c>
      <c r="C16" s="56">
        <f t="shared" si="2"/>
        <v>1100</v>
      </c>
      <c r="D16" s="66">
        <f t="shared" si="0"/>
        <v>18.333333333333332</v>
      </c>
      <c r="Q16" s="46" t="e">
        <f>AVERAGE('Flow cytometer'!P16,'Flow cytometer'!L16,'Flow cytometer'!H16)*Calculation!K16/Calculation!M15</f>
        <v>#DIV/0!</v>
      </c>
      <c r="R16" s="46" t="e">
        <f>STDEV('Flow cytometer'!P16,'Flow cytometer'!L16,'Flow cytometer'!H16)*Calculation!K16/Calculation!M15</f>
        <v>#DIV/0!</v>
      </c>
      <c r="S16" s="47" t="e">
        <f t="shared" si="1"/>
        <v>#DIV/0!</v>
      </c>
    </row>
    <row r="17" spans="1:19">
      <c r="A17" s="40">
        <v>13</v>
      </c>
      <c r="B17" s="55">
        <v>340</v>
      </c>
      <c r="C17" s="56">
        <f t="shared" si="2"/>
        <v>1440</v>
      </c>
      <c r="D17" s="66">
        <f t="shared" si="0"/>
        <v>24</v>
      </c>
      <c r="Q17" s="46" t="e">
        <f>AVERAGE('Flow cytometer'!P17,'Flow cytometer'!L17,'Flow cytometer'!H17)*Calculation!K17/Calculation!M16</f>
        <v>#DIV/0!</v>
      </c>
      <c r="R17" s="46" t="e">
        <f>STDEV('Flow cytometer'!P17,'Flow cytometer'!L17,'Flow cytometer'!H17)*Calculation!K17/Calculation!M16</f>
        <v>#DIV/0!</v>
      </c>
      <c r="S17" s="47" t="e">
        <f t="shared" si="1"/>
        <v>#DIV/0!</v>
      </c>
    </row>
    <row r="18" spans="1:19">
      <c r="A18" s="40">
        <v>14</v>
      </c>
      <c r="B18" s="55">
        <v>360</v>
      </c>
      <c r="C18" s="56">
        <f t="shared" si="2"/>
        <v>1800</v>
      </c>
      <c r="D18" s="66">
        <f t="shared" si="0"/>
        <v>30</v>
      </c>
      <c r="Q18" s="46" t="e">
        <f>AVERAGE('Flow cytometer'!P18,'Flow cytometer'!L18,'Flow cytometer'!H18)*Calculation!K18/Calculation!M17</f>
        <v>#DIV/0!</v>
      </c>
      <c r="R18" s="46" t="e">
        <f>STDEV('Flow cytometer'!P18,'Flow cytometer'!L18,'Flow cytometer'!H18)*Calculation!K18/Calculation!M17</f>
        <v>#DIV/0!</v>
      </c>
      <c r="S18" s="47" t="e">
        <f t="shared" si="1"/>
        <v>#DIV/0!</v>
      </c>
    </row>
    <row r="19" spans="1:19">
      <c r="A19" s="40">
        <v>15</v>
      </c>
      <c r="B19" s="55">
        <v>1080</v>
      </c>
      <c r="C19" s="56">
        <f>C18+B19</f>
        <v>2880</v>
      </c>
      <c r="D19" s="66">
        <f t="shared" si="0"/>
        <v>48</v>
      </c>
      <c r="Q19" s="46" t="e">
        <f>AVERAGE('Flow cytometer'!P19,'Flow cytometer'!L19,'Flow cytometer'!H19)*Calculation!K19/Calculation!M18</f>
        <v>#DIV/0!</v>
      </c>
      <c r="R19" s="46" t="e">
        <f>STDEV('Flow cytometer'!P19,'Flow cytometer'!L19,'Flow cytometer'!H19)*Calculation!K19/Calculation!M18</f>
        <v>#DIV/0!</v>
      </c>
      <c r="S19" s="47" t="e">
        <f t="shared" si="1"/>
        <v>#DIV/0!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78"/>
  <sheetViews>
    <sheetView topLeftCell="D1" workbookViewId="0">
      <selection activeCell="D16" sqref="D16:S16"/>
    </sheetView>
  </sheetViews>
  <sheetFormatPr baseColWidth="10" defaultColWidth="8.83203125" defaultRowHeight="14" x14ac:dyDescent="0"/>
  <cols>
    <col min="19" max="20" width="14.83203125" bestFit="1" customWidth="1"/>
  </cols>
  <sheetData>
    <row r="1" spans="1:24">
      <c r="A1" s="125" t="s">
        <v>4</v>
      </c>
      <c r="B1" s="125" t="s">
        <v>104</v>
      </c>
      <c r="C1" s="125" t="s">
        <v>104</v>
      </c>
      <c r="D1" s="125" t="s">
        <v>5</v>
      </c>
      <c r="E1" s="121" t="s">
        <v>106</v>
      </c>
      <c r="F1" s="121"/>
      <c r="G1" s="121"/>
      <c r="H1" s="121"/>
      <c r="I1" s="121" t="s">
        <v>107</v>
      </c>
      <c r="J1" s="121"/>
      <c r="K1" s="121"/>
      <c r="L1" s="121"/>
      <c r="M1" s="121" t="s">
        <v>108</v>
      </c>
      <c r="N1" s="121"/>
      <c r="O1" s="121"/>
      <c r="P1" s="121"/>
      <c r="Q1" s="25" t="s">
        <v>109</v>
      </c>
      <c r="R1" s="25" t="s">
        <v>109</v>
      </c>
      <c r="S1" s="25" t="s">
        <v>109</v>
      </c>
      <c r="T1" s="60" t="s">
        <v>109</v>
      </c>
      <c r="U1" s="78" t="s">
        <v>106</v>
      </c>
      <c r="V1" s="78" t="s">
        <v>107</v>
      </c>
      <c r="W1" s="78" t="s">
        <v>108</v>
      </c>
      <c r="X1" s="78" t="s">
        <v>109</v>
      </c>
    </row>
    <row r="2" spans="1:24">
      <c r="A2" s="126"/>
      <c r="B2" s="126"/>
      <c r="C2" s="126"/>
      <c r="D2" s="126"/>
      <c r="E2" s="24" t="s">
        <v>19</v>
      </c>
      <c r="F2" s="24" t="s">
        <v>67</v>
      </c>
      <c r="G2" s="24" t="s">
        <v>68</v>
      </c>
      <c r="H2" s="24" t="s">
        <v>69</v>
      </c>
      <c r="I2" s="24" t="s">
        <v>19</v>
      </c>
      <c r="J2" s="24" t="s">
        <v>67</v>
      </c>
      <c r="K2" s="24" t="s">
        <v>68</v>
      </c>
      <c r="L2" s="24" t="s">
        <v>69</v>
      </c>
      <c r="M2" s="24" t="s">
        <v>19</v>
      </c>
      <c r="N2" s="24" t="s">
        <v>67</v>
      </c>
      <c r="O2" s="24" t="s">
        <v>68</v>
      </c>
      <c r="P2" s="24" t="s">
        <v>70</v>
      </c>
      <c r="Q2" s="26" t="s">
        <v>69</v>
      </c>
      <c r="R2" s="26" t="s">
        <v>23</v>
      </c>
      <c r="S2" s="26" t="s">
        <v>71</v>
      </c>
      <c r="T2" s="61" t="s">
        <v>131</v>
      </c>
      <c r="U2" s="79" t="s">
        <v>157</v>
      </c>
      <c r="V2" s="79" t="s">
        <v>157</v>
      </c>
      <c r="W2" s="79" t="s">
        <v>157</v>
      </c>
      <c r="X2" s="79" t="s">
        <v>158</v>
      </c>
    </row>
    <row r="3" spans="1:24">
      <c r="A3" s="40" t="s">
        <v>6</v>
      </c>
      <c r="B3" s="53">
        <v>-10</v>
      </c>
      <c r="C3" s="54">
        <v>-10</v>
      </c>
      <c r="D3" s="66">
        <f>C3/60</f>
        <v>-0.16666666666666666</v>
      </c>
      <c r="E3" s="44" t="s">
        <v>91</v>
      </c>
      <c r="F3" s="44" t="s">
        <v>91</v>
      </c>
      <c r="G3" s="44" t="s">
        <v>91</v>
      </c>
      <c r="H3" s="45" t="s">
        <v>91</v>
      </c>
      <c r="I3" s="44" t="s">
        <v>91</v>
      </c>
      <c r="J3" s="44" t="s">
        <v>91</v>
      </c>
      <c r="K3" s="44" t="s">
        <v>91</v>
      </c>
      <c r="L3" s="45" t="s">
        <v>91</v>
      </c>
      <c r="M3" s="44" t="s">
        <v>91</v>
      </c>
      <c r="N3" s="44" t="s">
        <v>91</v>
      </c>
      <c r="O3" s="44" t="s">
        <v>91</v>
      </c>
      <c r="P3" s="45" t="s">
        <v>91</v>
      </c>
      <c r="Q3" s="131" t="s">
        <v>91</v>
      </c>
      <c r="R3" s="132"/>
      <c r="S3" s="133"/>
      <c r="T3" s="45" t="s">
        <v>91</v>
      </c>
      <c r="U3" s="45" t="s">
        <v>91</v>
      </c>
      <c r="V3" s="45" t="s">
        <v>91</v>
      </c>
      <c r="W3" s="45" t="s">
        <v>91</v>
      </c>
      <c r="X3" s="45" t="s">
        <v>91</v>
      </c>
    </row>
    <row r="4" spans="1:24">
      <c r="A4" s="40">
        <v>0</v>
      </c>
      <c r="B4" s="55">
        <v>10</v>
      </c>
      <c r="C4" s="56">
        <v>10</v>
      </c>
      <c r="D4" s="66">
        <f t="shared" ref="D4:D19" si="0">C4/60</f>
        <v>0.16666666666666666</v>
      </c>
      <c r="E4" s="32">
        <v>2</v>
      </c>
      <c r="F4" s="32">
        <v>10929</v>
      </c>
      <c r="G4" s="32">
        <v>7</v>
      </c>
      <c r="H4" s="45">
        <f>('Flow cytometer'!F4/'Flow cytometer'!G4)*POWER(10,'Flow cytometer'!E4+2)*10.2</f>
        <v>159251142.85714284</v>
      </c>
      <c r="I4" s="32">
        <v>2</v>
      </c>
      <c r="J4" s="32">
        <v>11115</v>
      </c>
      <c r="K4" s="32">
        <v>7</v>
      </c>
      <c r="L4" s="45">
        <f>('Flow cytometer'!J4/'Flow cytometer'!K4)*POWER(10,'Flow cytometer'!I4+2)*10.2</f>
        <v>161961428.57142857</v>
      </c>
      <c r="M4" s="32">
        <v>2</v>
      </c>
      <c r="N4" s="32">
        <v>10765</v>
      </c>
      <c r="O4" s="32">
        <v>7</v>
      </c>
      <c r="P4" s="45">
        <f>('Flow cytometer'!N4/'Flow cytometer'!O4)*POWER(10,'Flow cytometer'!M4+2)*10.2</f>
        <v>156861428.57142857</v>
      </c>
      <c r="Q4" s="48">
        <f>AVERAGE(H4,L4,P4)*Calculation!I4/Calculation!K3</f>
        <v>159358000</v>
      </c>
      <c r="R4" s="49">
        <f>STDEV(H4,L4,P4)*Calculation!I4/Calculation!K3</f>
        <v>2551678.6311631594</v>
      </c>
      <c r="S4" s="50">
        <f>LOG(Q4)</f>
        <v>8.2023738705624645</v>
      </c>
      <c r="T4" s="50">
        <f>LN(Q4)</f>
        <v>18.886663801521003</v>
      </c>
      <c r="U4" s="50">
        <f>LOG(H4)</f>
        <v>8.2020825577092396</v>
      </c>
      <c r="V4" s="50">
        <f>LOG(L4)</f>
        <v>8.2094115987826708</v>
      </c>
      <c r="W4" s="50">
        <f>LOG(P4)</f>
        <v>8.1955161659071667</v>
      </c>
      <c r="X4" s="50">
        <f xml:space="preserve"> STDEV(U4:W4)*Calculation!I4/Calculation!K3</f>
        <v>6.9512037225218761E-3</v>
      </c>
    </row>
    <row r="5" spans="1:24">
      <c r="A5" s="40">
        <v>1</v>
      </c>
      <c r="B5" s="55">
        <v>110</v>
      </c>
      <c r="C5" s="56">
        <f>C4+B5</f>
        <v>120</v>
      </c>
      <c r="D5" s="66">
        <f t="shared" si="0"/>
        <v>2</v>
      </c>
      <c r="E5" s="32">
        <v>2</v>
      </c>
      <c r="F5" s="32">
        <v>13037</v>
      </c>
      <c r="G5" s="32">
        <v>7</v>
      </c>
      <c r="H5" s="45">
        <f>('Flow cytometer'!F5/'Flow cytometer'!G5)*POWER(10,'Flow cytometer'!E5+2)*10.2</f>
        <v>189967714.28571427</v>
      </c>
      <c r="I5" s="32">
        <v>2</v>
      </c>
      <c r="J5" s="32">
        <v>14003</v>
      </c>
      <c r="K5" s="32">
        <v>7</v>
      </c>
      <c r="L5" s="45">
        <f>('Flow cytometer'!J5/'Flow cytometer'!K5)*POWER(10,'Flow cytometer'!I5+2)*10.2</f>
        <v>204043714.28571427</v>
      </c>
      <c r="M5" s="32">
        <v>2</v>
      </c>
      <c r="N5" s="32">
        <v>13743</v>
      </c>
      <c r="O5" s="32">
        <v>7</v>
      </c>
      <c r="P5" s="45">
        <f>('Flow cytometer'!N5/'Flow cytometer'!O5)*POWER(10,'Flow cytometer'!M5+2)*10.2</f>
        <v>200255142.85714284</v>
      </c>
      <c r="Q5" s="48">
        <f>AVERAGE(H5,L5,P5)*Calculation!I5/Calculation!K4</f>
        <v>198222610.59129927</v>
      </c>
      <c r="R5" s="49">
        <f>STDEV(H5,L5,P5)*Calculation!I5/Calculation!K4</f>
        <v>7288669.8664884213</v>
      </c>
      <c r="S5" s="50">
        <f t="shared" ref="S5:S19" si="1">LOG(Q5)</f>
        <v>8.2971531914962036</v>
      </c>
      <c r="T5" s="50">
        <f t="shared" ref="T5:T19" si="2">LN(Q5)</f>
        <v>19.10490125302713</v>
      </c>
      <c r="U5" s="50">
        <f t="shared" ref="U5:U19" si="3">LOG(H5)</f>
        <v>8.2786797972739095</v>
      </c>
      <c r="V5" s="50">
        <f t="shared" ref="V5:V19" si="4">LOG(L5)</f>
        <v>8.3097232205595404</v>
      </c>
      <c r="W5" s="50">
        <f t="shared" ref="W5:W19" si="5">LOG(P5)</f>
        <v>8.3015836782434071</v>
      </c>
      <c r="X5" s="50">
        <f xml:space="preserve"> STDEV(U5:W5)*Calculation!I5/Calculation!K4</f>
        <v>1.6107110509788077E-2</v>
      </c>
    </row>
    <row r="6" spans="1:24">
      <c r="A6" s="40">
        <v>2</v>
      </c>
      <c r="B6" s="55">
        <v>80</v>
      </c>
      <c r="C6" s="56">
        <f t="shared" ref="C6:C18" si="6">C5+B6</f>
        <v>200</v>
      </c>
      <c r="D6" s="66">
        <f t="shared" si="0"/>
        <v>3.3333333333333335</v>
      </c>
      <c r="E6" s="32">
        <v>2</v>
      </c>
      <c r="F6" s="32">
        <v>17812</v>
      </c>
      <c r="G6" s="32">
        <v>7</v>
      </c>
      <c r="H6" s="45">
        <f>('Flow cytometer'!F6/'Flow cytometer'!G6)*POWER(10,'Flow cytometer'!E6+2)*10.2</f>
        <v>259546285.71428567</v>
      </c>
      <c r="I6" s="32">
        <v>2</v>
      </c>
      <c r="J6" s="32">
        <v>18754</v>
      </c>
      <c r="K6" s="32">
        <v>7</v>
      </c>
      <c r="L6" s="45">
        <f>('Flow cytometer'!J6/'Flow cytometer'!K6)*POWER(10,'Flow cytometer'!I6+2)*10.2</f>
        <v>273272571.42857146</v>
      </c>
      <c r="M6" s="32">
        <v>2</v>
      </c>
      <c r="N6" s="32">
        <v>17467</v>
      </c>
      <c r="O6" s="32">
        <v>7</v>
      </c>
      <c r="P6" s="45">
        <f>('Flow cytometer'!N6/'Flow cytometer'!O6)*POWER(10,'Flow cytometer'!M6+2)*10.2</f>
        <v>254519142.85714284</v>
      </c>
      <c r="Q6" s="48">
        <f>AVERAGE(H6,L6,P6)*Calculation!I6/Calculation!K5</f>
        <v>262988216.57698932</v>
      </c>
      <c r="R6" s="49">
        <f>STDEV(H6,L6,P6)*Calculation!I6/Calculation!K5</f>
        <v>9727218.8629065566</v>
      </c>
      <c r="S6" s="50">
        <f t="shared" si="1"/>
        <v>8.4199362899717496</v>
      </c>
      <c r="T6" s="50">
        <f t="shared" si="2"/>
        <v>19.387619785248539</v>
      </c>
      <c r="U6" s="50">
        <f t="shared" si="3"/>
        <v>8.4142148182068457</v>
      </c>
      <c r="V6" s="50">
        <f t="shared" si="4"/>
        <v>8.4365960434196641</v>
      </c>
      <c r="W6" s="50">
        <f t="shared" si="5"/>
        <v>8.4057204519952737</v>
      </c>
      <c r="X6" s="50">
        <f xml:space="preserve"> STDEV(U6:W6)*Calculation!I6/Calculation!K5</f>
        <v>1.5982746849132791E-2</v>
      </c>
    </row>
    <row r="7" spans="1:24">
      <c r="A7" s="40">
        <v>3</v>
      </c>
      <c r="B7" s="55">
        <v>80</v>
      </c>
      <c r="C7" s="56">
        <f>C6+B7</f>
        <v>280</v>
      </c>
      <c r="D7" s="66">
        <f t="shared" si="0"/>
        <v>4.666666666666667</v>
      </c>
      <c r="E7" s="32">
        <v>2</v>
      </c>
      <c r="F7" s="32">
        <v>32685</v>
      </c>
      <c r="G7" s="32">
        <v>7</v>
      </c>
      <c r="H7" s="45">
        <f>('Flow cytometer'!F7/'Flow cytometer'!G7)*POWER(10,'Flow cytometer'!E7+2)*10.2</f>
        <v>476267142.85714287</v>
      </c>
      <c r="I7" s="32">
        <v>2</v>
      </c>
      <c r="J7" s="32">
        <v>32725</v>
      </c>
      <c r="K7" s="32">
        <v>7</v>
      </c>
      <c r="L7" s="45">
        <f>('Flow cytometer'!J7/'Flow cytometer'!K7)*POWER(10,'Flow cytometer'!I7+2)*10.2</f>
        <v>476849999.99999994</v>
      </c>
      <c r="M7" s="32">
        <v>2</v>
      </c>
      <c r="N7" s="32">
        <v>33883</v>
      </c>
      <c r="O7" s="32">
        <v>7</v>
      </c>
      <c r="P7" s="45">
        <f>('Flow cytometer'!N7/'Flow cytometer'!O7)*POWER(10,'Flow cytometer'!M7+2)*10.2</f>
        <v>493723714.28571427</v>
      </c>
      <c r="Q7" s="48">
        <f>AVERAGE(H7,L7,P7)*Calculation!I7/Calculation!K6</f>
        <v>483970049.38950354</v>
      </c>
      <c r="R7" s="49">
        <f>STDEV(H7,L7,P7)*Calculation!I7/Calculation!K6</f>
        <v>9949321.5814793855</v>
      </c>
      <c r="S7" s="50">
        <f t="shared" si="1"/>
        <v>8.6848184860507303</v>
      </c>
      <c r="T7" s="50">
        <f t="shared" si="2"/>
        <v>19.997533581339525</v>
      </c>
      <c r="U7" s="50">
        <f t="shared" si="3"/>
        <v>8.6778506210495969</v>
      </c>
      <c r="V7" s="50">
        <f t="shared" si="4"/>
        <v>8.6783817869704549</v>
      </c>
      <c r="W7" s="50">
        <f t="shared" si="5"/>
        <v>8.6934839875316356</v>
      </c>
      <c r="X7" s="50">
        <f xml:space="preserve"> STDEV(U7:W7)*Calculation!I7/Calculation!K6</f>
        <v>8.9076687031163313E-3</v>
      </c>
    </row>
    <row r="8" spans="1:24">
      <c r="A8" s="40">
        <v>4</v>
      </c>
      <c r="B8" s="55">
        <v>80</v>
      </c>
      <c r="C8" s="56">
        <f t="shared" si="6"/>
        <v>360</v>
      </c>
      <c r="D8" s="66">
        <f t="shared" si="0"/>
        <v>6</v>
      </c>
      <c r="E8" s="32">
        <v>3</v>
      </c>
      <c r="F8" s="32">
        <v>8727</v>
      </c>
      <c r="G8" s="32">
        <v>7</v>
      </c>
      <c r="H8" s="45">
        <f>('Flow cytometer'!F8/'Flow cytometer'!G8)*POWER(10,'Flow cytometer'!E8+2)*10.2</f>
        <v>1271648571.4285715</v>
      </c>
      <c r="I8" s="32">
        <v>3</v>
      </c>
      <c r="J8" s="32">
        <v>8114</v>
      </c>
      <c r="K8" s="32">
        <v>7</v>
      </c>
      <c r="L8" s="45">
        <f>('Flow cytometer'!J8/'Flow cytometer'!K8)*POWER(10,'Flow cytometer'!I8+2)*10.2</f>
        <v>1182325714.2857141</v>
      </c>
      <c r="M8" s="32">
        <v>3</v>
      </c>
      <c r="N8" s="32">
        <v>7769</v>
      </c>
      <c r="O8" s="32">
        <v>7</v>
      </c>
      <c r="P8" s="45">
        <f>('Flow cytometer'!N8/'Flow cytometer'!O8)*POWER(10,'Flow cytometer'!M8+2)*10.2</f>
        <v>1132054285.7142856</v>
      </c>
      <c r="Q8" s="48">
        <f>AVERAGE(H8,L8,P8)*Calculation!I8/Calculation!K7</f>
        <v>1203085141.3981347</v>
      </c>
      <c r="R8" s="49">
        <f>STDEV(H8,L8,P8)*Calculation!I8/Calculation!K7</f>
        <v>71159604.146880135</v>
      </c>
      <c r="S8" s="50">
        <f t="shared" si="1"/>
        <v>9.0802963631095572</v>
      </c>
      <c r="T8" s="50">
        <f t="shared" si="2"/>
        <v>20.908155045664113</v>
      </c>
      <c r="U8" s="50">
        <f t="shared" si="3"/>
        <v>9.1043671077143831</v>
      </c>
      <c r="V8" s="50">
        <f t="shared" si="4"/>
        <v>9.0727371351159682</v>
      </c>
      <c r="W8" s="50">
        <f t="shared" si="5"/>
        <v>9.0538672531957847</v>
      </c>
      <c r="X8" s="50">
        <f xml:space="preserve"> STDEV(U8:W8)*Calculation!I8/Calculation!K7</f>
        <v>2.5682469175477157E-2</v>
      </c>
    </row>
    <row r="9" spans="1:24">
      <c r="A9" s="40">
        <v>5</v>
      </c>
      <c r="B9" s="55">
        <v>80</v>
      </c>
      <c r="C9" s="56">
        <f t="shared" si="6"/>
        <v>440</v>
      </c>
      <c r="D9" s="66">
        <f t="shared" si="0"/>
        <v>7.333333333333333</v>
      </c>
      <c r="E9" s="32">
        <v>3</v>
      </c>
      <c r="F9" s="32">
        <v>14817</v>
      </c>
      <c r="G9" s="32">
        <v>7</v>
      </c>
      <c r="H9" s="45">
        <f>('Flow cytometer'!F9/'Flow cytometer'!G9)*POWER(10,'Flow cytometer'!E9+2)*10.2</f>
        <v>2159048571.4285712</v>
      </c>
      <c r="I9" s="32">
        <v>3</v>
      </c>
      <c r="J9" s="32">
        <v>13975</v>
      </c>
      <c r="K9" s="32">
        <v>7</v>
      </c>
      <c r="L9" s="45">
        <f>('Flow cytometer'!J9/'Flow cytometer'!K9)*POWER(10,'Flow cytometer'!I9+2)*10.2</f>
        <v>2036357142.8571427</v>
      </c>
      <c r="M9" s="32">
        <v>3</v>
      </c>
      <c r="N9" s="32">
        <v>15219</v>
      </c>
      <c r="O9" s="32">
        <v>7</v>
      </c>
      <c r="P9" s="45">
        <f>('Flow cytometer'!N9/'Flow cytometer'!O9)*POWER(10,'Flow cytometer'!M9+2)*10.2</f>
        <v>2217625714.2857141</v>
      </c>
      <c r="Q9" s="48">
        <f>AVERAGE(H9,L9,P9)*Calculation!I9/Calculation!K8</f>
        <v>2159753733.3711848</v>
      </c>
      <c r="R9" s="49">
        <f>STDEV(H9,L9,P9)*Calculation!I9/Calculation!K8</f>
        <v>93460072.615519777</v>
      </c>
      <c r="S9" s="50">
        <f t="shared" si="1"/>
        <v>9.3344042334030739</v>
      </c>
      <c r="T9" s="50">
        <f t="shared" si="2"/>
        <v>21.49326003981443</v>
      </c>
      <c r="U9" s="50">
        <f t="shared" si="3"/>
        <v>9.3342624126288705</v>
      </c>
      <c r="V9" s="50">
        <f t="shared" si="4"/>
        <v>9.3088539483061208</v>
      </c>
      <c r="W9" s="50">
        <f t="shared" si="5"/>
        <v>9.3458882487847266</v>
      </c>
      <c r="X9" s="50">
        <f xml:space="preserve"> STDEV(U9:W9)*Calculation!I9/Calculation!K8</f>
        <v>1.9135369021469065E-2</v>
      </c>
    </row>
    <row r="10" spans="1:24">
      <c r="A10" s="40">
        <v>6</v>
      </c>
      <c r="B10" s="55">
        <v>180</v>
      </c>
      <c r="C10" s="56">
        <f t="shared" si="6"/>
        <v>620</v>
      </c>
      <c r="D10" s="66">
        <f t="shared" si="0"/>
        <v>10.333333333333334</v>
      </c>
      <c r="E10" s="32">
        <v>3</v>
      </c>
      <c r="F10" s="32">
        <v>26996</v>
      </c>
      <c r="G10" s="32">
        <v>7</v>
      </c>
      <c r="H10" s="45">
        <f>('Flow cytometer'!F10/'Flow cytometer'!G10)*POWER(10,'Flow cytometer'!E10+2)*10.2</f>
        <v>3933702857.1428571</v>
      </c>
      <c r="I10" s="32">
        <v>3</v>
      </c>
      <c r="J10" s="32">
        <v>30001</v>
      </c>
      <c r="K10" s="32">
        <v>7</v>
      </c>
      <c r="L10" s="45">
        <f>('Flow cytometer'!J10/'Flow cytometer'!K10)*POWER(10,'Flow cytometer'!I10+2)*10.2</f>
        <v>4371574285.7142859</v>
      </c>
      <c r="M10" s="32">
        <v>3</v>
      </c>
      <c r="N10" s="32">
        <v>29038</v>
      </c>
      <c r="O10" s="32">
        <v>7</v>
      </c>
      <c r="P10" s="45">
        <f>('Flow cytometer'!N10/'Flow cytometer'!O10)*POWER(10,'Flow cytometer'!M10+2)*10.2</f>
        <v>4231251428.5714288</v>
      </c>
      <c r="Q10" s="48">
        <f>AVERAGE(H10,L10,P10)*Calculation!I10/Calculation!K9</f>
        <v>4272181571.0062423</v>
      </c>
      <c r="R10" s="49">
        <f>STDEV(H10,L10,P10)*Calculation!I10/Calculation!K9</f>
        <v>228584916.75261721</v>
      </c>
      <c r="S10" s="50">
        <f t="shared" si="1"/>
        <v>9.630649702262625</v>
      </c>
      <c r="T10" s="50">
        <f t="shared" si="2"/>
        <v>22.175390440277464</v>
      </c>
      <c r="U10" s="50">
        <f t="shared" si="3"/>
        <v>9.5948015512170119</v>
      </c>
      <c r="V10" s="50">
        <f t="shared" si="4"/>
        <v>9.6406378627087843</v>
      </c>
      <c r="W10" s="50">
        <f t="shared" si="5"/>
        <v>9.626468832657423</v>
      </c>
      <c r="X10" s="50">
        <f xml:space="preserve"> STDEV(U10:W10)*Calculation!I10/Calculation!K9</f>
        <v>2.3992411974777059E-2</v>
      </c>
    </row>
    <row r="11" spans="1:24">
      <c r="A11" s="40">
        <v>7</v>
      </c>
      <c r="B11" s="55">
        <v>80</v>
      </c>
      <c r="C11" s="56">
        <f t="shared" si="6"/>
        <v>700</v>
      </c>
      <c r="D11" s="66">
        <f t="shared" si="0"/>
        <v>11.666666666666666</v>
      </c>
      <c r="E11" s="32">
        <v>3</v>
      </c>
      <c r="F11" s="32">
        <v>34114</v>
      </c>
      <c r="G11" s="32">
        <v>7</v>
      </c>
      <c r="H11" s="45">
        <f>('Flow cytometer'!F11/'Flow cytometer'!G11)*POWER(10,'Flow cytometer'!E11+2)*10.2</f>
        <v>4970897142.8571424</v>
      </c>
      <c r="I11" s="32">
        <v>3</v>
      </c>
      <c r="J11" s="32">
        <v>34279</v>
      </c>
      <c r="K11" s="32">
        <v>7</v>
      </c>
      <c r="L11" s="45">
        <f>('Flow cytometer'!J11/'Flow cytometer'!K11)*POWER(10,'Flow cytometer'!I11+2)*10.2</f>
        <v>4994940000</v>
      </c>
      <c r="M11" s="32">
        <v>3</v>
      </c>
      <c r="N11" s="32">
        <v>27803</v>
      </c>
      <c r="O11" s="32">
        <v>7</v>
      </c>
      <c r="P11" s="45">
        <f>('Flow cytometer'!N11/'Flow cytometer'!O11)*POWER(10,'Flow cytometer'!M11+2)*10.2</f>
        <v>4051294285.7142854</v>
      </c>
      <c r="Q11" s="48">
        <f>AVERAGE(H11,L11,P11)*Calculation!I11/Calculation!K10</f>
        <v>4807706964.6320057</v>
      </c>
      <c r="R11" s="49">
        <f>STDEV(H11,L11,P11)*Calculation!I11/Calculation!K10</f>
        <v>553590609.06519091</v>
      </c>
      <c r="S11" s="50">
        <f t="shared" si="1"/>
        <v>9.6819379890442505</v>
      </c>
      <c r="T11" s="50">
        <f t="shared" si="2"/>
        <v>22.293486084866039</v>
      </c>
      <c r="U11" s="50">
        <f t="shared" si="3"/>
        <v>9.6964347768682853</v>
      </c>
      <c r="V11" s="50">
        <f t="shared" si="4"/>
        <v>9.6985302757801364</v>
      </c>
      <c r="W11" s="50">
        <f t="shared" si="5"/>
        <v>9.6075937914481582</v>
      </c>
      <c r="X11" s="50">
        <f xml:space="preserve"> STDEV(U11:W11)*Calculation!I11/Calculation!K10</f>
        <v>5.3411309827134698E-2</v>
      </c>
    </row>
    <row r="12" spans="1:24">
      <c r="A12" s="40">
        <v>8</v>
      </c>
      <c r="B12" s="55">
        <v>80</v>
      </c>
      <c r="C12" s="56">
        <f t="shared" si="6"/>
        <v>780</v>
      </c>
      <c r="D12" s="66">
        <f t="shared" si="0"/>
        <v>13</v>
      </c>
      <c r="E12" s="32">
        <v>3</v>
      </c>
      <c r="F12" s="32">
        <v>32876</v>
      </c>
      <c r="G12" s="32">
        <v>7</v>
      </c>
      <c r="H12" s="45">
        <f>('Flow cytometer'!F12/'Flow cytometer'!G12)*POWER(10,'Flow cytometer'!E12+2)*10.2</f>
        <v>4790502857.1428566</v>
      </c>
      <c r="I12" s="32">
        <v>3</v>
      </c>
      <c r="J12" s="32">
        <v>35299</v>
      </c>
      <c r="K12" s="32">
        <v>7</v>
      </c>
      <c r="L12" s="45">
        <f>('Flow cytometer'!J12/'Flow cytometer'!K12)*POWER(10,'Flow cytometer'!I12+2)*10.2</f>
        <v>5143568571.4285707</v>
      </c>
      <c r="M12" s="32">
        <v>3</v>
      </c>
      <c r="N12" s="32">
        <v>36500</v>
      </c>
      <c r="O12" s="32">
        <v>7</v>
      </c>
      <c r="P12" s="45">
        <f>('Flow cytometer'!N12/'Flow cytometer'!O12)*POWER(10,'Flow cytometer'!M12+2)*10.2</f>
        <v>5318571428.5714283</v>
      </c>
      <c r="Q12" s="48">
        <f>AVERAGE(H12,L12,P12)*Calculation!I12/Calculation!K11</f>
        <v>5262091464.3802309</v>
      </c>
      <c r="R12" s="49">
        <f>STDEV(H12,L12,P12)*Calculation!I12/Calculation!K11</f>
        <v>278402242.25769788</v>
      </c>
      <c r="S12" s="50">
        <f t="shared" si="1"/>
        <v>9.7211583926152105</v>
      </c>
      <c r="T12" s="50">
        <f t="shared" si="2"/>
        <v>22.383794401469743</v>
      </c>
      <c r="U12" s="50">
        <f t="shared" si="3"/>
        <v>9.6803811035230964</v>
      </c>
      <c r="V12" s="50">
        <f t="shared" si="4"/>
        <v>9.7112645340013906</v>
      </c>
      <c r="W12" s="50">
        <f t="shared" si="5"/>
        <v>9.7257949962041348</v>
      </c>
      <c r="X12" s="50">
        <f xml:space="preserve"> STDEV(U12:W12)*Calculation!I12/Calculation!K11</f>
        <v>2.4003879234867711E-2</v>
      </c>
    </row>
    <row r="13" spans="1:24">
      <c r="A13" s="40">
        <v>9</v>
      </c>
      <c r="B13" s="55">
        <v>80</v>
      </c>
      <c r="C13" s="56">
        <f t="shared" si="6"/>
        <v>860</v>
      </c>
      <c r="D13" s="66">
        <f t="shared" si="0"/>
        <v>14.333333333333334</v>
      </c>
      <c r="E13" s="32">
        <v>3</v>
      </c>
      <c r="F13" s="32">
        <v>39822</v>
      </c>
      <c r="G13" s="32">
        <v>7</v>
      </c>
      <c r="H13" s="45">
        <f>('Flow cytometer'!F13/'Flow cytometer'!G13)*POWER(10,'Flow cytometer'!E13+2)*10.2</f>
        <v>5802634285.7142849</v>
      </c>
      <c r="I13" s="32">
        <v>3</v>
      </c>
      <c r="J13" s="32">
        <v>39303</v>
      </c>
      <c r="K13" s="32">
        <v>7</v>
      </c>
      <c r="L13" s="45">
        <f>('Flow cytometer'!J13/'Flow cytometer'!K13)*POWER(10,'Flow cytometer'!I13+2)*10.2</f>
        <v>5727008571.4285707</v>
      </c>
      <c r="M13" s="32">
        <v>3</v>
      </c>
      <c r="N13" s="32">
        <v>40307</v>
      </c>
      <c r="O13" s="32">
        <v>7</v>
      </c>
      <c r="P13" s="45">
        <f>('Flow cytometer'!N13/'Flow cytometer'!O13)*POWER(10,'Flow cytometer'!M13+2)*10.2</f>
        <v>5873305714.2857141</v>
      </c>
      <c r="Q13" s="48">
        <f>AVERAGE(H13,L13,P13)*Calculation!I13/Calculation!K12</f>
        <v>6035126305.1928501</v>
      </c>
      <c r="R13" s="49">
        <f>STDEV(H13,L13,P13)*Calculation!I13/Calculation!K12</f>
        <v>76115590.899624184</v>
      </c>
      <c r="S13" s="50">
        <f t="shared" si="1"/>
        <v>9.7806863635923218</v>
      </c>
      <c r="T13" s="50">
        <f t="shared" si="2"/>
        <v>22.520862620057823</v>
      </c>
      <c r="U13" s="50">
        <f t="shared" si="3"/>
        <v>9.7636251997733474</v>
      </c>
      <c r="V13" s="50">
        <f t="shared" si="4"/>
        <v>9.7579278331083259</v>
      </c>
      <c r="W13" s="50">
        <f t="shared" si="5"/>
        <v>9.768882607104123</v>
      </c>
      <c r="X13" s="50">
        <f xml:space="preserve"> STDEV(U13:W13)*Calculation!I13/Calculation!K12</f>
        <v>5.700000912521287E-3</v>
      </c>
    </row>
    <row r="14" spans="1:24">
      <c r="A14" s="40">
        <v>10</v>
      </c>
      <c r="B14" s="55">
        <v>80</v>
      </c>
      <c r="C14" s="56">
        <f t="shared" si="6"/>
        <v>940</v>
      </c>
      <c r="D14" s="66">
        <f t="shared" si="0"/>
        <v>15.666666666666666</v>
      </c>
      <c r="E14" s="32">
        <v>3</v>
      </c>
      <c r="F14" s="32">
        <v>31917</v>
      </c>
      <c r="G14" s="32">
        <v>7</v>
      </c>
      <c r="H14" s="45">
        <f>('Flow cytometer'!F14/'Flow cytometer'!G14)*POWER(10,'Flow cytometer'!E14+2)*10.2</f>
        <v>4650762857.1428566</v>
      </c>
      <c r="I14" s="32">
        <v>3</v>
      </c>
      <c r="J14" s="32">
        <v>36769</v>
      </c>
      <c r="K14" s="32">
        <v>7</v>
      </c>
      <c r="L14" s="45">
        <f>('Flow cytometer'!J14/'Flow cytometer'!K14)*POWER(10,'Flow cytometer'!I14+2)*10.2</f>
        <v>5357768571.4285707</v>
      </c>
      <c r="M14" s="32">
        <v>3</v>
      </c>
      <c r="N14" s="32">
        <v>38103</v>
      </c>
      <c r="O14" s="32">
        <v>7</v>
      </c>
      <c r="P14" s="45">
        <f>('Flow cytometer'!N14/'Flow cytometer'!O14)*POWER(10,'Flow cytometer'!M14+2)*10.2</f>
        <v>5552151428.5714283</v>
      </c>
      <c r="Q14" s="48">
        <f>AVERAGE(H14,L14,P14)*Calculation!I14/Calculation!K13</f>
        <v>5444954078.9691048</v>
      </c>
      <c r="R14" s="49">
        <f>STDEV(H14,L14,P14)*Calculation!I14/Calculation!K13</f>
        <v>497967621.47273672</v>
      </c>
      <c r="S14" s="50">
        <f t="shared" si="1"/>
        <v>9.7359942214041144</v>
      </c>
      <c r="T14" s="50">
        <f t="shared" si="2"/>
        <v>22.417955159681281</v>
      </c>
      <c r="U14" s="50">
        <f t="shared" si="3"/>
        <v>9.6675241953575775</v>
      </c>
      <c r="V14" s="50">
        <f t="shared" si="4"/>
        <v>9.7289839503468034</v>
      </c>
      <c r="W14" s="50">
        <f t="shared" si="5"/>
        <v>9.7444613024929332</v>
      </c>
      <c r="X14" s="50">
        <f xml:space="preserve"> STDEV(U14:W14)*Calculation!I14/Calculation!K13</f>
        <v>4.271895993129151E-2</v>
      </c>
    </row>
    <row r="15" spans="1:24">
      <c r="A15" s="40">
        <v>11</v>
      </c>
      <c r="B15" s="55">
        <v>80</v>
      </c>
      <c r="C15" s="56">
        <f t="shared" si="6"/>
        <v>1020</v>
      </c>
      <c r="D15" s="66">
        <f t="shared" si="0"/>
        <v>17</v>
      </c>
      <c r="E15" s="32">
        <v>3</v>
      </c>
      <c r="F15" s="32">
        <v>36315</v>
      </c>
      <c r="G15" s="32">
        <v>7</v>
      </c>
      <c r="H15" s="45">
        <f>('Flow cytometer'!F15/'Flow cytometer'!G15)*POWER(10,'Flow cytometer'!E15+2)*10.2</f>
        <v>5291614285.7142859</v>
      </c>
      <c r="I15" s="32">
        <v>3</v>
      </c>
      <c r="J15" s="32">
        <v>36146</v>
      </c>
      <c r="K15" s="32">
        <v>7</v>
      </c>
      <c r="L15" s="45">
        <f>('Flow cytometer'!J15/'Flow cytometer'!K15)*POWER(10,'Flow cytometer'!I15+2)*10.2</f>
        <v>5266988571.4285707</v>
      </c>
      <c r="M15" s="32">
        <v>3</v>
      </c>
      <c r="N15" s="32">
        <v>35436</v>
      </c>
      <c r="O15" s="32">
        <v>7</v>
      </c>
      <c r="P15" s="45">
        <f>('Flow cytometer'!N15/'Flow cytometer'!O15)*POWER(10,'Flow cytometer'!M15+2)*10.2</f>
        <v>5163531428.5714283</v>
      </c>
      <c r="Q15" s="48">
        <f>AVERAGE(H15,L15,P15)*Calculation!I15/Calculation!K14</f>
        <v>5511741448.2590342</v>
      </c>
      <c r="R15" s="49">
        <f>STDEV(H15,L15,P15)*Calculation!I15/Calculation!K14</f>
        <v>71479350.660670653</v>
      </c>
      <c r="S15" s="50">
        <f t="shared" si="1"/>
        <v>9.7412888369423829</v>
      </c>
      <c r="T15" s="50">
        <f t="shared" si="2"/>
        <v>22.430146462492836</v>
      </c>
      <c r="U15" s="50">
        <f t="shared" si="3"/>
        <v>9.7235881802450752</v>
      </c>
      <c r="V15" s="50">
        <f t="shared" si="4"/>
        <v>9.721562376004929</v>
      </c>
      <c r="W15" s="50">
        <f t="shared" si="5"/>
        <v>9.7129468247603636</v>
      </c>
      <c r="X15" s="50">
        <f xml:space="preserve"> STDEV(U15:W15)*Calculation!I15/Calculation!K14</f>
        <v>5.9427406085349917E-3</v>
      </c>
    </row>
    <row r="16" spans="1:24">
      <c r="A16" s="40">
        <v>12</v>
      </c>
      <c r="B16" s="55">
        <v>80</v>
      </c>
      <c r="C16" s="56">
        <f t="shared" si="6"/>
        <v>1100</v>
      </c>
      <c r="D16" s="66">
        <f t="shared" si="0"/>
        <v>18.333333333333332</v>
      </c>
      <c r="E16" s="32">
        <v>3</v>
      </c>
      <c r="F16" s="32">
        <v>22744</v>
      </c>
      <c r="G16" s="32">
        <v>7</v>
      </c>
      <c r="H16" s="45">
        <f>('Flow cytometer'!F16/'Flow cytometer'!G16)*POWER(10,'Flow cytometer'!E16+2)*10.2</f>
        <v>3314125714.2857141</v>
      </c>
      <c r="I16" s="32">
        <v>3</v>
      </c>
      <c r="J16" s="32">
        <v>26642</v>
      </c>
      <c r="K16" s="32">
        <v>7</v>
      </c>
      <c r="L16" s="45">
        <f>('Flow cytometer'!J16/'Flow cytometer'!K16)*POWER(10,'Flow cytometer'!I16+2)*10.2</f>
        <v>3882119999.9999995</v>
      </c>
      <c r="M16" s="32">
        <v>3</v>
      </c>
      <c r="N16" s="32">
        <v>23749</v>
      </c>
      <c r="O16" s="32">
        <v>7</v>
      </c>
      <c r="P16" s="45">
        <f>('Flow cytometer'!N16/'Flow cytometer'!O16)*POWER(10,'Flow cytometer'!M16+2)*10.2</f>
        <v>3460568571.4285712</v>
      </c>
      <c r="Q16" s="48">
        <f>AVERAGE(H16,L16,P16)*Calculation!I16/Calculation!K15</f>
        <v>3739651561.2382355</v>
      </c>
      <c r="R16" s="49">
        <f>STDEV(H16,L16,P16)*Calculation!I16/Calculation!K15</f>
        <v>310447632.19023275</v>
      </c>
      <c r="S16" s="50">
        <f t="shared" si="1"/>
        <v>9.572831139077195</v>
      </c>
      <c r="T16" s="50">
        <f t="shared" si="2"/>
        <v>22.04225827858836</v>
      </c>
      <c r="U16" s="50">
        <f t="shared" si="3"/>
        <v>9.5203689784300458</v>
      </c>
      <c r="V16" s="50">
        <f t="shared" si="4"/>
        <v>9.5890689557129196</v>
      </c>
      <c r="W16" s="50">
        <f t="shared" si="5"/>
        <v>9.539147459240116</v>
      </c>
      <c r="X16" s="50">
        <f xml:space="preserve"> STDEV(U16:W16)*Calculation!I16/Calculation!K15</f>
        <v>3.7379951990140214E-2</v>
      </c>
    </row>
    <row r="17" spans="1:24">
      <c r="A17" s="40">
        <v>13</v>
      </c>
      <c r="B17" s="55">
        <v>340</v>
      </c>
      <c r="C17" s="56">
        <f t="shared" si="6"/>
        <v>1440</v>
      </c>
      <c r="D17" s="66">
        <f t="shared" si="0"/>
        <v>24</v>
      </c>
      <c r="E17" s="32">
        <v>3</v>
      </c>
      <c r="F17" s="32">
        <v>37997</v>
      </c>
      <c r="G17" s="32">
        <v>7</v>
      </c>
      <c r="H17" s="45">
        <f>('Flow cytometer'!F17/'Flow cytometer'!G17)*POWER(10,'Flow cytometer'!E17+2)*10.2</f>
        <v>5536705714.2857141</v>
      </c>
      <c r="I17" s="32">
        <v>3</v>
      </c>
      <c r="J17" s="32">
        <v>36693</v>
      </c>
      <c r="K17" s="32">
        <v>7</v>
      </c>
      <c r="L17" s="45">
        <f>('Flow cytometer'!J17/'Flow cytometer'!K17)*POWER(10,'Flow cytometer'!I17+2)*10.2</f>
        <v>5346694285.7142859</v>
      </c>
      <c r="M17" s="32">
        <v>3</v>
      </c>
      <c r="N17" s="32">
        <v>37897</v>
      </c>
      <c r="O17" s="32">
        <v>7</v>
      </c>
      <c r="P17" s="45">
        <f>('Flow cytometer'!N17/'Flow cytometer'!O17)*POWER(10,'Flow cytometer'!M17+2)*10.2</f>
        <v>5522134285.7142849</v>
      </c>
      <c r="Q17" s="48">
        <f>AVERAGE(H17,L17,P17)*Calculation!I17/Calculation!K16</f>
        <v>5762919327.6253271</v>
      </c>
      <c r="R17" s="49">
        <f>STDEV(H17,L17,P17)*Calculation!I17/Calculation!K16</f>
        <v>111441169.96418184</v>
      </c>
      <c r="S17" s="50">
        <f t="shared" si="1"/>
        <v>9.760642540141415</v>
      </c>
      <c r="T17" s="50">
        <f t="shared" si="2"/>
        <v>22.474710010973158</v>
      </c>
      <c r="U17" s="50">
        <f t="shared" si="3"/>
        <v>9.7432514406045225</v>
      </c>
      <c r="V17" s="50">
        <f t="shared" si="4"/>
        <v>9.7280853526391429</v>
      </c>
      <c r="W17" s="50">
        <f t="shared" si="5"/>
        <v>9.7421069634831809</v>
      </c>
      <c r="X17" s="50">
        <f xml:space="preserve"> STDEV(U17:W17)*Calculation!I17/Calculation!K16</f>
        <v>8.8998346206921666E-3</v>
      </c>
    </row>
    <row r="18" spans="1:24">
      <c r="A18" s="40">
        <v>14</v>
      </c>
      <c r="B18" s="55">
        <v>360</v>
      </c>
      <c r="C18" s="56">
        <f t="shared" si="6"/>
        <v>1800</v>
      </c>
      <c r="D18" s="66">
        <f t="shared" si="0"/>
        <v>30</v>
      </c>
      <c r="E18" s="32">
        <v>3</v>
      </c>
      <c r="F18" s="32">
        <v>35280</v>
      </c>
      <c r="G18" s="32">
        <v>7</v>
      </c>
      <c r="H18" s="45">
        <f>('Flow cytometer'!F18/'Flow cytometer'!G18)*POWER(10,'Flow cytometer'!E18+2)*10.2</f>
        <v>5140800000</v>
      </c>
      <c r="I18" s="32">
        <v>3</v>
      </c>
      <c r="J18" s="32">
        <v>37184</v>
      </c>
      <c r="K18" s="32">
        <v>7</v>
      </c>
      <c r="L18" s="45">
        <f>('Flow cytometer'!J18/'Flow cytometer'!K18)*POWER(10,'Flow cytometer'!I18+2)*10.2</f>
        <v>5418240000</v>
      </c>
      <c r="M18" s="32">
        <v>3</v>
      </c>
      <c r="N18" s="32">
        <v>38179</v>
      </c>
      <c r="O18" s="32">
        <v>7</v>
      </c>
      <c r="P18" s="45">
        <f>('Flow cytometer'!N18/'Flow cytometer'!O18)*POWER(10,'Flow cytometer'!M18+2)*10.2</f>
        <v>5563225714.2857141</v>
      </c>
      <c r="Q18" s="48">
        <f>AVERAGE(H18,L18,P18)*Calculation!I18/Calculation!K17</f>
        <v>5669622915.890152</v>
      </c>
      <c r="R18" s="49">
        <f>STDEV(H18,L18,P18)*Calculation!I18/Calculation!K17</f>
        <v>226449855.26029545</v>
      </c>
      <c r="S18" s="50">
        <f t="shared" si="1"/>
        <v>9.7535541751197172</v>
      </c>
      <c r="T18" s="50">
        <f t="shared" si="2"/>
        <v>22.458388447340496</v>
      </c>
      <c r="U18" s="50">
        <f t="shared" si="3"/>
        <v>9.7110307082074421</v>
      </c>
      <c r="V18" s="50">
        <f t="shared" si="4"/>
        <v>9.7338582381218792</v>
      </c>
      <c r="W18" s="50">
        <f t="shared" si="5"/>
        <v>9.7453266807353902</v>
      </c>
      <c r="X18" s="50">
        <f xml:space="preserve"> STDEV(U18:W18)*Calculation!I18/Calculation!K17</f>
        <v>1.841878573955464E-2</v>
      </c>
    </row>
    <row r="19" spans="1:24">
      <c r="A19" s="40">
        <v>15</v>
      </c>
      <c r="B19" s="55">
        <v>1080</v>
      </c>
      <c r="C19" s="56">
        <f>C18+B19</f>
        <v>2880</v>
      </c>
      <c r="D19" s="66">
        <f t="shared" si="0"/>
        <v>48</v>
      </c>
      <c r="E19" s="32">
        <v>3</v>
      </c>
      <c r="F19" s="32">
        <v>19219</v>
      </c>
      <c r="G19" s="32">
        <v>7</v>
      </c>
      <c r="H19" s="45">
        <f>('Flow cytometer'!F19/'Flow cytometer'!G19)*POWER(10,'Flow cytometer'!E19+2)*10.2</f>
        <v>2800482857.1428571</v>
      </c>
      <c r="I19" s="32">
        <v>3</v>
      </c>
      <c r="J19" s="32">
        <v>19218</v>
      </c>
      <c r="K19" s="32">
        <v>7</v>
      </c>
      <c r="L19" s="45">
        <f>('Flow cytometer'!J19/'Flow cytometer'!K19)*POWER(10,'Flow cytometer'!I19+2)*10.2</f>
        <v>2800337142.8571424</v>
      </c>
      <c r="M19" s="32">
        <v>3</v>
      </c>
      <c r="N19" s="32">
        <v>20026</v>
      </c>
      <c r="O19" s="32">
        <v>7</v>
      </c>
      <c r="P19" s="45">
        <f>('Flow cytometer'!N19/'Flow cytometer'!O19)*POWER(10,'Flow cytometer'!M19+2)*10.2</f>
        <v>2918074285.7142854</v>
      </c>
      <c r="Q19" s="48">
        <f>AVERAGE(H19,L19,P19)*Calculation!I19/Calculation!K18</f>
        <v>2995789742.9723158</v>
      </c>
      <c r="R19" s="49">
        <f>STDEV(H19,L19,P19)*Calculation!I19/Calculation!K18</f>
        <v>71669378.836378589</v>
      </c>
      <c r="S19" s="50">
        <f t="shared" si="1"/>
        <v>9.4765113294976526</v>
      </c>
      <c r="T19" s="50">
        <f t="shared" si="2"/>
        <v>21.82047372089048</v>
      </c>
      <c r="U19" s="50">
        <f t="shared" si="3"/>
        <v>9.4472329185255415</v>
      </c>
      <c r="V19" s="50">
        <f t="shared" si="4"/>
        <v>9.4472103207951257</v>
      </c>
      <c r="W19" s="50">
        <f t="shared" si="5"/>
        <v>9.4650963435770166</v>
      </c>
      <c r="X19" s="50">
        <f xml:space="preserve"> STDEV(U19:W19)*Calculation!I19/Calculation!K18</f>
        <v>1.0887504082209719E-2</v>
      </c>
    </row>
    <row r="60" spans="17:19">
      <c r="Q60" t="s">
        <v>132</v>
      </c>
    </row>
    <row r="61" spans="17:19" ht="16">
      <c r="Q61" t="s">
        <v>133</v>
      </c>
      <c r="R61">
        <v>0.53339999999999999</v>
      </c>
      <c r="S61" t="s">
        <v>134</v>
      </c>
    </row>
    <row r="62" spans="17:19">
      <c r="Q62" t="s">
        <v>135</v>
      </c>
    </row>
    <row r="63" spans="17:19" ht="16">
      <c r="Q63" t="s">
        <v>136</v>
      </c>
      <c r="R63">
        <v>14.782999999999999</v>
      </c>
    </row>
    <row r="65" spans="17:21" ht="16">
      <c r="Q65" t="s">
        <v>137</v>
      </c>
      <c r="R65">
        <v>0.99528000000000005</v>
      </c>
    </row>
    <row r="68" spans="17:21">
      <c r="Q68" t="s">
        <v>138</v>
      </c>
      <c r="R68">
        <f>LN(2)/R61</f>
        <v>1.299488527483962</v>
      </c>
      <c r="S68" t="s">
        <v>139</v>
      </c>
    </row>
    <row r="71" spans="17:21">
      <c r="Q71" s="63"/>
      <c r="R71" s="63" t="s">
        <v>140</v>
      </c>
      <c r="S71" s="63"/>
      <c r="T71" s="63" t="s">
        <v>141</v>
      </c>
      <c r="U71" s="63"/>
    </row>
    <row r="72" spans="17:21">
      <c r="Q72" s="63"/>
      <c r="R72" s="63"/>
      <c r="S72" s="63"/>
      <c r="T72" s="63"/>
      <c r="U72" s="63"/>
    </row>
    <row r="73" spans="17:21" ht="16">
      <c r="Q73">
        <v>0.53339999999999999</v>
      </c>
      <c r="R73" s="64">
        <f>AVERAGE(Q73:Q74)</f>
        <v>0.53339999999999999</v>
      </c>
      <c r="S73" s="63" t="s">
        <v>142</v>
      </c>
      <c r="T73" s="64" t="e">
        <f>STDEV(Q73:Q74)</f>
        <v>#DIV/0!</v>
      </c>
      <c r="U73" s="63" t="s">
        <v>142</v>
      </c>
    </row>
    <row r="74" spans="17:21">
      <c r="Q74" s="63"/>
      <c r="R74" s="63"/>
      <c r="S74" s="63"/>
      <c r="T74" s="63"/>
      <c r="U74" s="63"/>
    </row>
    <row r="75" spans="17:21">
      <c r="Q75" s="63"/>
      <c r="R75" s="63"/>
      <c r="S75" s="63"/>
      <c r="T75" s="63"/>
      <c r="U75" s="63"/>
    </row>
    <row r="76" spans="17:21">
      <c r="R76" t="s">
        <v>143</v>
      </c>
    </row>
    <row r="78" spans="17:21">
      <c r="R78">
        <f>LN(2)/R73</f>
        <v>1.299488527483962</v>
      </c>
      <c r="S78" t="s">
        <v>139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B1:S48"/>
  <sheetViews>
    <sheetView topLeftCell="A14" workbookViewId="0">
      <selection activeCell="M27" sqref="M27"/>
    </sheetView>
  </sheetViews>
  <sheetFormatPr baseColWidth="10" defaultColWidth="8.83203125" defaultRowHeight="14" x14ac:dyDescent="0"/>
  <cols>
    <col min="1" max="2" width="8.83203125" style="88"/>
    <col min="3" max="3" width="9.83203125" style="88" customWidth="1"/>
    <col min="4" max="17" width="8.83203125" style="88"/>
    <col min="18" max="18" width="13.83203125" style="88" bestFit="1" customWidth="1"/>
    <col min="19" max="16384" width="8.83203125" style="88"/>
  </cols>
  <sheetData>
    <row r="1" spans="2:19">
      <c r="B1" s="137" t="s">
        <v>4</v>
      </c>
      <c r="C1" s="139" t="s">
        <v>188</v>
      </c>
      <c r="D1" s="140" t="s">
        <v>18</v>
      </c>
      <c r="E1" s="140"/>
      <c r="F1" s="140"/>
      <c r="G1" s="140"/>
      <c r="H1" s="140" t="s">
        <v>20</v>
      </c>
      <c r="I1" s="140"/>
      <c r="J1" s="140"/>
      <c r="K1" s="140"/>
      <c r="L1" s="140" t="s">
        <v>21</v>
      </c>
      <c r="M1" s="140"/>
      <c r="N1" s="140"/>
      <c r="O1" s="140"/>
      <c r="P1" s="87" t="s">
        <v>22</v>
      </c>
      <c r="Q1" s="87" t="s">
        <v>22</v>
      </c>
      <c r="R1" s="87" t="s">
        <v>22</v>
      </c>
    </row>
    <row r="2" spans="2:19">
      <c r="B2" s="138"/>
      <c r="C2" s="138"/>
      <c r="D2" s="89" t="s">
        <v>19</v>
      </c>
      <c r="E2" s="89" t="s">
        <v>67</v>
      </c>
      <c r="F2" s="89" t="s">
        <v>68</v>
      </c>
      <c r="G2" s="89" t="s">
        <v>69</v>
      </c>
      <c r="H2" s="89" t="s">
        <v>19</v>
      </c>
      <c r="I2" s="89" t="s">
        <v>67</v>
      </c>
      <c r="J2" s="89" t="s">
        <v>68</v>
      </c>
      <c r="K2" s="89" t="s">
        <v>69</v>
      </c>
      <c r="L2" s="89" t="s">
        <v>19</v>
      </c>
      <c r="M2" s="89" t="s">
        <v>67</v>
      </c>
      <c r="N2" s="89" t="s">
        <v>68</v>
      </c>
      <c r="O2" s="89" t="s">
        <v>70</v>
      </c>
      <c r="P2" s="90" t="s">
        <v>69</v>
      </c>
      <c r="Q2" s="90" t="s">
        <v>23</v>
      </c>
      <c r="R2" s="90" t="s">
        <v>71</v>
      </c>
    </row>
    <row r="3" spans="2:19">
      <c r="B3" s="91"/>
      <c r="C3" s="91"/>
      <c r="D3" s="92"/>
      <c r="E3" s="92"/>
      <c r="F3" s="92"/>
      <c r="G3" s="93"/>
      <c r="H3" s="92"/>
      <c r="I3" s="92"/>
      <c r="J3" s="92"/>
      <c r="K3" s="93"/>
      <c r="L3" s="92"/>
      <c r="M3" s="92"/>
      <c r="N3" s="92"/>
      <c r="O3" s="93"/>
      <c r="P3" s="134"/>
      <c r="Q3" s="135"/>
      <c r="R3" s="136"/>
    </row>
    <row r="4" spans="2:19">
      <c r="B4" s="94" t="s">
        <v>189</v>
      </c>
      <c r="C4" s="95">
        <v>500</v>
      </c>
      <c r="D4" s="95">
        <v>3</v>
      </c>
      <c r="E4" s="95">
        <v>14133</v>
      </c>
      <c r="F4" s="95">
        <v>7</v>
      </c>
      <c r="G4" s="93">
        <f>(E4/F4)*(10.2)*POWER(10,D4+2)</f>
        <v>2059380000</v>
      </c>
      <c r="H4" s="95">
        <v>3</v>
      </c>
      <c r="I4" s="95">
        <v>15082</v>
      </c>
      <c r="J4" s="95">
        <v>7</v>
      </c>
      <c r="K4" s="93">
        <f t="shared" ref="K4:K18" si="0">(I4/J4)*(10.2)*POWER(10,H4+2)</f>
        <v>2197662857.1428571</v>
      </c>
      <c r="L4" s="95">
        <v>3</v>
      </c>
      <c r="M4" s="95">
        <v>15922</v>
      </c>
      <c r="N4" s="95">
        <v>7</v>
      </c>
      <c r="O4" s="93">
        <f t="shared" ref="O4:O19" si="1">(M4/N4)*(10.2)*POWER(10,L4+2)</f>
        <v>2320062857.1428571</v>
      </c>
      <c r="P4" s="96">
        <f t="shared" ref="P4:P19" si="2">AVERAGE(O4,K4,G4)</f>
        <v>2192368571.4285712</v>
      </c>
      <c r="Q4" s="96">
        <f t="shared" ref="Q4:Q19" si="3">STDEV(O4,K4,G4)</f>
        <v>130422046.05801573</v>
      </c>
      <c r="R4" s="97">
        <f>LOG(P4)</f>
        <v>9.3409135676416426</v>
      </c>
    </row>
    <row r="5" spans="2:19">
      <c r="B5" s="94" t="s">
        <v>190</v>
      </c>
      <c r="C5" s="95">
        <v>500</v>
      </c>
      <c r="D5" s="95">
        <v>2</v>
      </c>
      <c r="E5" s="95">
        <v>16544</v>
      </c>
      <c r="F5" s="95">
        <v>7</v>
      </c>
      <c r="G5" s="93">
        <f t="shared" ref="G5:G19" si="4">(E5/F5)*(10.2)*POWER(10,D5+2)</f>
        <v>241069714.2857143</v>
      </c>
      <c r="H5" s="95">
        <v>2</v>
      </c>
      <c r="I5" s="95">
        <v>15924</v>
      </c>
      <c r="J5" s="95">
        <v>7</v>
      </c>
      <c r="K5" s="93">
        <f t="shared" si="0"/>
        <v>232035428.57142854</v>
      </c>
      <c r="L5" s="95">
        <v>2</v>
      </c>
      <c r="M5" s="95">
        <v>15173</v>
      </c>
      <c r="N5" s="95">
        <v>7</v>
      </c>
      <c r="O5" s="93">
        <f t="shared" si="1"/>
        <v>221092285.71428567</v>
      </c>
      <c r="P5" s="96">
        <f t="shared" si="2"/>
        <v>231399142.85714284</v>
      </c>
      <c r="Q5" s="96">
        <f t="shared" si="3"/>
        <v>10003902.124385577</v>
      </c>
      <c r="R5" s="97">
        <f t="shared" ref="R5:R19" si="5">LOG(P5)</f>
        <v>8.3643617459160655</v>
      </c>
    </row>
    <row r="6" spans="2:19">
      <c r="B6" s="94" t="s">
        <v>191</v>
      </c>
      <c r="C6" s="95">
        <v>500</v>
      </c>
      <c r="D6" s="95">
        <v>1</v>
      </c>
      <c r="E6" s="95">
        <v>18107</v>
      </c>
      <c r="F6" s="95">
        <v>7</v>
      </c>
      <c r="G6" s="93">
        <f t="shared" si="4"/>
        <v>26384485.714285713</v>
      </c>
      <c r="H6" s="95">
        <v>1</v>
      </c>
      <c r="I6" s="95">
        <v>18423</v>
      </c>
      <c r="J6" s="95">
        <v>7</v>
      </c>
      <c r="K6" s="93">
        <f t="shared" si="0"/>
        <v>26844942.857142854</v>
      </c>
      <c r="L6" s="95">
        <v>1</v>
      </c>
      <c r="M6" s="95">
        <v>17005</v>
      </c>
      <c r="N6" s="95">
        <v>7</v>
      </c>
      <c r="O6" s="93">
        <f t="shared" si="1"/>
        <v>24778714.285714284</v>
      </c>
      <c r="P6" s="96">
        <f t="shared" si="2"/>
        <v>26002714.285714284</v>
      </c>
      <c r="Q6" s="96">
        <f t="shared" si="3"/>
        <v>1084729.0883451225</v>
      </c>
      <c r="R6" s="97">
        <f t="shared" si="5"/>
        <v>7.4150186840393397</v>
      </c>
    </row>
    <row r="7" spans="2:19">
      <c r="B7" s="94" t="s">
        <v>192</v>
      </c>
      <c r="C7" s="95">
        <v>500</v>
      </c>
      <c r="D7" s="95">
        <v>1</v>
      </c>
      <c r="E7" s="95">
        <v>1825</v>
      </c>
      <c r="F7" s="95">
        <v>7</v>
      </c>
      <c r="G7" s="93">
        <f t="shared" si="4"/>
        <v>2659285.7142857141</v>
      </c>
      <c r="H7" s="95">
        <v>1</v>
      </c>
      <c r="I7" s="95">
        <v>1808</v>
      </c>
      <c r="J7" s="95">
        <v>7</v>
      </c>
      <c r="K7" s="93">
        <f t="shared" si="0"/>
        <v>2634514.2857142854</v>
      </c>
      <c r="L7" s="95">
        <v>1</v>
      </c>
      <c r="M7" s="95">
        <v>1822</v>
      </c>
      <c r="N7" s="95">
        <v>7</v>
      </c>
      <c r="O7" s="93">
        <f t="shared" si="1"/>
        <v>2654914.2857142854</v>
      </c>
      <c r="P7" s="96">
        <f t="shared" si="2"/>
        <v>2649571.4285714286</v>
      </c>
      <c r="Q7" s="96">
        <f t="shared" si="3"/>
        <v>13221.78165770719</v>
      </c>
      <c r="R7" s="97">
        <f t="shared" si="5"/>
        <v>6.4231756319523594</v>
      </c>
      <c r="S7" s="101" t="s">
        <v>118</v>
      </c>
    </row>
    <row r="8" spans="2:19">
      <c r="B8" s="94" t="s">
        <v>193</v>
      </c>
      <c r="C8" s="95">
        <v>500</v>
      </c>
      <c r="D8" s="95">
        <v>0</v>
      </c>
      <c r="E8" s="95">
        <v>2306</v>
      </c>
      <c r="F8" s="95">
        <v>7</v>
      </c>
      <c r="G8" s="93">
        <f t="shared" si="4"/>
        <v>336017.14285714284</v>
      </c>
      <c r="H8" s="95">
        <v>0</v>
      </c>
      <c r="I8" s="95">
        <v>2052</v>
      </c>
      <c r="J8" s="95">
        <v>7</v>
      </c>
      <c r="K8" s="93">
        <f t="shared" si="0"/>
        <v>299005.71428571432</v>
      </c>
      <c r="L8" s="95">
        <v>0</v>
      </c>
      <c r="M8" s="95">
        <v>2049</v>
      </c>
      <c r="N8" s="95">
        <v>7</v>
      </c>
      <c r="O8" s="93">
        <f t="shared" si="1"/>
        <v>298568.57142857142</v>
      </c>
      <c r="P8" s="96">
        <f t="shared" si="2"/>
        <v>311197.14285714284</v>
      </c>
      <c r="Q8" s="96">
        <f t="shared" si="3"/>
        <v>21495.861775453133</v>
      </c>
      <c r="R8" s="97">
        <f t="shared" si="5"/>
        <v>5.4930356010198587</v>
      </c>
    </row>
    <row r="9" spans="2:19">
      <c r="B9" s="94" t="s">
        <v>194</v>
      </c>
      <c r="C9" s="95">
        <v>1000</v>
      </c>
      <c r="D9" s="95">
        <v>3</v>
      </c>
      <c r="E9" s="95">
        <v>13995</v>
      </c>
      <c r="F9" s="95">
        <v>7</v>
      </c>
      <c r="G9" s="93">
        <f t="shared" si="4"/>
        <v>2039271428.5714283</v>
      </c>
      <c r="H9" s="95">
        <v>3</v>
      </c>
      <c r="I9" s="95">
        <v>13769</v>
      </c>
      <c r="J9" s="95">
        <v>7</v>
      </c>
      <c r="K9" s="93">
        <f t="shared" si="0"/>
        <v>2006339999.9999998</v>
      </c>
      <c r="L9" s="95">
        <v>3</v>
      </c>
      <c r="M9" s="95">
        <v>15093</v>
      </c>
      <c r="N9" s="95">
        <v>7</v>
      </c>
      <c r="O9" s="93">
        <f t="shared" si="1"/>
        <v>2199265714.2857146</v>
      </c>
      <c r="P9" s="96">
        <f t="shared" si="2"/>
        <v>2081625714.2857141</v>
      </c>
      <c r="Q9" s="96">
        <f t="shared" si="3"/>
        <v>103201244.89045103</v>
      </c>
      <c r="R9" s="97">
        <f t="shared" si="5"/>
        <v>9.3184026440827186</v>
      </c>
    </row>
    <row r="10" spans="2:19">
      <c r="B10" s="94" t="s">
        <v>195</v>
      </c>
      <c r="C10" s="95">
        <v>900</v>
      </c>
      <c r="D10" s="95">
        <v>3</v>
      </c>
      <c r="E10" s="95">
        <v>6387</v>
      </c>
      <c r="F10" s="95">
        <v>7</v>
      </c>
      <c r="G10" s="93">
        <f t="shared" si="4"/>
        <v>930677142.85714281</v>
      </c>
      <c r="H10" s="95">
        <v>3</v>
      </c>
      <c r="I10" s="95">
        <v>7378</v>
      </c>
      <c r="J10" s="95">
        <v>7</v>
      </c>
      <c r="K10" s="93">
        <f t="shared" si="0"/>
        <v>1075080000</v>
      </c>
      <c r="L10" s="95">
        <v>3</v>
      </c>
      <c r="M10" s="95">
        <v>6564</v>
      </c>
      <c r="N10" s="95">
        <v>7</v>
      </c>
      <c r="O10" s="93">
        <f t="shared" si="1"/>
        <v>956468571.42857134</v>
      </c>
      <c r="P10" s="96">
        <f t="shared" si="2"/>
        <v>987408571.42857134</v>
      </c>
      <c r="Q10" s="96">
        <f t="shared" si="3"/>
        <v>77013044.270143658</v>
      </c>
      <c r="R10" s="97">
        <f t="shared" si="5"/>
        <v>8.9944968928936131</v>
      </c>
    </row>
    <row r="11" spans="2:19">
      <c r="B11" s="94" t="s">
        <v>196</v>
      </c>
      <c r="C11" s="95">
        <v>900</v>
      </c>
      <c r="D11" s="95">
        <v>3</v>
      </c>
      <c r="E11" s="95">
        <v>3341</v>
      </c>
      <c r="F11" s="95">
        <v>7</v>
      </c>
      <c r="G11" s="93">
        <f t="shared" si="4"/>
        <v>486831428.5714286</v>
      </c>
      <c r="H11" s="95">
        <v>3</v>
      </c>
      <c r="I11" s="95">
        <v>3712</v>
      </c>
      <c r="J11" s="95">
        <v>7</v>
      </c>
      <c r="K11" s="93">
        <f t="shared" si="0"/>
        <v>540891428.57142866</v>
      </c>
      <c r="L11" s="95">
        <v>3</v>
      </c>
      <c r="M11" s="95">
        <v>3690</v>
      </c>
      <c r="N11" s="95">
        <v>7</v>
      </c>
      <c r="O11" s="93">
        <f t="shared" si="1"/>
        <v>537685714.28571427</v>
      </c>
      <c r="P11" s="96">
        <f t="shared" si="2"/>
        <v>521802857.14285713</v>
      </c>
      <c r="Q11" s="96">
        <f t="shared" si="3"/>
        <v>30328530.516088422</v>
      </c>
      <c r="R11" s="97">
        <f t="shared" si="5"/>
        <v>8.7175064527595634</v>
      </c>
    </row>
    <row r="12" spans="2:19">
      <c r="B12" s="94" t="s">
        <v>197</v>
      </c>
      <c r="C12" s="95">
        <v>900</v>
      </c>
      <c r="D12" s="95">
        <v>2</v>
      </c>
      <c r="E12" s="95">
        <v>19134</v>
      </c>
      <c r="F12" s="95">
        <v>7</v>
      </c>
      <c r="G12" s="93">
        <f>(E12/F12)*(10.2)*POWER(10,D12+2)</f>
        <v>278809714.28571427</v>
      </c>
      <c r="H12" s="95">
        <v>2</v>
      </c>
      <c r="I12" s="95">
        <v>18838</v>
      </c>
      <c r="J12" s="95">
        <v>7</v>
      </c>
      <c r="K12" s="93">
        <f t="shared" si="0"/>
        <v>274496571.42857146</v>
      </c>
      <c r="L12" s="95">
        <v>2</v>
      </c>
      <c r="M12" s="95">
        <v>18096</v>
      </c>
      <c r="N12" s="95">
        <v>7</v>
      </c>
      <c r="O12" s="93">
        <f t="shared" si="1"/>
        <v>263684571.42857143</v>
      </c>
      <c r="P12" s="96">
        <f t="shared" si="2"/>
        <v>272330285.71428573</v>
      </c>
      <c r="Q12" s="96">
        <f t="shared" si="3"/>
        <v>7791795.8109272597</v>
      </c>
      <c r="R12" s="97">
        <f t="shared" si="5"/>
        <v>8.4350959416969342</v>
      </c>
    </row>
    <row r="13" spans="2:19">
      <c r="B13" s="94" t="s">
        <v>198</v>
      </c>
      <c r="C13" s="95">
        <v>900</v>
      </c>
      <c r="D13" s="95">
        <v>2</v>
      </c>
      <c r="E13" s="95">
        <v>9224</v>
      </c>
      <c r="F13" s="95">
        <v>7</v>
      </c>
      <c r="G13" s="93">
        <f t="shared" si="4"/>
        <v>134406857.14285713</v>
      </c>
      <c r="H13" s="95">
        <v>2</v>
      </c>
      <c r="I13" s="95">
        <v>9341</v>
      </c>
      <c r="J13" s="95">
        <v>7</v>
      </c>
      <c r="K13" s="93">
        <f t="shared" si="0"/>
        <v>136111714.28571427</v>
      </c>
      <c r="L13" s="95">
        <v>2</v>
      </c>
      <c r="M13" s="95">
        <v>9173</v>
      </c>
      <c r="N13" s="95">
        <v>7</v>
      </c>
      <c r="O13" s="93">
        <f t="shared" si="1"/>
        <v>133663714.28571427</v>
      </c>
      <c r="P13" s="96">
        <f t="shared" si="2"/>
        <v>134727428.57142857</v>
      </c>
      <c r="Q13" s="96">
        <f t="shared" si="3"/>
        <v>1255089.8496172463</v>
      </c>
      <c r="R13" s="97">
        <f t="shared" si="5"/>
        <v>8.1294560208497231</v>
      </c>
    </row>
    <row r="14" spans="2:19">
      <c r="B14" s="94" t="s">
        <v>199</v>
      </c>
      <c r="C14" s="95">
        <v>900</v>
      </c>
      <c r="D14" s="95">
        <v>2</v>
      </c>
      <c r="E14" s="95">
        <v>4238</v>
      </c>
      <c r="F14" s="95">
        <v>7</v>
      </c>
      <c r="G14" s="93">
        <f t="shared" si="4"/>
        <v>61753714.285714284</v>
      </c>
      <c r="H14" s="95">
        <v>2</v>
      </c>
      <c r="I14" s="95">
        <v>4832</v>
      </c>
      <c r="J14" s="95">
        <v>7</v>
      </c>
      <c r="K14" s="93">
        <f t="shared" si="0"/>
        <v>70409142.857142866</v>
      </c>
      <c r="L14" s="95">
        <v>2</v>
      </c>
      <c r="M14" s="95">
        <v>4770</v>
      </c>
      <c r="N14" s="95">
        <v>7</v>
      </c>
      <c r="O14" s="93">
        <f t="shared" si="1"/>
        <v>69505714.285714284</v>
      </c>
      <c r="P14" s="96">
        <f t="shared" si="2"/>
        <v>67222857.142857134</v>
      </c>
      <c r="Q14" s="96">
        <f t="shared" si="3"/>
        <v>4757907.9950957391</v>
      </c>
      <c r="R14" s="97">
        <f t="shared" si="5"/>
        <v>7.8275169671487372</v>
      </c>
    </row>
    <row r="15" spans="2:19">
      <c r="B15" s="94" t="s">
        <v>200</v>
      </c>
      <c r="C15" s="95">
        <v>900</v>
      </c>
      <c r="D15" s="95">
        <v>1</v>
      </c>
      <c r="E15" s="95">
        <v>22411</v>
      </c>
      <c r="F15" s="95">
        <v>7</v>
      </c>
      <c r="G15" s="93">
        <f t="shared" si="4"/>
        <v>32656028.571428567</v>
      </c>
      <c r="H15" s="95">
        <v>1</v>
      </c>
      <c r="I15" s="95">
        <v>23826</v>
      </c>
      <c r="J15" s="95">
        <v>7</v>
      </c>
      <c r="K15" s="93">
        <f t="shared" si="0"/>
        <v>34717885.714285716</v>
      </c>
      <c r="L15" s="95">
        <v>1</v>
      </c>
      <c r="M15" s="95">
        <v>24471</v>
      </c>
      <c r="N15" s="95">
        <v>7</v>
      </c>
      <c r="O15" s="93">
        <f t="shared" si="1"/>
        <v>35657742.857142851</v>
      </c>
      <c r="P15" s="96">
        <f t="shared" si="2"/>
        <v>34343885.714285709</v>
      </c>
      <c r="Q15" s="96">
        <f t="shared" si="3"/>
        <v>1535408.4678890193</v>
      </c>
      <c r="R15" s="97">
        <f t="shared" si="5"/>
        <v>7.5358494302775298</v>
      </c>
    </row>
    <row r="16" spans="2:19">
      <c r="B16" s="94" t="s">
        <v>201</v>
      </c>
      <c r="C16" s="95">
        <v>900</v>
      </c>
      <c r="D16" s="95">
        <v>1</v>
      </c>
      <c r="E16" s="95">
        <v>12012</v>
      </c>
      <c r="F16" s="95">
        <v>7</v>
      </c>
      <c r="G16" s="93">
        <f t="shared" si="4"/>
        <v>17503199.999999996</v>
      </c>
      <c r="H16" s="95">
        <v>1</v>
      </c>
      <c r="I16" s="95">
        <v>12668</v>
      </c>
      <c r="J16" s="95">
        <v>7</v>
      </c>
      <c r="K16" s="93">
        <f t="shared" si="0"/>
        <v>18459085.714285713</v>
      </c>
      <c r="L16" s="95">
        <v>1</v>
      </c>
      <c r="M16" s="95">
        <v>11470</v>
      </c>
      <c r="N16" s="95">
        <v>7</v>
      </c>
      <c r="O16" s="93">
        <f t="shared" si="1"/>
        <v>16713428.571428573</v>
      </c>
      <c r="P16" s="96">
        <f t="shared" si="2"/>
        <v>17558571.428571429</v>
      </c>
      <c r="Q16" s="96">
        <f t="shared" si="3"/>
        <v>874144.84579420183</v>
      </c>
      <c r="R16" s="97">
        <f t="shared" si="5"/>
        <v>7.2444891786585481</v>
      </c>
    </row>
    <row r="17" spans="2:18">
      <c r="B17" s="94" t="s">
        <v>202</v>
      </c>
      <c r="C17" s="95">
        <v>900</v>
      </c>
      <c r="D17" s="95">
        <v>1</v>
      </c>
      <c r="E17" s="95">
        <v>5750</v>
      </c>
      <c r="F17" s="95">
        <v>7</v>
      </c>
      <c r="G17" s="93">
        <f t="shared" si="4"/>
        <v>8378571.4285714272</v>
      </c>
      <c r="H17" s="95">
        <v>1</v>
      </c>
      <c r="I17" s="95">
        <v>5481</v>
      </c>
      <c r="J17" s="95">
        <v>7</v>
      </c>
      <c r="K17" s="93">
        <f t="shared" si="0"/>
        <v>7986599.9999999991</v>
      </c>
      <c r="L17" s="95">
        <v>1</v>
      </c>
      <c r="M17" s="95">
        <v>5831</v>
      </c>
      <c r="N17" s="95">
        <v>7</v>
      </c>
      <c r="O17" s="93">
        <f t="shared" si="1"/>
        <v>8496599.9999999981</v>
      </c>
      <c r="P17" s="96">
        <f t="shared" si="2"/>
        <v>8287257.1428571418</v>
      </c>
      <c r="Q17" s="96">
        <f t="shared" si="3"/>
        <v>266980.75601367303</v>
      </c>
      <c r="R17" s="97">
        <f t="shared" si="5"/>
        <v>6.9184108146481318</v>
      </c>
    </row>
    <row r="18" spans="2:18">
      <c r="B18" s="94" t="s">
        <v>203</v>
      </c>
      <c r="C18" s="95">
        <v>900</v>
      </c>
      <c r="D18" s="95">
        <v>1</v>
      </c>
      <c r="E18" s="95">
        <v>2868</v>
      </c>
      <c r="F18" s="95">
        <v>7</v>
      </c>
      <c r="G18" s="93">
        <f t="shared" si="4"/>
        <v>4179085.7142857141</v>
      </c>
      <c r="H18" s="95">
        <v>1</v>
      </c>
      <c r="I18" s="95">
        <v>2835</v>
      </c>
      <c r="J18" s="95">
        <v>7</v>
      </c>
      <c r="K18" s="93">
        <f t="shared" si="0"/>
        <v>4131000</v>
      </c>
      <c r="L18" s="95">
        <v>1</v>
      </c>
      <c r="M18" s="95">
        <v>2976</v>
      </c>
      <c r="N18" s="95">
        <v>7</v>
      </c>
      <c r="O18" s="93">
        <f t="shared" si="1"/>
        <v>4336457.1428571427</v>
      </c>
      <c r="P18" s="96">
        <f t="shared" si="2"/>
        <v>4215514.2857142854</v>
      </c>
      <c r="Q18" s="96">
        <f t="shared" si="3"/>
        <v>107463.6682790979</v>
      </c>
      <c r="R18" s="97">
        <f t="shared" si="5"/>
        <v>6.6248505653956435</v>
      </c>
    </row>
    <row r="19" spans="2:18">
      <c r="B19" s="94" t="s">
        <v>204</v>
      </c>
      <c r="C19" s="95">
        <v>900</v>
      </c>
      <c r="D19" s="95">
        <v>0</v>
      </c>
      <c r="E19" s="95">
        <v>10096</v>
      </c>
      <c r="F19" s="95">
        <v>7</v>
      </c>
      <c r="G19" s="93">
        <f t="shared" si="4"/>
        <v>1471131.4285714284</v>
      </c>
      <c r="H19" s="95">
        <v>0</v>
      </c>
      <c r="I19" s="95">
        <v>8923</v>
      </c>
      <c r="J19" s="95">
        <v>7</v>
      </c>
      <c r="K19" s="93">
        <f>(I19/J19)*(10.2)*POWER(10,H19+2)</f>
        <v>1300208.5714285716</v>
      </c>
      <c r="L19" s="95">
        <v>0</v>
      </c>
      <c r="M19" s="95">
        <v>8050</v>
      </c>
      <c r="N19" s="95">
        <v>7</v>
      </c>
      <c r="O19" s="93">
        <f t="shared" si="1"/>
        <v>1173000</v>
      </c>
      <c r="P19" s="96">
        <f t="shared" si="2"/>
        <v>1314780</v>
      </c>
      <c r="Q19" s="96">
        <f t="shared" si="3"/>
        <v>149598.9039848533</v>
      </c>
      <c r="R19" s="97">
        <f t="shared" si="5"/>
        <v>6.118853089115321</v>
      </c>
    </row>
    <row r="20" spans="2:18" ht="15" thickBot="1"/>
    <row r="21" spans="2:18" ht="55" customHeight="1" thickBot="1">
      <c r="B21" s="98" t="s">
        <v>4</v>
      </c>
      <c r="C21" s="98" t="s">
        <v>205</v>
      </c>
      <c r="D21" s="98" t="s">
        <v>206</v>
      </c>
      <c r="E21" s="98" t="s">
        <v>207</v>
      </c>
      <c r="F21" s="98" t="s">
        <v>208</v>
      </c>
      <c r="G21" s="99" t="s">
        <v>209</v>
      </c>
      <c r="H21" s="100" t="s">
        <v>210</v>
      </c>
      <c r="I21" s="100" t="s">
        <v>211</v>
      </c>
      <c r="J21" s="100" t="s">
        <v>212</v>
      </c>
      <c r="K21" s="100" t="s">
        <v>213</v>
      </c>
      <c r="L21" s="100" t="s">
        <v>214</v>
      </c>
      <c r="M21" s="101" t="s">
        <v>215</v>
      </c>
    </row>
    <row r="23" spans="2:18">
      <c r="B23" s="94" t="s">
        <v>189</v>
      </c>
      <c r="C23" s="102">
        <v>16.382114410400391</v>
      </c>
      <c r="D23" s="102">
        <v>16.2430419921875</v>
      </c>
      <c r="E23" s="102">
        <v>16.416009902954102</v>
      </c>
      <c r="F23" s="102">
        <f>AVERAGE(C23:E23)</f>
        <v>16.347055435180664</v>
      </c>
      <c r="G23" s="88">
        <f>15*180/4*1000/900</f>
        <v>750</v>
      </c>
      <c r="H23" s="88">
        <f>LOG(G23)/LOG(2)</f>
        <v>9.5507467853832431</v>
      </c>
      <c r="I23" s="95">
        <f>C23-H23</f>
        <v>6.8313676250171476</v>
      </c>
      <c r="J23" s="95">
        <f>D23-H23</f>
        <v>6.6922952068042569</v>
      </c>
      <c r="K23" s="95">
        <f>E23-H23</f>
        <v>6.8652631175708585</v>
      </c>
      <c r="L23" s="103">
        <f>AVERAGE(I23:K23)</f>
        <v>6.796308649797421</v>
      </c>
    </row>
    <row r="24" spans="2:18">
      <c r="B24" s="94" t="s">
        <v>190</v>
      </c>
      <c r="C24" s="102">
        <v>20.246736526489258</v>
      </c>
      <c r="D24" s="102">
        <v>20.337041854858398</v>
      </c>
      <c r="E24" s="102">
        <v>20.223323822021484</v>
      </c>
      <c r="F24" s="102">
        <f t="shared" ref="F24:F38" si="6">AVERAGE(C24:E24)</f>
        <v>20.269034067789715</v>
      </c>
      <c r="G24" s="88">
        <f t="shared" ref="G24:G26" si="7">15*180/4*1000/900</f>
        <v>750</v>
      </c>
      <c r="H24" s="88">
        <f t="shared" ref="H24:H38" si="8">LOG(G24)/LOG(2)</f>
        <v>9.5507467853832431</v>
      </c>
      <c r="I24" s="95">
        <f t="shared" ref="I24:I38" si="9">C24-H24</f>
        <v>10.695989741106015</v>
      </c>
      <c r="J24" s="95">
        <f t="shared" ref="J24:J38" si="10">D24-H24</f>
        <v>10.786295069475155</v>
      </c>
      <c r="K24" s="95">
        <f t="shared" ref="K24:K38" si="11">E24-H24</f>
        <v>10.672577036638241</v>
      </c>
      <c r="L24" s="103">
        <f t="shared" ref="L24:L38" si="12">AVERAGE(I24:K24)</f>
        <v>10.71828728240647</v>
      </c>
    </row>
    <row r="25" spans="2:18">
      <c r="B25" s="94" t="s">
        <v>191</v>
      </c>
      <c r="C25" s="102">
        <v>23.471084594726562</v>
      </c>
      <c r="D25" s="102">
        <v>23.434993743896484</v>
      </c>
      <c r="E25" s="102">
        <v>23.65556526184082</v>
      </c>
      <c r="F25" s="102">
        <f t="shared" si="6"/>
        <v>23.520547866821289</v>
      </c>
      <c r="G25" s="88">
        <f t="shared" si="7"/>
        <v>750</v>
      </c>
      <c r="H25" s="88">
        <f t="shared" si="8"/>
        <v>9.5507467853832431</v>
      </c>
      <c r="I25" s="95">
        <f t="shared" si="9"/>
        <v>13.920337809343319</v>
      </c>
      <c r="J25" s="95">
        <f t="shared" si="10"/>
        <v>13.884246958513241</v>
      </c>
      <c r="K25" s="95">
        <f t="shared" si="11"/>
        <v>14.104818476457577</v>
      </c>
      <c r="L25" s="103">
        <f t="shared" si="12"/>
        <v>13.969801081438044</v>
      </c>
    </row>
    <row r="26" spans="2:18">
      <c r="B26" s="94" t="s">
        <v>192</v>
      </c>
      <c r="C26" s="102">
        <v>27.687118530273438</v>
      </c>
      <c r="D26" s="102">
        <v>27.683933258056641</v>
      </c>
      <c r="E26" s="102">
        <v>27.721792221069336</v>
      </c>
      <c r="F26" s="102">
        <f t="shared" si="6"/>
        <v>27.697614669799805</v>
      </c>
      <c r="G26" s="88">
        <f t="shared" si="7"/>
        <v>750</v>
      </c>
      <c r="H26" s="88">
        <f t="shared" si="8"/>
        <v>9.5507467853832431</v>
      </c>
      <c r="I26" s="95">
        <f t="shared" si="9"/>
        <v>18.136371744890194</v>
      </c>
      <c r="J26" s="95">
        <f t="shared" si="10"/>
        <v>18.133186472673398</v>
      </c>
      <c r="K26" s="95">
        <f t="shared" si="11"/>
        <v>18.171045435686093</v>
      </c>
      <c r="L26" s="103">
        <f t="shared" si="12"/>
        <v>18.146867884416562</v>
      </c>
    </row>
    <row r="27" spans="2:18">
      <c r="B27" s="94" t="s">
        <v>193</v>
      </c>
      <c r="C27" s="102">
        <v>31.580327987670898</v>
      </c>
      <c r="D27" s="102">
        <v>31.876550674438477</v>
      </c>
      <c r="E27" s="102">
        <v>31.972114562988281</v>
      </c>
      <c r="F27" s="102">
        <f t="shared" si="6"/>
        <v>31.809664408365887</v>
      </c>
      <c r="G27" s="88">
        <f>15*180/4*1000/900</f>
        <v>750</v>
      </c>
      <c r="H27" s="88">
        <f>LOG(G27)/LOG(2)</f>
        <v>9.5507467853832431</v>
      </c>
      <c r="I27" s="95">
        <f t="shared" si="9"/>
        <v>22.029581202287655</v>
      </c>
      <c r="J27" s="95">
        <f t="shared" si="10"/>
        <v>22.325803889055233</v>
      </c>
      <c r="K27" s="95">
        <f t="shared" si="11"/>
        <v>22.421367777605038</v>
      </c>
      <c r="L27" s="103">
        <f t="shared" si="12"/>
        <v>22.25891762298264</v>
      </c>
      <c r="M27" s="101" t="s">
        <v>118</v>
      </c>
    </row>
    <row r="28" spans="2:18">
      <c r="B28" s="94" t="s">
        <v>194</v>
      </c>
      <c r="C28" s="102">
        <v>16.648801803588867</v>
      </c>
      <c r="D28" s="102">
        <v>17.485513687133789</v>
      </c>
      <c r="E28" s="102">
        <v>16.725131988525391</v>
      </c>
      <c r="F28" s="102">
        <f t="shared" si="6"/>
        <v>16.953149159749348</v>
      </c>
      <c r="G28" s="88">
        <f>15*180/4*1000/1000</f>
        <v>675</v>
      </c>
      <c r="H28" s="88">
        <f t="shared" si="8"/>
        <v>9.3987436919381935</v>
      </c>
      <c r="I28" s="95">
        <f t="shared" si="9"/>
        <v>7.2500581116506737</v>
      </c>
      <c r="J28" s="95">
        <f t="shared" si="10"/>
        <v>8.0867699951955956</v>
      </c>
      <c r="K28" s="95">
        <f t="shared" si="11"/>
        <v>7.3263882965871971</v>
      </c>
      <c r="L28" s="103">
        <f t="shared" si="12"/>
        <v>7.5544054678111552</v>
      </c>
    </row>
    <row r="29" spans="2:18">
      <c r="B29" s="94" t="s">
        <v>195</v>
      </c>
      <c r="C29" s="102">
        <v>19.15205192565918</v>
      </c>
      <c r="D29" s="102">
        <v>18.957448959350586</v>
      </c>
      <c r="E29" s="102">
        <v>18.855649948120117</v>
      </c>
      <c r="F29" s="102">
        <f t="shared" si="6"/>
        <v>18.988383611043293</v>
      </c>
      <c r="G29" s="88">
        <f>15*180/4*1000/500</f>
        <v>1350</v>
      </c>
      <c r="H29" s="88">
        <f t="shared" si="8"/>
        <v>10.398743691938193</v>
      </c>
      <c r="I29" s="95">
        <f t="shared" si="9"/>
        <v>8.7533082337209862</v>
      </c>
      <c r="J29" s="95">
        <f t="shared" si="10"/>
        <v>8.5587052674123925</v>
      </c>
      <c r="K29" s="95">
        <f t="shared" si="11"/>
        <v>8.4569062561819237</v>
      </c>
      <c r="L29" s="103">
        <f t="shared" si="12"/>
        <v>8.5896399191051014</v>
      </c>
    </row>
    <row r="30" spans="2:18">
      <c r="B30" s="94" t="s">
        <v>196</v>
      </c>
      <c r="C30" s="102">
        <v>19.934587478637695</v>
      </c>
      <c r="D30" s="102">
        <v>19.768661499023438</v>
      </c>
      <c r="E30" s="102">
        <v>19.823604583740234</v>
      </c>
      <c r="F30" s="102">
        <f t="shared" si="6"/>
        <v>19.842284520467121</v>
      </c>
      <c r="G30" s="88">
        <f t="shared" ref="G30:G38" si="13">15*180/4*1000/500</f>
        <v>1350</v>
      </c>
      <c r="H30" s="88">
        <f t="shared" si="8"/>
        <v>10.398743691938193</v>
      </c>
      <c r="I30" s="95">
        <f t="shared" si="9"/>
        <v>9.5358437866995018</v>
      </c>
      <c r="J30" s="95">
        <f t="shared" si="10"/>
        <v>9.369917807085244</v>
      </c>
      <c r="K30" s="95">
        <f t="shared" si="11"/>
        <v>9.4248608918020409</v>
      </c>
      <c r="L30" s="103">
        <f t="shared" si="12"/>
        <v>9.4435408285289295</v>
      </c>
    </row>
    <row r="31" spans="2:18">
      <c r="B31" s="94" t="s">
        <v>197</v>
      </c>
      <c r="C31" s="102">
        <v>20.650510787963867</v>
      </c>
      <c r="D31" s="102">
        <v>20.447122573852539</v>
      </c>
      <c r="E31" s="102">
        <v>20.447004318237305</v>
      </c>
      <c r="F31" s="102">
        <f t="shared" si="6"/>
        <v>20.51487922668457</v>
      </c>
      <c r="G31" s="88">
        <f t="shared" si="13"/>
        <v>1350</v>
      </c>
      <c r="H31" s="88">
        <f t="shared" si="8"/>
        <v>10.398743691938193</v>
      </c>
      <c r="I31" s="95">
        <f t="shared" si="9"/>
        <v>10.251767096025674</v>
      </c>
      <c r="J31" s="95">
        <f t="shared" si="10"/>
        <v>10.048378881914346</v>
      </c>
      <c r="K31" s="95">
        <f t="shared" si="11"/>
        <v>10.048260626299111</v>
      </c>
      <c r="L31" s="103">
        <f t="shared" si="12"/>
        <v>10.116135534746377</v>
      </c>
    </row>
    <row r="32" spans="2:18">
      <c r="B32" s="94" t="s">
        <v>198</v>
      </c>
      <c r="C32" s="102">
        <v>21.825428009033203</v>
      </c>
      <c r="D32" s="102">
        <v>21.617404937744141</v>
      </c>
      <c r="E32" s="102">
        <v>21.863065719604492</v>
      </c>
      <c r="F32" s="102">
        <f t="shared" si="6"/>
        <v>21.768632888793945</v>
      </c>
      <c r="G32" s="88">
        <f t="shared" si="13"/>
        <v>1350</v>
      </c>
      <c r="H32" s="88">
        <f t="shared" si="8"/>
        <v>10.398743691938193</v>
      </c>
      <c r="I32" s="95">
        <f t="shared" si="9"/>
        <v>11.42668431709501</v>
      </c>
      <c r="J32" s="95">
        <f t="shared" si="10"/>
        <v>11.218661245805947</v>
      </c>
      <c r="K32" s="95">
        <f t="shared" si="11"/>
        <v>11.464322027666299</v>
      </c>
      <c r="L32" s="103">
        <f t="shared" si="12"/>
        <v>11.369889196855752</v>
      </c>
    </row>
    <row r="33" spans="2:12">
      <c r="B33" s="94" t="s">
        <v>199</v>
      </c>
      <c r="C33" s="102">
        <v>22.909189224243164</v>
      </c>
      <c r="D33" s="102">
        <v>22.986705780029297</v>
      </c>
      <c r="E33" s="102">
        <v>23.151363372802734</v>
      </c>
      <c r="F33" s="102">
        <f t="shared" si="6"/>
        <v>23.015752792358398</v>
      </c>
      <c r="G33" s="88">
        <f>15*180/4*1000/500</f>
        <v>1350</v>
      </c>
      <c r="H33" s="88">
        <f t="shared" si="8"/>
        <v>10.398743691938193</v>
      </c>
      <c r="I33" s="95">
        <f t="shared" si="9"/>
        <v>12.510445532304971</v>
      </c>
      <c r="J33" s="95">
        <f t="shared" si="10"/>
        <v>12.587962088091103</v>
      </c>
      <c r="K33" s="95">
        <f t="shared" si="11"/>
        <v>12.752619680864541</v>
      </c>
      <c r="L33" s="103">
        <f t="shared" si="12"/>
        <v>12.617009100420205</v>
      </c>
    </row>
    <row r="34" spans="2:12">
      <c r="B34" s="94" t="s">
        <v>200</v>
      </c>
      <c r="C34" s="102">
        <v>24.431295394897461</v>
      </c>
      <c r="D34" s="102">
        <v>24.009675979614258</v>
      </c>
      <c r="E34" s="102">
        <v>23.951196670532227</v>
      </c>
      <c r="F34" s="102">
        <f t="shared" si="6"/>
        <v>24.130722681681316</v>
      </c>
      <c r="G34" s="88">
        <f t="shared" si="13"/>
        <v>1350</v>
      </c>
      <c r="H34" s="88">
        <f t="shared" si="8"/>
        <v>10.398743691938193</v>
      </c>
      <c r="I34" s="95">
        <f t="shared" si="9"/>
        <v>14.032551702959267</v>
      </c>
      <c r="J34" s="95">
        <f t="shared" si="10"/>
        <v>13.610932287676064</v>
      </c>
      <c r="K34" s="95">
        <f t="shared" si="11"/>
        <v>13.552452978594033</v>
      </c>
      <c r="L34" s="103">
        <f t="shared" si="12"/>
        <v>13.731978989743121</v>
      </c>
    </row>
    <row r="35" spans="2:12">
      <c r="B35" s="94" t="s">
        <v>201</v>
      </c>
      <c r="C35" s="102">
        <v>25.132335662841797</v>
      </c>
      <c r="D35" s="102">
        <v>24.967596054077148</v>
      </c>
      <c r="E35" s="102">
        <v>25.03386116027832</v>
      </c>
      <c r="F35" s="102">
        <f t="shared" si="6"/>
        <v>25.044597625732422</v>
      </c>
      <c r="G35" s="88">
        <f t="shared" si="13"/>
        <v>1350</v>
      </c>
      <c r="H35" s="88">
        <f t="shared" si="8"/>
        <v>10.398743691938193</v>
      </c>
      <c r="I35" s="95">
        <f t="shared" si="9"/>
        <v>14.733591970903603</v>
      </c>
      <c r="J35" s="95">
        <f t="shared" si="10"/>
        <v>14.568852362138955</v>
      </c>
      <c r="K35" s="95">
        <f t="shared" si="11"/>
        <v>14.635117468340127</v>
      </c>
      <c r="L35" s="103">
        <f t="shared" si="12"/>
        <v>14.645853933794228</v>
      </c>
    </row>
    <row r="36" spans="2:12">
      <c r="B36" s="94" t="s">
        <v>202</v>
      </c>
      <c r="C36" s="102">
        <v>26.708147048950195</v>
      </c>
      <c r="D36" s="102">
        <v>26.763067245483398</v>
      </c>
      <c r="E36" s="102"/>
      <c r="F36" s="102">
        <f t="shared" si="6"/>
        <v>26.735607147216797</v>
      </c>
      <c r="G36" s="88">
        <f t="shared" si="13"/>
        <v>1350</v>
      </c>
      <c r="H36" s="88">
        <f t="shared" si="8"/>
        <v>10.398743691938193</v>
      </c>
      <c r="I36" s="95">
        <f t="shared" si="9"/>
        <v>16.309403357012002</v>
      </c>
      <c r="J36" s="95">
        <f t="shared" si="10"/>
        <v>16.364323553545205</v>
      </c>
      <c r="K36" s="95"/>
      <c r="L36" s="103">
        <f t="shared" si="12"/>
        <v>16.336863455278603</v>
      </c>
    </row>
    <row r="37" spans="2:12">
      <c r="B37" s="94" t="s">
        <v>203</v>
      </c>
      <c r="C37" s="102">
        <v>27.613700866699219</v>
      </c>
      <c r="D37" s="102">
        <v>27.812423706054688</v>
      </c>
      <c r="E37" s="102">
        <v>27.789873123168945</v>
      </c>
      <c r="F37" s="102">
        <f t="shared" si="6"/>
        <v>27.738665898640949</v>
      </c>
      <c r="G37" s="88">
        <f t="shared" si="13"/>
        <v>1350</v>
      </c>
      <c r="H37" s="88">
        <f t="shared" si="8"/>
        <v>10.398743691938193</v>
      </c>
      <c r="I37" s="95">
        <f t="shared" si="9"/>
        <v>17.214957174761025</v>
      </c>
      <c r="J37" s="95">
        <f t="shared" si="10"/>
        <v>17.413680014116494</v>
      </c>
      <c r="K37" s="95">
        <f t="shared" si="11"/>
        <v>17.391129431230752</v>
      </c>
      <c r="L37" s="103">
        <f t="shared" si="12"/>
        <v>17.339922206702756</v>
      </c>
    </row>
    <row r="38" spans="2:12">
      <c r="B38" s="94" t="s">
        <v>204</v>
      </c>
      <c r="C38" s="102">
        <v>29.07282829284668</v>
      </c>
      <c r="D38" s="102">
        <v>28.964012145996094</v>
      </c>
      <c r="E38" s="102">
        <v>29.311826705932617</v>
      </c>
      <c r="F38" s="102">
        <f t="shared" si="6"/>
        <v>29.116222381591797</v>
      </c>
      <c r="G38" s="88">
        <f t="shared" si="13"/>
        <v>1350</v>
      </c>
      <c r="H38" s="88">
        <f t="shared" si="8"/>
        <v>10.398743691938193</v>
      </c>
      <c r="I38" s="95">
        <f t="shared" si="9"/>
        <v>18.674084600908486</v>
      </c>
      <c r="J38" s="95">
        <f t="shared" si="10"/>
        <v>18.5652684540579</v>
      </c>
      <c r="K38" s="95">
        <f t="shared" si="11"/>
        <v>18.913083013994424</v>
      </c>
      <c r="L38" s="103">
        <f t="shared" si="12"/>
        <v>18.717478689653603</v>
      </c>
    </row>
    <row r="40" spans="2:12">
      <c r="B40" s="94" t="s">
        <v>216</v>
      </c>
      <c r="C40" s="102">
        <v>15.713388442993164</v>
      </c>
      <c r="D40" s="102">
        <v>15.726656913757324</v>
      </c>
      <c r="E40" s="102">
        <v>15.612536430358887</v>
      </c>
      <c r="F40" s="102">
        <f>AVERAGE(C40:E40)</f>
        <v>15.684193929036459</v>
      </c>
    </row>
    <row r="42" spans="2:12">
      <c r="B42" s="104" t="s">
        <v>217</v>
      </c>
      <c r="C42" s="88" t="s">
        <v>218</v>
      </c>
    </row>
    <row r="43" spans="2:12">
      <c r="B43" s="101" t="s">
        <v>219</v>
      </c>
      <c r="C43" s="88" t="s">
        <v>218</v>
      </c>
    </row>
    <row r="44" spans="2:12">
      <c r="C44" s="105" t="s">
        <v>220</v>
      </c>
      <c r="D44" s="103">
        <v>-3.6977000000000002</v>
      </c>
    </row>
    <row r="45" spans="2:12">
      <c r="C45" s="105" t="s">
        <v>221</v>
      </c>
      <c r="D45" s="103">
        <v>41.616</v>
      </c>
    </row>
    <row r="48" spans="2:12">
      <c r="B48" s="101" t="s">
        <v>222</v>
      </c>
      <c r="D48" s="88">
        <f>-1+ POWER(10,-(1/D44))</f>
        <v>0.86396769252626071</v>
      </c>
    </row>
  </sheetData>
  <mergeCells count="6">
    <mergeCell ref="P3:R3"/>
    <mergeCell ref="B1:B2"/>
    <mergeCell ref="C1:C2"/>
    <mergeCell ref="D1:G1"/>
    <mergeCell ref="H1:K1"/>
    <mergeCell ref="L1:O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S71"/>
  <sheetViews>
    <sheetView topLeftCell="A48" workbookViewId="0">
      <selection activeCell="I7" sqref="I7"/>
    </sheetView>
  </sheetViews>
  <sheetFormatPr baseColWidth="10" defaultColWidth="8.83203125" defaultRowHeight="14" x14ac:dyDescent="0"/>
  <cols>
    <col min="1" max="1" width="13.33203125" style="88" bestFit="1" customWidth="1"/>
    <col min="2" max="4" width="8.83203125" style="88"/>
    <col min="5" max="6" width="13.33203125" style="88" bestFit="1" customWidth="1"/>
    <col min="7" max="10" width="13.6640625" style="88" customWidth="1"/>
    <col min="11" max="11" width="16.5" style="88" bestFit="1" customWidth="1"/>
    <col min="12" max="12" width="17" style="88" customWidth="1"/>
    <col min="13" max="13" width="19.1640625" style="88" customWidth="1"/>
    <col min="14" max="14" width="17" style="88" customWidth="1"/>
    <col min="15" max="15" width="18.83203125" style="88" customWidth="1"/>
    <col min="16" max="16" width="18" style="88" customWidth="1"/>
    <col min="17" max="17" width="23.5" style="88" customWidth="1"/>
    <col min="18" max="18" width="18.5" style="88" customWidth="1"/>
    <col min="19" max="19" width="23.5" style="88" customWidth="1"/>
    <col min="20" max="16384" width="8.83203125" style="88"/>
  </cols>
  <sheetData>
    <row r="1" spans="1:19">
      <c r="A1" s="106" t="s">
        <v>223</v>
      </c>
    </row>
    <row r="2" spans="1:19">
      <c r="A2" s="125" t="s">
        <v>4</v>
      </c>
      <c r="B2" s="125" t="s">
        <v>104</v>
      </c>
      <c r="C2" s="125" t="s">
        <v>104</v>
      </c>
      <c r="D2" s="125" t="s">
        <v>5</v>
      </c>
      <c r="E2" s="137" t="s">
        <v>224</v>
      </c>
      <c r="F2" s="137" t="s">
        <v>225</v>
      </c>
      <c r="G2" s="137" t="s">
        <v>226</v>
      </c>
      <c r="H2" s="139" t="s">
        <v>227</v>
      </c>
      <c r="I2" s="139" t="s">
        <v>228</v>
      </c>
      <c r="J2" s="139" t="s">
        <v>229</v>
      </c>
      <c r="K2" s="137" t="s">
        <v>230</v>
      </c>
      <c r="L2" s="137" t="s">
        <v>231</v>
      </c>
      <c r="M2" s="137" t="s">
        <v>232</v>
      </c>
      <c r="N2" s="137" t="s">
        <v>233</v>
      </c>
      <c r="O2" s="137" t="s">
        <v>234</v>
      </c>
      <c r="P2" s="139" t="s">
        <v>235</v>
      </c>
      <c r="Q2" s="139" t="s">
        <v>236</v>
      </c>
      <c r="R2" s="143" t="s">
        <v>237</v>
      </c>
      <c r="S2" s="139" t="s">
        <v>238</v>
      </c>
    </row>
    <row r="3" spans="1:19">
      <c r="A3" s="126"/>
      <c r="B3" s="126"/>
      <c r="C3" s="126"/>
      <c r="D3" s="126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44"/>
      <c r="S3" s="138"/>
    </row>
    <row r="4" spans="1:19">
      <c r="A4" s="40">
        <v>0</v>
      </c>
      <c r="B4" s="55">
        <v>10</v>
      </c>
      <c r="C4" s="56">
        <v>10</v>
      </c>
      <c r="D4" s="66">
        <f t="shared" ref="D4:D19" si="0">C4/60</f>
        <v>0.16666666666666666</v>
      </c>
      <c r="E4" s="102">
        <v>24.974361419677734</v>
      </c>
      <c r="F4" s="102">
        <v>25.16588020324707</v>
      </c>
      <c r="G4" s="102">
        <v>24.614175796508789</v>
      </c>
      <c r="H4" s="102">
        <f>E4-$H$50+$H$71</f>
        <v>24.997699047579911</v>
      </c>
      <c r="I4" s="102">
        <f>F4-$H$50+$H$71</f>
        <v>25.189217831149247</v>
      </c>
      <c r="J4" s="102">
        <f>G4-$H$50+$H$71</f>
        <v>24.637513424410965</v>
      </c>
      <c r="K4" s="107">
        <f>((H4-'Calibration R. intestinalis '!$D$45)/('Calibration R. intestinalis '!$D$44))+$B$22</f>
        <v>8.14743891192016</v>
      </c>
      <c r="L4" s="107">
        <f>((I4-'Calibration R. intestinalis '!$D$45)/('Calibration R. intestinalis '!$D$44))+$B$22</f>
        <v>8.0956448822343194</v>
      </c>
      <c r="M4" s="107">
        <f>((J4-'Calibration R. intestinalis '!$D$45)/('Calibration R. intestinalis '!$D$44))+$B$22</f>
        <v>8.244846928570766</v>
      </c>
      <c r="N4" s="108">
        <f>AVERAGE(K4:M4)</f>
        <v>8.1626435742417485</v>
      </c>
      <c r="O4" s="108">
        <f>STDEV(K4:M4)</f>
        <v>7.5754201038496422E-2</v>
      </c>
      <c r="P4" s="103">
        <f>(AVERAGE(POWER(10,K4),POWER(10,L4),POWER(10,M4)))*(Calculation!$I4/Calculation!$K3)</f>
        <v>146930007.82004029</v>
      </c>
      <c r="Q4" s="109">
        <f>(STDEV(POWER(10,K4),POWER(10,L4),POWER(10,M4)))*(Calculation!$I4/Calculation!$K3)</f>
        <v>26161104.67232139</v>
      </c>
      <c r="R4" s="108">
        <f>LOG(P4)</f>
        <v>8.1671105017110666</v>
      </c>
      <c r="S4" s="108">
        <f>O4*(Calculation!$I4/Calculation!$K3)</f>
        <v>7.5754201038496422E-2</v>
      </c>
    </row>
    <row r="5" spans="1:19">
      <c r="A5" s="40">
        <v>1</v>
      </c>
      <c r="B5" s="55">
        <v>110</v>
      </c>
      <c r="C5" s="56">
        <f>C4+B5</f>
        <v>120</v>
      </c>
      <c r="D5" s="66">
        <f t="shared" si="0"/>
        <v>2</v>
      </c>
      <c r="E5" s="110">
        <v>23.733610153198242</v>
      </c>
      <c r="F5" s="102">
        <v>23.690084457397461</v>
      </c>
      <c r="G5" s="102">
        <v>23.811910629272461</v>
      </c>
      <c r="H5" s="102">
        <f>E5-$H$50+$H$71</f>
        <v>23.756947781100418</v>
      </c>
      <c r="I5" s="102">
        <f>F5-$H$50+$H$71</f>
        <v>23.713422085299637</v>
      </c>
      <c r="J5" s="102">
        <f>G5-$H$50+$H$71</f>
        <v>23.835248257174637</v>
      </c>
      <c r="K5" s="107">
        <f>((H5-'Calibration R. intestinalis '!$D$45)/('Calibration R. intestinalis '!$D$44))+$B$22</f>
        <v>8.4829856751728556</v>
      </c>
      <c r="L5" s="107">
        <f>((I5-'Calibration R. intestinalis '!$D$45)/('Calibration R. intestinalis '!$D$44))+$B$22</f>
        <v>8.4947566938603583</v>
      </c>
      <c r="M5" s="107">
        <f>((J5-'Calibration R. intestinalis '!$D$45)/('Calibration R. intestinalis '!$D$44))+$B$22</f>
        <v>8.4618102212219615</v>
      </c>
      <c r="N5" s="108">
        <f t="shared" ref="N5:N19" si="1">AVERAGE(K5:M5)</f>
        <v>8.4798508634183918</v>
      </c>
      <c r="O5" s="108">
        <f t="shared" ref="O5:O19" si="2">STDEV(K5:M5)</f>
        <v>1.669544244337659E-2</v>
      </c>
      <c r="P5" s="103">
        <f>(AVERAGE(POWER(10,K5),POWER(10,L5),POWER(10,M5)))*(Calculation!$I5/Calculation!$K4)</f>
        <v>302243644.03946859</v>
      </c>
      <c r="Q5" s="109">
        <f>(STDEV(POWER(10,K5),POWER(10,L5),POWER(10,M5)))*(Calculation!$I5/Calculation!$K4)</f>
        <v>11556107.076164547</v>
      </c>
      <c r="R5" s="108">
        <f>LOG(P5)</f>
        <v>8.4803571767367476</v>
      </c>
      <c r="S5" s="108">
        <f>O5*(Calculation!$I5/Calculation!$K4)</f>
        <v>1.6706715530779275E-2</v>
      </c>
    </row>
    <row r="6" spans="1:19">
      <c r="A6" s="40">
        <v>2</v>
      </c>
      <c r="B6" s="55">
        <v>80</v>
      </c>
      <c r="C6" s="56">
        <f t="shared" ref="C6:C18" si="3">C5+B6</f>
        <v>200</v>
      </c>
      <c r="D6" s="66">
        <f t="shared" si="0"/>
        <v>3.3333333333333335</v>
      </c>
      <c r="E6" s="102">
        <v>23.345603942871094</v>
      </c>
      <c r="F6" s="102">
        <v>23.110328674316406</v>
      </c>
      <c r="G6" s="102">
        <v>23.850460052490234</v>
      </c>
      <c r="H6" s="102">
        <f>E6-$H$50+$H$71</f>
        <v>23.36894157077327</v>
      </c>
      <c r="I6" s="102">
        <f>F6-$H$50+$H$71</f>
        <v>23.133666302218582</v>
      </c>
      <c r="J6" s="102">
        <f>G6-$H$50+$H$71</f>
        <v>23.873797680392411</v>
      </c>
      <c r="K6" s="107">
        <f>((H6-'Calibration R. intestinalis '!$D$45)/('Calibration R. intestinalis '!$D$44))+$B$22</f>
        <v>8.5879174463622832</v>
      </c>
      <c r="L6" s="107">
        <f>((I6-'Calibration R. intestinalis '!$D$45)/('Calibration R. intestinalis '!$D$44))+$B$22</f>
        <v>8.6515449089889671</v>
      </c>
      <c r="M6" s="107">
        <f>((J6-'Calibration R. intestinalis '!$D$45)/('Calibration R. intestinalis '!$D$44))+$B$22</f>
        <v>8.4513849776333068</v>
      </c>
      <c r="N6" s="108">
        <f t="shared" si="1"/>
        <v>8.5636157776615196</v>
      </c>
      <c r="O6" s="108">
        <f t="shared" si="2"/>
        <v>0.10226889975113129</v>
      </c>
      <c r="P6" s="103">
        <f>(AVERAGE(POWER(10,K6),POWER(10,L6),POWER(10,M6)))*(Calculation!$I6/Calculation!$K5)</f>
        <v>373502723.42439383</v>
      </c>
      <c r="Q6" s="109">
        <f>(STDEV(POWER(10,K6),POWER(10,L6),POWER(10,M6)))*(Calculation!$I6/Calculation!$K5)</f>
        <v>83882244.476926148</v>
      </c>
      <c r="R6" s="108">
        <f t="shared" ref="R6:R18" si="4">LOG(P6)</f>
        <v>8.5722937728552306</v>
      </c>
      <c r="S6" s="108">
        <f>O6*(Calculation!$I6/Calculation!$K5)</f>
        <v>0.1024801885219852</v>
      </c>
    </row>
    <row r="7" spans="1:19">
      <c r="A7" s="40">
        <v>3</v>
      </c>
      <c r="B7" s="55">
        <v>80</v>
      </c>
      <c r="C7" s="56">
        <f>C6+B7</f>
        <v>280</v>
      </c>
      <c r="D7" s="66">
        <f t="shared" si="0"/>
        <v>4.666666666666667</v>
      </c>
      <c r="E7" s="102">
        <v>21.946922302246094</v>
      </c>
      <c r="F7" s="102">
        <v>22.573459625244141</v>
      </c>
      <c r="G7" s="102">
        <v>22.821268081665039</v>
      </c>
      <c r="H7" s="102">
        <f>E7-$H$50+$H$71</f>
        <v>21.97025993014827</v>
      </c>
      <c r="I7" s="102">
        <f>F7-$H$50+$H$71</f>
        <v>22.596797253146317</v>
      </c>
      <c r="J7" s="102">
        <f>G7-$H$50+$H$71</f>
        <v>22.844605709567215</v>
      </c>
      <c r="K7" s="107">
        <f>((H7-'Calibration R. intestinalis '!$D$45)/('Calibration R. intestinalis '!$D$44))+$B$22</f>
        <v>8.9661746442488077</v>
      </c>
      <c r="L7" s="107">
        <f>((I7-'Calibration R. intestinalis '!$D$45)/('Calibration R. intestinalis '!$D$44))+$B$22</f>
        <v>8.7967349052223724</v>
      </c>
      <c r="M7" s="107">
        <f>((J7-'Calibration R. intestinalis '!$D$45)/('Calibration R. intestinalis '!$D$44))+$B$22</f>
        <v>8.7297179875652091</v>
      </c>
      <c r="N7" s="108">
        <f t="shared" si="1"/>
        <v>8.830875845678797</v>
      </c>
      <c r="O7" s="108">
        <f t="shared" si="2"/>
        <v>0.12186935826504183</v>
      </c>
      <c r="P7" s="103">
        <f>(AVERAGE(POWER(10,K7),POWER(10,L7),POWER(10,M7)))*(Calculation!$I7/Calculation!$K6)</f>
        <v>698433481.11095917</v>
      </c>
      <c r="Q7" s="109">
        <f>(STDEV(POWER(10,K7),POWER(10,L7),POWER(10,M7)))*(Calculation!$I7/Calculation!$K6)</f>
        <v>204087344.61578691</v>
      </c>
      <c r="R7" s="108">
        <f t="shared" si="4"/>
        <v>8.8441250501608746</v>
      </c>
      <c r="S7" s="108">
        <f>O7*(Calculation!$I7/Calculation!$K6)</f>
        <v>0.12229635149038874</v>
      </c>
    </row>
    <row r="8" spans="1:19">
      <c r="A8" s="40">
        <v>4</v>
      </c>
      <c r="B8" s="55">
        <v>80</v>
      </c>
      <c r="C8" s="56">
        <f t="shared" si="3"/>
        <v>360</v>
      </c>
      <c r="D8" s="66">
        <f t="shared" si="0"/>
        <v>6</v>
      </c>
      <c r="E8" s="102">
        <v>20.950016021728516</v>
      </c>
      <c r="F8" s="102">
        <v>20.921014785766602</v>
      </c>
      <c r="G8" s="102">
        <v>21.357006072998047</v>
      </c>
      <c r="H8" s="102">
        <f>E8-$H$50+$H$71</f>
        <v>20.973353649630692</v>
      </c>
      <c r="I8" s="102">
        <f>F8-$H$50+$H$71</f>
        <v>20.944352413668778</v>
      </c>
      <c r="J8" s="102">
        <f>G8-$H$50+$H$71</f>
        <v>21.380343700900223</v>
      </c>
      <c r="K8" s="107">
        <f>((H8-'Calibration R. intestinalis '!$D$45)/('Calibration R. intestinalis '!$D$44))+$B$22</f>
        <v>9.235776364376882</v>
      </c>
      <c r="L8" s="107">
        <f>((I8-'Calibration R. intestinalis '!$D$45)/('Calibration R. intestinalis '!$D$44))+$B$22</f>
        <v>9.2436194116662538</v>
      </c>
      <c r="M8" s="107">
        <f>((J8-'Calibration R. intestinalis '!$D$45)/('Calibration R. intestinalis '!$D$44))+$B$22</f>
        <v>9.1257106339851433</v>
      </c>
      <c r="N8" s="108">
        <f t="shared" si="1"/>
        <v>9.2017021366760918</v>
      </c>
      <c r="O8" s="108">
        <f t="shared" si="2"/>
        <v>6.5927306244205799E-2</v>
      </c>
      <c r="P8" s="103">
        <f>(AVERAGE(POWER(10,K8),POWER(10,L8),POWER(10,M8)))*(Calculation!$I8/Calculation!$K7)</f>
        <v>1613393291.6322024</v>
      </c>
      <c r="Q8" s="109">
        <f>(STDEV(POWER(10,K8),POWER(10,L8),POWER(10,M8)))*(Calculation!$I8/Calculation!$K7)</f>
        <v>233526481.92220628</v>
      </c>
      <c r="R8" s="108">
        <f t="shared" si="4"/>
        <v>9.2077402468469511</v>
      </c>
      <c r="S8" s="108">
        <f>O8*(Calculation!$I8/Calculation!$K7)</f>
        <v>6.6354320085529467E-2</v>
      </c>
    </row>
    <row r="9" spans="1:19">
      <c r="A9" s="40">
        <v>5</v>
      </c>
      <c r="B9" s="55">
        <v>80</v>
      </c>
      <c r="C9" s="56">
        <f t="shared" si="3"/>
        <v>440</v>
      </c>
      <c r="D9" s="66">
        <f t="shared" si="0"/>
        <v>7.333333333333333</v>
      </c>
      <c r="E9" s="102">
        <v>19.948339462280273</v>
      </c>
      <c r="F9" s="102">
        <v>19.626319885253906</v>
      </c>
      <c r="G9" s="102">
        <v>20.347713470458984</v>
      </c>
      <c r="H9" s="102">
        <f>E9-$H$50+$H$71</f>
        <v>19.97167709018245</v>
      </c>
      <c r="I9" s="102">
        <f>F9-$H$50+$H$71</f>
        <v>19.649657513156082</v>
      </c>
      <c r="J9" s="102">
        <f>G9-$H$50+$H$71</f>
        <v>20.371051098361161</v>
      </c>
      <c r="K9" s="107">
        <f>((H9-'Calibration R. intestinalis '!$D$45)/('Calibration R. intestinalis '!$D$44))+$B$22</f>
        <v>9.5066681510140452</v>
      </c>
      <c r="L9" s="107">
        <f>((I9-'Calibration R. intestinalis '!$D$45)/('Calibration R. intestinalis '!$D$44))+$B$22</f>
        <v>9.5937546039513766</v>
      </c>
      <c r="M9" s="107">
        <f>((J9-'Calibration R. intestinalis '!$D$45)/('Calibration R. intestinalis '!$D$44))+$B$22</f>
        <v>9.3986620909824818</v>
      </c>
      <c r="N9" s="108">
        <f t="shared" si="1"/>
        <v>9.4996949486493012</v>
      </c>
      <c r="O9" s="108">
        <f t="shared" si="2"/>
        <v>9.7733010377990218E-2</v>
      </c>
      <c r="P9" s="103">
        <f>(AVERAGE(POWER(10,K9),POWER(10,L9),POWER(10,M9)))*(Calculation!$I9/Calculation!$K8)</f>
        <v>3246383021.4267864</v>
      </c>
      <c r="Q9" s="109">
        <f>(STDEV(POWER(10,K9),POWER(10,L9),POWER(10,M9)))*(Calculation!$I9/Calculation!$K8)</f>
        <v>717370554.01523554</v>
      </c>
      <c r="R9" s="108">
        <f t="shared" si="4"/>
        <v>9.5113997583364061</v>
      </c>
      <c r="S9" s="108">
        <f>O9*(Calculation!$I9/Calculation!$K8)</f>
        <v>9.8742335690294267E-2</v>
      </c>
    </row>
    <row r="10" spans="1:19">
      <c r="A10" s="40">
        <v>6</v>
      </c>
      <c r="B10" s="55">
        <v>180</v>
      </c>
      <c r="C10" s="56">
        <f t="shared" si="3"/>
        <v>620</v>
      </c>
      <c r="D10" s="66">
        <f t="shared" si="0"/>
        <v>10.333333333333334</v>
      </c>
      <c r="E10" s="102">
        <v>19.150163650512695</v>
      </c>
      <c r="F10" s="102">
        <v>19.297613143920898</v>
      </c>
      <c r="G10" s="102">
        <v>19.272979736328125</v>
      </c>
      <c r="H10" s="102">
        <f>E10-$H$50+$H$71</f>
        <v>19.173501278414872</v>
      </c>
      <c r="I10" s="102">
        <f>F10-$H$50+$H$71</f>
        <v>19.320950771823075</v>
      </c>
      <c r="J10" s="102">
        <f>G10-$H$50+$H$71</f>
        <v>19.296317364230301</v>
      </c>
      <c r="K10" s="107">
        <f>((H10-'Calibration R. intestinalis '!$D$45)/('Calibration R. intestinalis '!$D$44))+$B$22</f>
        <v>9.7225255249945146</v>
      </c>
      <c r="L10" s="107">
        <f>((I10-'Calibration R. intestinalis '!$D$45)/('Calibration R. intestinalis '!$D$44))+$B$22</f>
        <v>9.6826495227747014</v>
      </c>
      <c r="M10" s="107">
        <f>((J10-'Calibration R. intestinalis '!$D$45)/('Calibration R. intestinalis '!$D$44))+$B$22</f>
        <v>9.68931134163312</v>
      </c>
      <c r="N10" s="108">
        <f t="shared" si="1"/>
        <v>9.6981621298007781</v>
      </c>
      <c r="O10" s="108">
        <f t="shared" si="2"/>
        <v>2.1360623273917183E-2</v>
      </c>
      <c r="P10" s="103">
        <f>(AVERAGE(POWER(10,K10),POWER(10,L10),POWER(10,M10)))*(Calculation!$I10/Calculation!$K9)</f>
        <v>5106330029.2512541</v>
      </c>
      <c r="Q10" s="109">
        <f>(STDEV(POWER(10,K10),POWER(10,L10),POWER(10,M10)))*(Calculation!$I10/Calculation!$K9)</f>
        <v>254233499.93620098</v>
      </c>
      <c r="R10" s="108">
        <f t="shared" si="4"/>
        <v>9.7081088804350895</v>
      </c>
      <c r="S10" s="108">
        <f>O10*(Calculation!$I10/Calculation!$K9)</f>
        <v>2.1837734563301944E-2</v>
      </c>
    </row>
    <row r="11" spans="1:19">
      <c r="A11" s="40">
        <v>7</v>
      </c>
      <c r="B11" s="55">
        <v>80</v>
      </c>
      <c r="C11" s="56">
        <f t="shared" si="3"/>
        <v>700</v>
      </c>
      <c r="D11" s="66">
        <f t="shared" si="0"/>
        <v>11.666666666666666</v>
      </c>
      <c r="E11" s="102">
        <v>19.918767929077148</v>
      </c>
      <c r="F11" s="102">
        <v>20.797138214111328</v>
      </c>
      <c r="G11" s="102">
        <v>19.426675796508789</v>
      </c>
      <c r="H11" s="102">
        <f>E11-$H$58+$H$71</f>
        <v>19.686241413607743</v>
      </c>
      <c r="I11" s="102">
        <f>F11-$H$58+$H$71</f>
        <v>20.564611698641922</v>
      </c>
      <c r="J11" s="102">
        <f>G11-$H$58+$H$71</f>
        <v>19.194149281039383</v>
      </c>
      <c r="K11" s="107">
        <f>((H11-'Calibration R. intestinalis '!$D$45)/('Calibration R. intestinalis '!$D$44))+$B$22</f>
        <v>9.5838609131566503</v>
      </c>
      <c r="L11" s="107">
        <f>((I11-'Calibration R. intestinalis '!$D$45)/('Calibration R. intestinalis '!$D$44))+$B$22</f>
        <v>9.3463158756916904</v>
      </c>
      <c r="M11" s="107">
        <f>((J11-'Calibration R. intestinalis '!$D$45)/('Calibration R. intestinalis '!$D$44))+$B$22</f>
        <v>9.7169415126018066</v>
      </c>
      <c r="N11" s="108">
        <f t="shared" si="1"/>
        <v>9.5490394338167164</v>
      </c>
      <c r="O11" s="108">
        <f t="shared" si="2"/>
        <v>0.18775047869798744</v>
      </c>
      <c r="P11" s="103">
        <f>(AVERAGE(POWER(10,K11),POWER(10,L11),POWER(10,M11)))*(Calculation!$I11/Calculation!$K10)</f>
        <v>3864410565.7367144</v>
      </c>
      <c r="Q11" s="109">
        <f>(STDEV(POWER(10,K11),POWER(10,L11),POWER(10,M11)))*(Calculation!$I11/Calculation!$K10)</f>
        <v>1540697979.6532173</v>
      </c>
      <c r="R11" s="108">
        <f t="shared" si="4"/>
        <v>9.587083260849484</v>
      </c>
      <c r="S11" s="108">
        <f>O11*(Calculation!$I11/Calculation!$K10)</f>
        <v>0.19318844700480245</v>
      </c>
    </row>
    <row r="12" spans="1:19">
      <c r="A12" s="40">
        <v>8</v>
      </c>
      <c r="B12" s="55">
        <v>80</v>
      </c>
      <c r="C12" s="56">
        <f t="shared" si="3"/>
        <v>780</v>
      </c>
      <c r="D12" s="66">
        <f t="shared" si="0"/>
        <v>13</v>
      </c>
      <c r="E12" s="102">
        <v>18.722793579101562</v>
      </c>
      <c r="F12" s="102">
        <v>18.999221801757812</v>
      </c>
      <c r="G12" s="102">
        <v>19.306196212768555</v>
      </c>
      <c r="H12" s="102">
        <f>E12-$H$50+$H$71</f>
        <v>18.746131207003739</v>
      </c>
      <c r="I12" s="102">
        <f>F12-$H$50+$H$71</f>
        <v>19.022559429659989</v>
      </c>
      <c r="J12" s="102">
        <f>G12-$H$50+$H$71</f>
        <v>19.329533840670731</v>
      </c>
      <c r="K12" s="107">
        <f>((H12-'Calibration R. intestinalis '!$D$45)/('Calibration R. intestinalis '!$D$44))+$B$22</f>
        <v>9.8381027950302471</v>
      </c>
      <c r="L12" s="107">
        <f>((I12-'Calibration R. intestinalis '!$D$45)/('Calibration R. intestinalis '!$D$44))+$B$22</f>
        <v>9.763345994138815</v>
      </c>
      <c r="M12" s="107">
        <f>((J12-'Calibration R. intestinalis '!$D$45)/('Calibration R. intestinalis '!$D$44))+$B$22</f>
        <v>9.6803283315348345</v>
      </c>
      <c r="N12" s="108">
        <f t="shared" si="1"/>
        <v>9.7605923735679649</v>
      </c>
      <c r="O12" s="108">
        <f t="shared" si="2"/>
        <v>7.8923267497630081E-2</v>
      </c>
      <c r="P12" s="103">
        <f>(AVERAGE(POWER(10,K12),POWER(10,L12),POWER(10,M12)))*(Calculation!$I12/Calculation!$K11)</f>
        <v>6029477160.4559336</v>
      </c>
      <c r="Q12" s="109">
        <f>(STDEV(POWER(10,K12),POWER(10,L12),POWER(10,M12)))*(Calculation!$I12/Calculation!$K11)</f>
        <v>1086085521.4464772</v>
      </c>
      <c r="R12" s="108">
        <f t="shared" si="4"/>
        <v>9.7802796543999317</v>
      </c>
      <c r="S12" s="108">
        <f>O12*(Calculation!$I12/Calculation!$K11)</f>
        <v>8.168449024802088E-2</v>
      </c>
    </row>
    <row r="13" spans="1:19">
      <c r="A13" s="40">
        <v>9</v>
      </c>
      <c r="B13" s="55">
        <v>80</v>
      </c>
      <c r="C13" s="56">
        <f t="shared" si="3"/>
        <v>860</v>
      </c>
      <c r="D13" s="66">
        <f t="shared" si="0"/>
        <v>14.333333333333334</v>
      </c>
      <c r="E13" s="102">
        <v>18.875467300415039</v>
      </c>
      <c r="F13" s="102">
        <v>18.929819107055664</v>
      </c>
      <c r="G13" s="102">
        <v>19.219888687133789</v>
      </c>
      <c r="H13" s="102">
        <f>E13-$H$50+$H$71</f>
        <v>18.898804928317215</v>
      </c>
      <c r="I13" s="102">
        <f>F13-$H$50+$H$71</f>
        <v>18.95315673495784</v>
      </c>
      <c r="J13" s="102">
        <f>G13-$H$50+$H$71</f>
        <v>19.243226315035965</v>
      </c>
      <c r="K13" s="107">
        <f>((H13-'Calibration R. intestinalis '!$D$45)/('Calibration R. intestinalis '!$D$44))+$B$22</f>
        <v>9.7968139610757685</v>
      </c>
      <c r="L13" s="107">
        <f>((I13-'Calibration R. intestinalis '!$D$45)/('Calibration R. intestinalis '!$D$44))+$B$22</f>
        <v>9.7821151465043794</v>
      </c>
      <c r="M13" s="107">
        <f>((J13-'Calibration R. intestinalis '!$D$45)/('Calibration R. intestinalis '!$D$44))+$B$22</f>
        <v>9.7036691990023858</v>
      </c>
      <c r="N13" s="108">
        <f t="shared" si="1"/>
        <v>9.7608661021941785</v>
      </c>
      <c r="O13" s="108">
        <f t="shared" si="2"/>
        <v>5.0076222785863649E-2</v>
      </c>
      <c r="P13" s="103">
        <f>(AVERAGE(POWER(10,K13),POWER(10,L13),POWER(10,M13)))*(Calculation!$I13/Calculation!$K12)</f>
        <v>6024693403.4119072</v>
      </c>
      <c r="Q13" s="109">
        <f>(STDEV(POWER(10,K13),POWER(10,L13),POWER(10,M13)))*(Calculation!$I13/Calculation!$K12)</f>
        <v>672425167.20946133</v>
      </c>
      <c r="R13" s="108">
        <f t="shared" si="4"/>
        <v>9.7799349505673376</v>
      </c>
      <c r="S13" s="108">
        <f>O13*(Calculation!$I13/Calculation!$K12)</f>
        <v>5.2097435355724038E-2</v>
      </c>
    </row>
    <row r="14" spans="1:19">
      <c r="A14" s="40">
        <v>10</v>
      </c>
      <c r="B14" s="55">
        <v>80</v>
      </c>
      <c r="C14" s="56">
        <f t="shared" si="3"/>
        <v>940</v>
      </c>
      <c r="D14" s="66">
        <f t="shared" si="0"/>
        <v>15.666666666666666</v>
      </c>
      <c r="E14" s="102">
        <v>18.731451034545898</v>
      </c>
      <c r="F14" s="102">
        <v>18.820074081420898</v>
      </c>
      <c r="G14" s="102">
        <v>18.862360000610352</v>
      </c>
      <c r="H14" s="102">
        <f>E14-$H$50+$H$71</f>
        <v>18.754788662448075</v>
      </c>
      <c r="I14" s="102">
        <f>F14-$H$50+$H$71</f>
        <v>18.843411709323075</v>
      </c>
      <c r="J14" s="102">
        <f>G14-$H$50+$H$71</f>
        <v>18.885697628512528</v>
      </c>
      <c r="K14" s="107">
        <f>((H14-'Calibration R. intestinalis '!$D$45)/('Calibration R. intestinalis '!$D$44))+$B$22</f>
        <v>9.835761486799635</v>
      </c>
      <c r="L14" s="107">
        <f>((I14-'Calibration R. intestinalis '!$D$45)/('Calibration R. intestinalis '!$D$44))+$B$22</f>
        <v>9.8117944135175943</v>
      </c>
      <c r="M14" s="107">
        <f>((J14-'Calibration R. intestinalis '!$D$45)/('Calibration R. intestinalis '!$D$44))+$B$22</f>
        <v>9.800358678009184</v>
      </c>
      <c r="N14" s="108">
        <f t="shared" si="1"/>
        <v>9.8159715261088039</v>
      </c>
      <c r="O14" s="108">
        <f t="shared" si="2"/>
        <v>1.80672609922767E-2</v>
      </c>
      <c r="P14" s="103">
        <f>(AVERAGE(POWER(10,K14),POWER(10,L14),POWER(10,M14)))*(Calculation!$I14/Calculation!$K13)</f>
        <v>6875590388.4574251</v>
      </c>
      <c r="Q14" s="109">
        <f>(STDEV(POWER(10,K14),POWER(10,L14),POWER(10,M14)))*(Calculation!$I14/Calculation!$K13)</f>
        <v>287917245.86989862</v>
      </c>
      <c r="R14" s="108">
        <f t="shared" si="4"/>
        <v>9.8373099958027552</v>
      </c>
      <c r="S14" s="108">
        <f>O14*(Calculation!$I14/Calculation!$K13)</f>
        <v>1.8966148337867885E-2</v>
      </c>
    </row>
    <row r="15" spans="1:19">
      <c r="A15" s="40">
        <v>11</v>
      </c>
      <c r="B15" s="55">
        <v>80</v>
      </c>
      <c r="C15" s="56">
        <f t="shared" si="3"/>
        <v>1020</v>
      </c>
      <c r="D15" s="66">
        <f t="shared" si="0"/>
        <v>17</v>
      </c>
      <c r="E15" s="102">
        <v>18.997421264648438</v>
      </c>
      <c r="F15" s="102">
        <v>18.95411491394043</v>
      </c>
      <c r="G15" s="102">
        <v>19.577892303466797</v>
      </c>
      <c r="H15" s="102">
        <f>E15-$H$50+$H$71</f>
        <v>19.020758892550614</v>
      </c>
      <c r="I15" s="102">
        <f>F15-$H$50+$H$71</f>
        <v>18.977452541842606</v>
      </c>
      <c r="J15" s="102">
        <f>G15-$H$50+$H$71</f>
        <v>19.601229931368973</v>
      </c>
      <c r="K15" s="107">
        <f>((H15-'Calibration R. intestinalis '!$D$45)/('Calibration R. intestinalis '!$D$44))+$B$22</f>
        <v>9.7638329284789123</v>
      </c>
      <c r="L15" s="107">
        <f>((I15-'Calibration R. intestinalis '!$D$45)/('Calibration R. intestinalis '!$D$44))+$B$22</f>
        <v>9.77554462783473</v>
      </c>
      <c r="M15" s="107">
        <f>((J15-'Calibration R. intestinalis '!$D$45)/('Calibration R. intestinalis '!$D$44))+$B$22</f>
        <v>9.6068512807469819</v>
      </c>
      <c r="N15" s="108">
        <f t="shared" si="1"/>
        <v>9.7154096123535414</v>
      </c>
      <c r="O15" s="108">
        <f t="shared" si="2"/>
        <v>9.4196467536474343E-2</v>
      </c>
      <c r="P15" s="103">
        <f>(AVERAGE(POWER(10,K15),POWER(10,L15),POWER(10,M15)))*(Calculation!$I15/Calculation!$K14)</f>
        <v>5543905000.9608679</v>
      </c>
      <c r="Q15" s="109">
        <f>(STDEV(POWER(10,K15),POWER(10,L15),POWER(10,M15)))*(Calculation!$I15/Calculation!$K14)</f>
        <v>1120605620.5099943</v>
      </c>
      <c r="R15" s="108">
        <f t="shared" si="4"/>
        <v>9.7438157797004372</v>
      </c>
      <c r="S15" s="108">
        <f>O15*(Calculation!$I15/Calculation!$K14)</f>
        <v>9.9067956989552813E-2</v>
      </c>
    </row>
    <row r="16" spans="1:19">
      <c r="A16" s="40">
        <v>12</v>
      </c>
      <c r="B16" s="55">
        <v>80</v>
      </c>
      <c r="C16" s="56">
        <f t="shared" si="3"/>
        <v>1100</v>
      </c>
      <c r="D16" s="66">
        <f t="shared" si="0"/>
        <v>18.333333333333332</v>
      </c>
      <c r="E16" s="102">
        <v>19.358373641967773</v>
      </c>
      <c r="F16" s="102">
        <v>19.31590461730957</v>
      </c>
      <c r="G16" s="102">
        <v>19.487741470336914</v>
      </c>
      <c r="H16" s="102">
        <f>E16-$H$50+$H$71</f>
        <v>19.38171126986995</v>
      </c>
      <c r="I16" s="102">
        <f>F16-$H$50+$H$71</f>
        <v>19.339242245211747</v>
      </c>
      <c r="J16" s="102">
        <f>G16-$H$50+$H$71</f>
        <v>19.51107909823909</v>
      </c>
      <c r="K16" s="107">
        <f>((H16-'Calibration R. intestinalis '!$D$45)/('Calibration R. intestinalis '!$D$44))+$B$22</f>
        <v>9.6662175520775442</v>
      </c>
      <c r="L16" s="107">
        <f>((I16-'Calibration R. intestinalis '!$D$45)/('Calibration R. intestinalis '!$D$44))+$B$22</f>
        <v>9.6777028063324071</v>
      </c>
      <c r="M16" s="107">
        <f>((J16-'Calibration R. intestinalis '!$D$45)/('Calibration R. intestinalis '!$D$44))+$B$22</f>
        <v>9.6312315260697172</v>
      </c>
      <c r="N16" s="108">
        <f t="shared" si="1"/>
        <v>9.6583839614932234</v>
      </c>
      <c r="O16" s="108">
        <f t="shared" si="2"/>
        <v>2.4205760231718471E-2</v>
      </c>
      <c r="P16" s="103">
        <f>(AVERAGE(POWER(10,K16),POWER(10,L16),POWER(10,M16)))*(Calculation!$I16/Calculation!$K15)</f>
        <v>4799046107.9078312</v>
      </c>
      <c r="Q16" s="109">
        <f>(STDEV(POWER(10,K16),POWER(10,L16),POWER(10,M16)))*(Calculation!$I16/Calculation!$K15)</f>
        <v>264120213.94124413</v>
      </c>
      <c r="R16" s="108">
        <f t="shared" si="4"/>
        <v>9.6811549225337448</v>
      </c>
      <c r="S16" s="108">
        <f>O16*(Calculation!$I16/Calculation!$K15)</f>
        <v>2.5482599193696213E-2</v>
      </c>
    </row>
    <row r="17" spans="1:19">
      <c r="A17" s="40">
        <v>13</v>
      </c>
      <c r="B17" s="55">
        <v>340</v>
      </c>
      <c r="C17" s="56">
        <f t="shared" si="3"/>
        <v>1440</v>
      </c>
      <c r="D17" s="66">
        <f t="shared" si="0"/>
        <v>24</v>
      </c>
      <c r="E17" s="102"/>
      <c r="F17" s="102"/>
      <c r="G17" s="102"/>
      <c r="H17" s="102">
        <f>E17-$H$50+$H$71</f>
        <v>2.3337627902176195E-2</v>
      </c>
      <c r="I17" s="102">
        <f>F17-$H$50+$H$71</f>
        <v>2.3337627902176195E-2</v>
      </c>
      <c r="J17" s="102">
        <f>G17-$H$50+$H$71</f>
        <v>2.3337627902176195E-2</v>
      </c>
      <c r="K17" s="107">
        <f>((H17-'Calibration R. intestinalis '!$D$45)/('Calibration R. intestinalis '!$D$44))+$B$22</f>
        <v>14.901464771150961</v>
      </c>
      <c r="L17" s="107">
        <f>((I17-'Calibration R. intestinalis '!$D$45)/('Calibration R. intestinalis '!$D$44))+$B$22</f>
        <v>14.901464771150961</v>
      </c>
      <c r="M17" s="107">
        <f>((J17-'Calibration R. intestinalis '!$D$45)/('Calibration R. intestinalis '!$D$44))+$B$22</f>
        <v>14.901464771150961</v>
      </c>
      <c r="N17" s="108">
        <f t="shared" si="1"/>
        <v>14.901464771150961</v>
      </c>
      <c r="O17" s="108">
        <f t="shared" si="2"/>
        <v>0</v>
      </c>
      <c r="P17" s="103">
        <f>(AVERAGE(POWER(10,K17),POWER(10,L17),POWER(10,M17)))*(Calculation!$I17/Calculation!$K16)</f>
        <v>839920511542707.12</v>
      </c>
      <c r="Q17" s="109">
        <f>(STDEV(POWER(10,K17),POWER(10,L17),POWER(10,M17)))*(Calculation!$I17/Calculation!$K16)</f>
        <v>0.16133517281037332</v>
      </c>
      <c r="R17" s="108">
        <f t="shared" si="4"/>
        <v>14.924238187214447</v>
      </c>
      <c r="S17" s="108">
        <f>O17*(Calculation!$I17/Calculation!$K16)</f>
        <v>0</v>
      </c>
    </row>
    <row r="18" spans="1:19">
      <c r="A18" s="40">
        <v>14</v>
      </c>
      <c r="B18" s="55">
        <v>360</v>
      </c>
      <c r="C18" s="56">
        <f t="shared" si="3"/>
        <v>1800</v>
      </c>
      <c r="D18" s="66">
        <f t="shared" si="0"/>
        <v>30</v>
      </c>
      <c r="E18" s="102"/>
      <c r="F18" s="102"/>
      <c r="G18" s="102"/>
      <c r="H18" s="102">
        <f>E18-$H$50+$H$71</f>
        <v>2.3337627902176195E-2</v>
      </c>
      <c r="I18" s="102">
        <f>F18-$H$50+$H$71</f>
        <v>2.3337627902176195E-2</v>
      </c>
      <c r="J18" s="102">
        <f>G18-$H$50+$H$71</f>
        <v>2.3337627902176195E-2</v>
      </c>
      <c r="K18" s="107">
        <f>((H18-'Calibration R. intestinalis '!$D$45)/('Calibration R. intestinalis '!$D$44))+$B$22</f>
        <v>14.901464771150961</v>
      </c>
      <c r="L18" s="107">
        <f>((I18-'Calibration R. intestinalis '!$D$45)/('Calibration R. intestinalis '!$D$44))+$B$22</f>
        <v>14.901464771150961</v>
      </c>
      <c r="M18" s="107">
        <f>((J18-'Calibration R. intestinalis '!$D$45)/('Calibration R. intestinalis '!$D$44))+$B$22</f>
        <v>14.901464771150961</v>
      </c>
      <c r="N18" s="108">
        <f t="shared" si="1"/>
        <v>14.901464771150961</v>
      </c>
      <c r="O18" s="108">
        <f t="shared" si="2"/>
        <v>0</v>
      </c>
      <c r="P18" s="103">
        <f>(AVERAGE(POWER(10,K18),POWER(10,L18),POWER(10,M18)))*(Calculation!$I18/Calculation!$K17)</f>
        <v>840841477015890.12</v>
      </c>
      <c r="Q18" s="109">
        <f>(STDEV(POWER(10,K18),POWER(10,L18),POWER(10,M18)))*(Calculation!$I18/Calculation!$K17)</f>
        <v>0.16151207541213911</v>
      </c>
      <c r="R18" s="108">
        <f t="shared" si="4"/>
        <v>14.92471412642033</v>
      </c>
      <c r="S18" s="108">
        <f>O18*(Calculation!$I18/Calculation!$K17)</f>
        <v>0</v>
      </c>
    </row>
    <row r="19" spans="1:19">
      <c r="A19" s="40">
        <v>15</v>
      </c>
      <c r="B19" s="55">
        <v>1080</v>
      </c>
      <c r="C19" s="56">
        <f>C18+B19</f>
        <v>2880</v>
      </c>
      <c r="D19" s="66">
        <f t="shared" si="0"/>
        <v>48</v>
      </c>
      <c r="E19" s="102">
        <v>20.578786849975586</v>
      </c>
      <c r="F19" s="102">
        <v>21.039102554321289</v>
      </c>
      <c r="G19" s="102">
        <v>20.693096160888672</v>
      </c>
      <c r="H19" s="102">
        <f>E19-$H$50+$H$71</f>
        <v>20.602124477877762</v>
      </c>
      <c r="I19" s="102">
        <f>F19-$H$50+$H$71</f>
        <v>21.062440182223465</v>
      </c>
      <c r="J19" s="102">
        <f>G19-$H$50+$H$71</f>
        <v>20.716433788790848</v>
      </c>
      <c r="K19" s="107">
        <f>((H19-'Calibration R. intestinalis '!$D$45)/('Calibration R. intestinalis '!$D$44))+$B$22</f>
        <v>9.3361709804227822</v>
      </c>
      <c r="L19" s="107">
        <f>((I19-'Calibration R. intestinalis '!$D$45)/('Calibration R. intestinalis '!$D$44))+$B$22</f>
        <v>9.2116839467678879</v>
      </c>
      <c r="M19" s="107">
        <f>((J19-'Calibration R. intestinalis '!$D$45)/('Calibration R. intestinalis '!$D$44))+$B$22</f>
        <v>9.3052573554902338</v>
      </c>
      <c r="N19" s="108">
        <f t="shared" si="1"/>
        <v>9.2843707608936352</v>
      </c>
      <c r="O19" s="108">
        <f t="shared" si="2"/>
        <v>6.4818537182126421E-2</v>
      </c>
      <c r="P19" s="103">
        <f>(AVERAGE(POWER(10,K19),POWER(10,L19),POWER(10,M19)))*(Calculation!$I19/Calculation!$K18)</f>
        <v>2045360025.248296</v>
      </c>
      <c r="Q19" s="109">
        <f>(STDEV(POWER(10,K19),POWER(10,L19),POWER(10,M19)))*(Calculation!$I19/Calculation!$K18)</f>
        <v>294491290.30563176</v>
      </c>
      <c r="R19" s="108">
        <f>LOG(P19)</f>
        <v>9.3107697637941467</v>
      </c>
      <c r="S19" s="108">
        <f>O19*(Calculation!$I19/Calculation!$K18)</f>
        <v>6.838306791891445E-2</v>
      </c>
    </row>
    <row r="22" spans="1:19">
      <c r="A22" s="105" t="s">
        <v>239</v>
      </c>
      <c r="B22" s="111">
        <f>LOG(B23)</f>
        <v>3.6532125137753435</v>
      </c>
    </row>
    <row r="23" spans="1:19">
      <c r="A23" s="88" t="s">
        <v>240</v>
      </c>
      <c r="B23" s="88">
        <f>20*1800/4/2</f>
        <v>4500</v>
      </c>
    </row>
    <row r="25" spans="1:19">
      <c r="E25" s="141" t="s">
        <v>223</v>
      </c>
      <c r="F25" s="142"/>
      <c r="G25" s="142"/>
      <c r="H25" s="142"/>
    </row>
    <row r="26" spans="1:19">
      <c r="A26" s="63" t="s">
        <v>241</v>
      </c>
      <c r="B26" s="63" t="s">
        <v>242</v>
      </c>
      <c r="C26" s="63"/>
      <c r="D26" s="63"/>
      <c r="E26" s="113">
        <v>15.7</v>
      </c>
      <c r="F26" s="112">
        <v>15.7</v>
      </c>
      <c r="G26" s="112">
        <v>15.6</v>
      </c>
      <c r="H26" s="112">
        <v>15.7</v>
      </c>
    </row>
    <row r="27" spans="1:19">
      <c r="A27" s="63" t="s">
        <v>241</v>
      </c>
      <c r="B27" s="63" t="s">
        <v>243</v>
      </c>
      <c r="C27" s="63"/>
      <c r="D27" s="63"/>
      <c r="E27" s="116">
        <v>15.2</v>
      </c>
      <c r="F27" s="117">
        <v>15.3</v>
      </c>
      <c r="G27" s="117">
        <v>15.3</v>
      </c>
      <c r="H27" s="117">
        <v>15.2</v>
      </c>
    </row>
    <row r="28" spans="1:19">
      <c r="A28" s="63" t="s">
        <v>241</v>
      </c>
      <c r="B28" s="63" t="s">
        <v>244</v>
      </c>
      <c r="C28" s="63"/>
      <c r="D28" s="63"/>
      <c r="E28" s="116">
        <v>15.9</v>
      </c>
      <c r="F28" s="117">
        <v>15.7</v>
      </c>
      <c r="G28" s="117">
        <v>15.7</v>
      </c>
      <c r="H28" s="117">
        <v>15.8</v>
      </c>
    </row>
    <row r="29" spans="1:19">
      <c r="A29" s="63" t="s">
        <v>241</v>
      </c>
      <c r="B29" s="63" t="s">
        <v>245</v>
      </c>
      <c r="C29" s="63"/>
      <c r="D29" s="63"/>
      <c r="E29" s="116">
        <v>16</v>
      </c>
      <c r="F29" s="117">
        <v>15.8</v>
      </c>
      <c r="G29" s="117">
        <v>15.7</v>
      </c>
      <c r="H29" s="117">
        <v>15.8</v>
      </c>
    </row>
    <row r="30" spans="1:19">
      <c r="A30" s="63" t="s">
        <v>246</v>
      </c>
      <c r="B30" s="63" t="s">
        <v>247</v>
      </c>
      <c r="C30" s="63"/>
      <c r="D30" s="63"/>
      <c r="E30" s="116">
        <v>15.8</v>
      </c>
      <c r="F30" s="117">
        <v>15.7</v>
      </c>
      <c r="G30" s="117">
        <v>15.7</v>
      </c>
      <c r="H30" s="117">
        <v>15.7</v>
      </c>
    </row>
    <row r="31" spans="1:19">
      <c r="A31" s="63" t="s">
        <v>246</v>
      </c>
      <c r="B31" s="63" t="s">
        <v>248</v>
      </c>
      <c r="C31" s="63"/>
      <c r="D31" s="63"/>
      <c r="E31" s="116">
        <v>15.8</v>
      </c>
      <c r="F31" s="117">
        <v>15.7</v>
      </c>
      <c r="G31" s="117">
        <v>15.7</v>
      </c>
      <c r="H31" s="117">
        <v>15.8</v>
      </c>
    </row>
    <row r="32" spans="1:19">
      <c r="A32" s="63" t="s">
        <v>246</v>
      </c>
      <c r="B32" s="63" t="s">
        <v>248</v>
      </c>
      <c r="C32" s="63"/>
      <c r="D32" s="63"/>
      <c r="E32" s="116">
        <v>15.4</v>
      </c>
      <c r="F32" s="117">
        <v>15.6</v>
      </c>
      <c r="G32" s="117">
        <v>15.5</v>
      </c>
      <c r="H32" s="117">
        <v>15.5</v>
      </c>
    </row>
    <row r="33" spans="1:8">
      <c r="A33" s="63" t="s">
        <v>246</v>
      </c>
      <c r="B33" s="63" t="s">
        <v>249</v>
      </c>
      <c r="C33" s="63"/>
      <c r="D33" s="63"/>
      <c r="E33" s="116">
        <v>15.3</v>
      </c>
      <c r="F33" s="117">
        <v>15.8</v>
      </c>
      <c r="G33" s="117">
        <v>15.7</v>
      </c>
      <c r="H33" s="117">
        <v>15.6</v>
      </c>
    </row>
    <row r="34" spans="1:8">
      <c r="A34" s="63" t="s">
        <v>250</v>
      </c>
      <c r="B34" s="63" t="s">
        <v>249</v>
      </c>
      <c r="C34" s="63"/>
      <c r="D34" s="63"/>
      <c r="E34" s="116">
        <v>15.8</v>
      </c>
      <c r="F34" s="117">
        <v>15.8</v>
      </c>
      <c r="G34" s="117">
        <v>15.8</v>
      </c>
      <c r="H34" s="117">
        <v>15.8</v>
      </c>
    </row>
    <row r="35" spans="1:8">
      <c r="A35" s="63" t="s">
        <v>250</v>
      </c>
      <c r="B35" s="63" t="s">
        <v>251</v>
      </c>
      <c r="C35" s="63"/>
      <c r="D35" s="63"/>
      <c r="E35" s="116">
        <v>15.8</v>
      </c>
      <c r="F35" s="117">
        <v>15.7</v>
      </c>
      <c r="G35" s="117">
        <v>16</v>
      </c>
      <c r="H35" s="117">
        <v>15.8</v>
      </c>
    </row>
    <row r="36" spans="1:8">
      <c r="A36" s="63" t="s">
        <v>250</v>
      </c>
      <c r="B36" s="63" t="s">
        <v>251</v>
      </c>
      <c r="C36" s="63"/>
      <c r="D36" s="63"/>
      <c r="E36" s="116">
        <v>15.7</v>
      </c>
      <c r="F36" s="117">
        <v>15.7</v>
      </c>
      <c r="G36" s="117">
        <v>15.6</v>
      </c>
      <c r="H36" s="117">
        <v>15.7</v>
      </c>
    </row>
    <row r="37" spans="1:8">
      <c r="A37" s="63" t="s">
        <v>250</v>
      </c>
      <c r="B37" s="63" t="s">
        <v>251</v>
      </c>
      <c r="C37" s="63"/>
      <c r="D37" s="63"/>
      <c r="E37" s="116">
        <v>15.6</v>
      </c>
      <c r="F37" s="117">
        <v>15.7</v>
      </c>
      <c r="G37" s="117">
        <v>15.6</v>
      </c>
      <c r="H37" s="117">
        <v>15.6</v>
      </c>
    </row>
    <row r="38" spans="1:8">
      <c r="A38" s="63" t="s">
        <v>253</v>
      </c>
      <c r="B38" s="63" t="s">
        <v>254</v>
      </c>
      <c r="C38" s="63"/>
      <c r="D38" s="63"/>
      <c r="E38" s="116">
        <v>15.8</v>
      </c>
      <c r="F38" s="117">
        <v>15.5</v>
      </c>
      <c r="G38" s="117">
        <v>15.7</v>
      </c>
      <c r="H38" s="117">
        <v>15.6</v>
      </c>
    </row>
    <row r="39" spans="1:8">
      <c r="A39" s="63" t="s">
        <v>253</v>
      </c>
      <c r="B39" s="63" t="s">
        <v>254</v>
      </c>
      <c r="C39" s="63"/>
      <c r="D39" s="63"/>
      <c r="E39" s="116">
        <v>15.6</v>
      </c>
      <c r="F39" s="117">
        <v>15.7</v>
      </c>
      <c r="G39" s="117">
        <v>15.7</v>
      </c>
      <c r="H39" s="117">
        <v>15.7</v>
      </c>
    </row>
    <row r="40" spans="1:8">
      <c r="A40" s="63" t="s">
        <v>253</v>
      </c>
      <c r="B40" s="63" t="s">
        <v>255</v>
      </c>
      <c r="C40" s="63"/>
      <c r="D40" s="63"/>
      <c r="E40" s="116">
        <v>15.8</v>
      </c>
      <c r="F40" s="117">
        <v>15.7</v>
      </c>
      <c r="G40" s="117">
        <v>15.8</v>
      </c>
      <c r="H40" s="117">
        <v>15.8</v>
      </c>
    </row>
    <row r="41" spans="1:8">
      <c r="A41" s="63" t="s">
        <v>253</v>
      </c>
      <c r="B41" s="63" t="s">
        <v>256</v>
      </c>
      <c r="C41" s="63"/>
      <c r="D41" s="63"/>
      <c r="E41" s="116">
        <v>15.8</v>
      </c>
      <c r="F41" s="117">
        <v>15.7</v>
      </c>
      <c r="G41" s="117">
        <v>15.6</v>
      </c>
      <c r="H41" s="117">
        <v>15.7</v>
      </c>
    </row>
    <row r="42" spans="1:8">
      <c r="A42" s="101" t="s">
        <v>258</v>
      </c>
      <c r="B42" s="101" t="s">
        <v>257</v>
      </c>
      <c r="E42" s="113">
        <v>15.258575439453125</v>
      </c>
      <c r="F42" s="112">
        <v>15.478802680969238</v>
      </c>
      <c r="G42" s="112">
        <v>15.974754333496094</v>
      </c>
      <c r="H42" s="112">
        <f>AVERAGE(E42:G42)</f>
        <v>15.570710817972818</v>
      </c>
    </row>
    <row r="43" spans="1:8">
      <c r="A43" s="101" t="s">
        <v>258</v>
      </c>
      <c r="B43" s="101" t="s">
        <v>259</v>
      </c>
      <c r="E43" s="113">
        <v>15.35291576385498</v>
      </c>
      <c r="F43" s="112">
        <v>15.170954704284668</v>
      </c>
      <c r="G43" s="112">
        <v>15.236812591552734</v>
      </c>
      <c r="H43" s="112">
        <f t="shared" ref="H43:H67" si="5">AVERAGE(E43:G43)</f>
        <v>15.253561019897461</v>
      </c>
    </row>
    <row r="44" spans="1:8">
      <c r="A44" s="101" t="s">
        <v>258</v>
      </c>
      <c r="B44" s="101" t="s">
        <v>260</v>
      </c>
      <c r="E44" s="113">
        <v>15.810567855834961</v>
      </c>
      <c r="F44" s="112">
        <v>15.790656089782715</v>
      </c>
      <c r="G44" s="112">
        <v>15.956247329711914</v>
      </c>
      <c r="H44" s="112">
        <f t="shared" si="5"/>
        <v>15.852490425109863</v>
      </c>
    </row>
    <row r="45" spans="1:8">
      <c r="A45" s="101" t="s">
        <v>258</v>
      </c>
      <c r="B45" s="101" t="s">
        <v>261</v>
      </c>
      <c r="E45" s="113">
        <v>15.760116577148438</v>
      </c>
      <c r="F45" s="112">
        <v>15.89314079284668</v>
      </c>
      <c r="G45" s="112">
        <v>15.903885841369629</v>
      </c>
      <c r="H45" s="112">
        <f t="shared" si="5"/>
        <v>15.852381070454916</v>
      </c>
    </row>
    <row r="46" spans="1:8">
      <c r="A46" s="101" t="s">
        <v>262</v>
      </c>
      <c r="B46" s="101" t="s">
        <v>263</v>
      </c>
      <c r="E46" s="113">
        <v>15.956473350524902</v>
      </c>
      <c r="F46" s="112">
        <v>15.595272064208984</v>
      </c>
      <c r="G46" s="112">
        <v>15.919502258300781</v>
      </c>
      <c r="H46" s="112">
        <f t="shared" si="5"/>
        <v>15.823749224344889</v>
      </c>
    </row>
    <row r="47" spans="1:8">
      <c r="A47" s="101" t="s">
        <v>262</v>
      </c>
      <c r="B47" s="101" t="s">
        <v>264</v>
      </c>
      <c r="E47" s="113">
        <v>15.711461067199707</v>
      </c>
      <c r="F47" s="112">
        <v>15.73438835144043</v>
      </c>
      <c r="G47" s="112">
        <v>15.689187049865723</v>
      </c>
      <c r="H47" s="112">
        <f t="shared" si="5"/>
        <v>15.711678822835287</v>
      </c>
    </row>
    <row r="48" spans="1:8">
      <c r="A48" s="101" t="s">
        <v>262</v>
      </c>
      <c r="B48" s="101" t="s">
        <v>265</v>
      </c>
      <c r="E48" s="113">
        <v>15.574808120727539</v>
      </c>
      <c r="F48" s="112">
        <v>15.501856803894043</v>
      </c>
      <c r="G48" s="112">
        <v>15.596255302429199</v>
      </c>
      <c r="H48" s="112">
        <f t="shared" si="5"/>
        <v>15.557640075683594</v>
      </c>
    </row>
    <row r="49" spans="1:8">
      <c r="A49" s="101" t="s">
        <v>262</v>
      </c>
      <c r="B49" s="101" t="s">
        <v>266</v>
      </c>
      <c r="E49" s="113">
        <v>15.60640811920166</v>
      </c>
      <c r="F49" s="112">
        <v>15.595258712768555</v>
      </c>
      <c r="G49" s="112">
        <v>15.58064079284668</v>
      </c>
      <c r="H49" s="112">
        <f t="shared" si="5"/>
        <v>15.594102541605631</v>
      </c>
    </row>
    <row r="50" spans="1:8">
      <c r="A50" s="101" t="s">
        <v>267</v>
      </c>
      <c r="B50" s="101" t="s">
        <v>268</v>
      </c>
      <c r="E50" s="113">
        <v>15.40764331817627</v>
      </c>
      <c r="F50" s="112">
        <v>15.702505111694336</v>
      </c>
      <c r="G50" s="112">
        <v>15.805522918701172</v>
      </c>
      <c r="H50" s="112">
        <f t="shared" si="5"/>
        <v>15.638557116190592</v>
      </c>
    </row>
    <row r="51" spans="1:8">
      <c r="A51" s="63" t="s">
        <v>267</v>
      </c>
      <c r="B51" s="63" t="s">
        <v>269</v>
      </c>
      <c r="C51" s="63"/>
      <c r="D51" s="63"/>
      <c r="E51" s="113">
        <v>15.5</v>
      </c>
      <c r="F51" s="112">
        <v>15.5</v>
      </c>
      <c r="G51" s="112">
        <v>15.4</v>
      </c>
      <c r="H51" s="112">
        <f t="shared" si="5"/>
        <v>15.466666666666667</v>
      </c>
    </row>
    <row r="52" spans="1:8">
      <c r="A52" s="63" t="s">
        <v>267</v>
      </c>
      <c r="B52" s="63" t="s">
        <v>269</v>
      </c>
      <c r="C52" s="63"/>
      <c r="D52" s="63"/>
      <c r="E52" s="116">
        <v>15.8</v>
      </c>
      <c r="F52" s="117">
        <v>15.4</v>
      </c>
      <c r="G52" s="117">
        <v>15.4</v>
      </c>
      <c r="H52" s="112">
        <f t="shared" si="5"/>
        <v>15.533333333333333</v>
      </c>
    </row>
    <row r="53" spans="1:8">
      <c r="A53" s="63" t="s">
        <v>267</v>
      </c>
      <c r="B53" s="63" t="s">
        <v>270</v>
      </c>
      <c r="C53" s="63"/>
      <c r="D53" s="63"/>
      <c r="E53" s="116">
        <v>15.6</v>
      </c>
      <c r="F53" s="117">
        <v>15.5</v>
      </c>
      <c r="G53" s="117">
        <v>15.6</v>
      </c>
      <c r="H53" s="112">
        <f t="shared" si="5"/>
        <v>15.566666666666668</v>
      </c>
    </row>
    <row r="54" spans="1:8">
      <c r="A54" s="63" t="s">
        <v>271</v>
      </c>
      <c r="B54" s="63" t="s">
        <v>272</v>
      </c>
      <c r="C54" s="63"/>
      <c r="D54" s="63"/>
      <c r="E54" s="116">
        <v>15.6</v>
      </c>
      <c r="F54" s="117">
        <v>15.6</v>
      </c>
      <c r="G54" s="117">
        <v>15.8</v>
      </c>
      <c r="H54" s="112">
        <f t="shared" si="5"/>
        <v>15.666666666666666</v>
      </c>
    </row>
    <row r="55" spans="1:8">
      <c r="A55" s="63" t="s">
        <v>271</v>
      </c>
      <c r="B55" s="63" t="s">
        <v>272</v>
      </c>
      <c r="C55" s="63"/>
      <c r="D55" s="63"/>
      <c r="E55" s="116">
        <v>15.577789306640625</v>
      </c>
      <c r="F55" s="117">
        <v>15.603015899658203</v>
      </c>
      <c r="G55" s="117">
        <v>15.626909255981445</v>
      </c>
      <c r="H55" s="112">
        <f t="shared" si="5"/>
        <v>15.602571487426758</v>
      </c>
    </row>
    <row r="56" spans="1:8">
      <c r="A56" s="101" t="s">
        <v>271</v>
      </c>
      <c r="B56" s="101" t="s">
        <v>273</v>
      </c>
      <c r="E56" s="116">
        <v>15.925136566162109</v>
      </c>
      <c r="F56" s="117"/>
      <c r="G56" s="117">
        <v>15.940312385559082</v>
      </c>
      <c r="H56" s="112">
        <f t="shared" si="5"/>
        <v>15.932724475860596</v>
      </c>
    </row>
    <row r="57" spans="1:8">
      <c r="A57" s="101" t="s">
        <v>271</v>
      </c>
      <c r="B57" s="101" t="s">
        <v>273</v>
      </c>
      <c r="E57" s="113">
        <v>15.2</v>
      </c>
      <c r="F57" s="112">
        <v>15.3</v>
      </c>
      <c r="G57" s="112">
        <v>15.4</v>
      </c>
      <c r="H57" s="112">
        <f t="shared" si="5"/>
        <v>15.299999999999999</v>
      </c>
    </row>
    <row r="58" spans="1:8">
      <c r="A58" s="101" t="s">
        <v>274</v>
      </c>
      <c r="B58" s="101" t="s">
        <v>275</v>
      </c>
      <c r="E58" s="113">
        <v>15.989936828613281</v>
      </c>
      <c r="F58" s="112">
        <v>15.856328964233398</v>
      </c>
      <c r="G58" s="112">
        <v>15.836997985839844</v>
      </c>
      <c r="H58" s="112">
        <f t="shared" si="5"/>
        <v>15.894421259562174</v>
      </c>
    </row>
    <row r="59" spans="1:8">
      <c r="A59" s="101" t="s">
        <v>274</v>
      </c>
      <c r="B59" s="101" t="s">
        <v>276</v>
      </c>
      <c r="E59" s="113">
        <v>15.699069023132324</v>
      </c>
      <c r="F59" s="112">
        <v>15.817172050476074</v>
      </c>
      <c r="G59" s="112">
        <v>16.075807571411133</v>
      </c>
      <c r="H59" s="112">
        <f t="shared" si="5"/>
        <v>15.86401621500651</v>
      </c>
    </row>
    <row r="60" spans="1:8">
      <c r="A60" s="101" t="s">
        <v>274</v>
      </c>
      <c r="B60" s="101" t="s">
        <v>277</v>
      </c>
      <c r="E60" s="113">
        <v>14.193151473999023</v>
      </c>
      <c r="F60" s="112">
        <v>14.592436790466309</v>
      </c>
      <c r="G60" s="112">
        <v>14.826726913452148</v>
      </c>
      <c r="H60" s="112">
        <f t="shared" si="5"/>
        <v>14.53743839263916</v>
      </c>
    </row>
    <row r="61" spans="1:8">
      <c r="A61" s="101" t="s">
        <v>278</v>
      </c>
      <c r="B61" s="101" t="s">
        <v>277</v>
      </c>
      <c r="E61" s="113">
        <v>15.753643035888672</v>
      </c>
      <c r="F61" s="112">
        <v>15.53950309753418</v>
      </c>
      <c r="G61" s="112">
        <v>16.160148620605469</v>
      </c>
      <c r="H61" s="112">
        <f t="shared" si="5"/>
        <v>15.81776491800944</v>
      </c>
    </row>
    <row r="62" spans="1:8">
      <c r="A62" s="101" t="s">
        <v>278</v>
      </c>
      <c r="B62" s="101" t="s">
        <v>279</v>
      </c>
      <c r="E62" s="113">
        <v>16.152790069580078</v>
      </c>
      <c r="F62" s="112">
        <v>15.918967247009277</v>
      </c>
      <c r="G62" s="112">
        <v>16.004350662231445</v>
      </c>
      <c r="H62" s="112">
        <f t="shared" si="5"/>
        <v>16.025369326273601</v>
      </c>
    </row>
    <row r="63" spans="1:8">
      <c r="A63" s="101" t="s">
        <v>278</v>
      </c>
      <c r="B63" s="101" t="s">
        <v>280</v>
      </c>
      <c r="E63" s="113">
        <v>15.725796699523926</v>
      </c>
      <c r="F63" s="112">
        <v>15.72511100769043</v>
      </c>
      <c r="G63" s="112">
        <v>15.700724601745605</v>
      </c>
      <c r="H63" s="112">
        <f t="shared" si="5"/>
        <v>15.71721076965332</v>
      </c>
    </row>
    <row r="64" spans="1:8">
      <c r="A64" s="101" t="s">
        <v>278</v>
      </c>
      <c r="B64" s="101" t="s">
        <v>281</v>
      </c>
      <c r="E64" s="113">
        <v>15.868610382080078</v>
      </c>
      <c r="F64" s="112">
        <v>15.950244903564453</v>
      </c>
      <c r="G64" s="112">
        <v>15.73750114440918</v>
      </c>
      <c r="H64" s="112">
        <f t="shared" si="5"/>
        <v>15.852118810017904</v>
      </c>
    </row>
    <row r="65" spans="1:8">
      <c r="A65" s="101" t="s">
        <v>278</v>
      </c>
      <c r="B65" s="101" t="s">
        <v>281</v>
      </c>
      <c r="E65" s="113">
        <v>15.411773681640625</v>
      </c>
      <c r="F65" s="112">
        <v>15.347482681274414</v>
      </c>
      <c r="G65" s="112">
        <v>15.357060432434082</v>
      </c>
      <c r="H65" s="112">
        <f t="shared" si="5"/>
        <v>15.372105598449707</v>
      </c>
    </row>
    <row r="66" spans="1:8">
      <c r="A66" s="101" t="s">
        <v>241</v>
      </c>
      <c r="B66" s="101" t="s">
        <v>282</v>
      </c>
      <c r="E66" s="113">
        <v>15.701089859008789</v>
      </c>
      <c r="F66" s="112">
        <v>15.69521427154541</v>
      </c>
      <c r="G66" s="112">
        <v>15.858868598937988</v>
      </c>
      <c r="H66" s="112">
        <f t="shared" si="5"/>
        <v>15.751724243164062</v>
      </c>
    </row>
    <row r="67" spans="1:8">
      <c r="A67" s="101" t="s">
        <v>241</v>
      </c>
      <c r="B67" s="101" t="s">
        <v>283</v>
      </c>
      <c r="E67" s="113">
        <v>15.664003372192383</v>
      </c>
      <c r="F67" s="112">
        <v>15.706714630126953</v>
      </c>
      <c r="G67" s="112">
        <v>15.883712768554688</v>
      </c>
      <c r="H67" s="112">
        <f t="shared" si="5"/>
        <v>15.751476923624674</v>
      </c>
    </row>
    <row r="68" spans="1:8">
      <c r="A68" s="101" t="s">
        <v>241</v>
      </c>
      <c r="B68" s="101" t="s">
        <v>283</v>
      </c>
      <c r="E68" s="113">
        <v>15.815454483032227</v>
      </c>
      <c r="F68" s="112">
        <v>15.873584747314453</v>
      </c>
      <c r="G68" s="112">
        <v>15.955685615539551</v>
      </c>
      <c r="H68" s="112">
        <f>AVERAGE(E68:G68)</f>
        <v>15.881574948628744</v>
      </c>
    </row>
    <row r="69" spans="1:8">
      <c r="A69" s="101" t="s">
        <v>241</v>
      </c>
      <c r="B69" s="101" t="s">
        <v>284</v>
      </c>
      <c r="E69" s="113">
        <v>15.894612312316895</v>
      </c>
      <c r="F69" s="112">
        <v>15.946266174316406</v>
      </c>
      <c r="G69" s="112">
        <v>15.963062286376953</v>
      </c>
      <c r="H69" s="112">
        <f>AVERAGE(E69:G69)</f>
        <v>15.934646924336752</v>
      </c>
    </row>
    <row r="70" spans="1:8">
      <c r="A70" s="101"/>
      <c r="B70" s="101"/>
      <c r="E70" s="114"/>
      <c r="F70" s="114"/>
      <c r="G70" s="114"/>
      <c r="H70" s="114"/>
    </row>
    <row r="71" spans="1:8">
      <c r="E71" s="101" t="s">
        <v>252</v>
      </c>
      <c r="H71" s="115">
        <f>AVERAGE(H26:H69)</f>
        <v>15.661894744092768</v>
      </c>
    </row>
  </sheetData>
  <mergeCells count="20">
    <mergeCell ref="E25:H25"/>
    <mergeCell ref="S2:S3"/>
    <mergeCell ref="M2:M3"/>
    <mergeCell ref="N2:N3"/>
    <mergeCell ref="O2:O3"/>
    <mergeCell ref="P2:P3"/>
    <mergeCell ref="Q2:Q3"/>
    <mergeCell ref="R2:R3"/>
    <mergeCell ref="L2:L3"/>
    <mergeCell ref="F2:F3"/>
    <mergeCell ref="G2:G3"/>
    <mergeCell ref="H2:H3"/>
    <mergeCell ref="I2:I3"/>
    <mergeCell ref="J2:J3"/>
    <mergeCell ref="K2:K3"/>
    <mergeCell ref="A2:A3"/>
    <mergeCell ref="B2:B3"/>
    <mergeCell ref="C2:C3"/>
    <mergeCell ref="D2:D3"/>
    <mergeCell ref="E2:E3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13" sqref="H13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125" t="s">
        <v>4</v>
      </c>
      <c r="B1" s="125" t="s">
        <v>104</v>
      </c>
      <c r="C1" s="125" t="s">
        <v>104</v>
      </c>
      <c r="D1" s="125" t="s">
        <v>5</v>
      </c>
      <c r="E1" s="125" t="s">
        <v>19</v>
      </c>
      <c r="F1" s="125" t="s">
        <v>24</v>
      </c>
      <c r="G1" s="121" t="s">
        <v>25</v>
      </c>
      <c r="H1" s="118" t="s">
        <v>26</v>
      </c>
      <c r="I1" s="4" t="s">
        <v>27</v>
      </c>
      <c r="J1" s="57" t="s">
        <v>27</v>
      </c>
    </row>
    <row r="2" spans="1:10">
      <c r="A2" s="126"/>
      <c r="B2" s="126"/>
      <c r="C2" s="126"/>
      <c r="D2" s="126"/>
      <c r="E2" s="126"/>
      <c r="F2" s="126"/>
      <c r="G2" s="121"/>
      <c r="H2" s="118"/>
      <c r="I2" s="5" t="s">
        <v>28</v>
      </c>
      <c r="J2" s="58" t="s">
        <v>23</v>
      </c>
    </row>
    <row r="3" spans="1:10">
      <c r="A3" s="53" t="s">
        <v>6</v>
      </c>
      <c r="B3" s="54">
        <v>-10</v>
      </c>
      <c r="C3" s="54">
        <v>-10</v>
      </c>
      <c r="D3" s="66">
        <v>-0.16666666666666666</v>
      </c>
      <c r="E3" s="40">
        <v>1</v>
      </c>
      <c r="F3" s="51">
        <v>8.6999999999999994E-2</v>
      </c>
      <c r="G3" s="51">
        <v>8.6999999999999994E-2</v>
      </c>
      <c r="H3" s="51">
        <v>8.6999999999999994E-2</v>
      </c>
      <c r="I3" s="52">
        <f>E3*(AVERAGE(F3:H3)*1.6007-0.0118)</f>
        <v>0.12746090000000002</v>
      </c>
      <c r="J3" s="59">
        <f>E3*(STDEV(F3:H3)*1.6007)</f>
        <v>2.7206696834821082E-17</v>
      </c>
    </row>
    <row r="4" spans="1:10">
      <c r="A4" s="55">
        <v>0</v>
      </c>
      <c r="B4" s="56">
        <v>10</v>
      </c>
      <c r="C4" s="56">
        <v>10</v>
      </c>
      <c r="D4" s="66">
        <v>0.16666666666666666</v>
      </c>
      <c r="E4" s="40">
        <v>1</v>
      </c>
      <c r="F4" s="51">
        <v>0.192</v>
      </c>
      <c r="G4" s="51">
        <v>0.192</v>
      </c>
      <c r="H4" s="51">
        <v>0.192</v>
      </c>
      <c r="I4" s="52">
        <f>E4*(AVERAGE(F4:H4)*1.6007-0.0118)</f>
        <v>0.29553440000000009</v>
      </c>
      <c r="J4" s="59">
        <f t="shared" ref="J4:J19" si="0">E4*(STDEV(F4:H4)*1.6007)</f>
        <v>5.4413393669642165E-17</v>
      </c>
    </row>
    <row r="5" spans="1:10">
      <c r="A5" s="55">
        <v>1</v>
      </c>
      <c r="B5" s="56">
        <v>110</v>
      </c>
      <c r="C5" s="56">
        <v>120</v>
      </c>
      <c r="D5" s="66">
        <v>2</v>
      </c>
      <c r="E5" s="40">
        <v>1</v>
      </c>
      <c r="F5" s="51">
        <v>0.31</v>
      </c>
      <c r="G5" s="51">
        <v>0.31</v>
      </c>
      <c r="H5" s="51">
        <v>0.31</v>
      </c>
      <c r="I5" s="52">
        <f t="shared" ref="I5:I19" si="1">E5*(AVERAGE(F5:H5)*1.6007-0.0118)</f>
        <v>0.48441700000000004</v>
      </c>
      <c r="J5" s="59">
        <f t="shared" si="0"/>
        <v>0</v>
      </c>
    </row>
    <row r="6" spans="1:10">
      <c r="A6" s="55">
        <v>2</v>
      </c>
      <c r="B6" s="56">
        <v>80</v>
      </c>
      <c r="C6" s="56">
        <v>200</v>
      </c>
      <c r="D6" s="66">
        <v>3.3333333333333335</v>
      </c>
      <c r="E6" s="40">
        <v>10</v>
      </c>
      <c r="F6" s="51">
        <v>4.9000000000000002E-2</v>
      </c>
      <c r="G6" s="51">
        <v>0.05</v>
      </c>
      <c r="H6" s="51">
        <v>5.7000000000000002E-2</v>
      </c>
      <c r="I6" s="52">
        <f t="shared" si="1"/>
        <v>0.714364</v>
      </c>
      <c r="J6" s="59">
        <f t="shared" si="0"/>
        <v>6.977289538925556E-2</v>
      </c>
    </row>
    <row r="7" spans="1:10">
      <c r="A7" s="55">
        <v>3</v>
      </c>
      <c r="B7" s="56">
        <v>80</v>
      </c>
      <c r="C7" s="56">
        <v>280</v>
      </c>
      <c r="D7" s="66">
        <v>4.666666666666667</v>
      </c>
      <c r="E7" s="40">
        <v>10</v>
      </c>
      <c r="F7" s="51">
        <v>6.5000000000000002E-2</v>
      </c>
      <c r="G7" s="51">
        <v>7.8E-2</v>
      </c>
      <c r="H7" s="51">
        <v>6.7000000000000004E-2</v>
      </c>
      <c r="I7" s="52">
        <f t="shared" si="1"/>
        <v>1.0024900000000001</v>
      </c>
      <c r="J7" s="59">
        <f t="shared" si="0"/>
        <v>0.11204899999999997</v>
      </c>
    </row>
    <row r="8" spans="1:10">
      <c r="A8" s="55">
        <v>4</v>
      </c>
      <c r="B8" s="56">
        <v>80</v>
      </c>
      <c r="C8" s="56">
        <v>360</v>
      </c>
      <c r="D8" s="66">
        <v>6</v>
      </c>
      <c r="E8" s="40">
        <v>10</v>
      </c>
      <c r="F8" s="51">
        <v>0.12</v>
      </c>
      <c r="G8" s="51">
        <v>0.124</v>
      </c>
      <c r="H8" s="51">
        <v>0.127</v>
      </c>
      <c r="I8" s="52">
        <f t="shared" si="1"/>
        <v>1.8615323333333331</v>
      </c>
      <c r="J8" s="59">
        <f t="shared" si="0"/>
        <v>5.6214736540637987E-2</v>
      </c>
    </row>
    <row r="9" spans="1:10">
      <c r="A9" s="55">
        <v>5</v>
      </c>
      <c r="B9" s="56">
        <v>80</v>
      </c>
      <c r="C9" s="56">
        <v>440</v>
      </c>
      <c r="D9" s="66">
        <v>7.333333333333333</v>
      </c>
      <c r="E9" s="40">
        <v>10</v>
      </c>
      <c r="F9" s="51">
        <v>0.18</v>
      </c>
      <c r="G9" s="51">
        <v>0.17699999999999999</v>
      </c>
      <c r="H9" s="51">
        <v>0.182</v>
      </c>
      <c r="I9" s="52">
        <f t="shared" si="1"/>
        <v>2.757924333333333</v>
      </c>
      <c r="J9" s="59">
        <f t="shared" si="0"/>
        <v>4.0283399935126328E-2</v>
      </c>
    </row>
    <row r="10" spans="1:10">
      <c r="A10" s="55">
        <v>6</v>
      </c>
      <c r="B10" s="56">
        <v>180</v>
      </c>
      <c r="C10" s="56">
        <v>620</v>
      </c>
      <c r="D10" s="66">
        <v>10.333333333333334</v>
      </c>
      <c r="E10" s="40">
        <v>20</v>
      </c>
      <c r="F10" s="51">
        <v>0.17100000000000001</v>
      </c>
      <c r="G10" s="51">
        <v>0.161</v>
      </c>
      <c r="H10" s="51">
        <v>0.16600000000000001</v>
      </c>
      <c r="I10" s="52">
        <f t="shared" si="1"/>
        <v>5.0783240000000003</v>
      </c>
      <c r="J10" s="59">
        <f t="shared" si="0"/>
        <v>0.16007000000000016</v>
      </c>
    </row>
    <row r="11" spans="1:10">
      <c r="A11" s="55">
        <v>7</v>
      </c>
      <c r="B11" s="56">
        <v>80</v>
      </c>
      <c r="C11" s="56">
        <v>700</v>
      </c>
      <c r="D11" s="66">
        <v>11.666666666666666</v>
      </c>
      <c r="E11" s="40">
        <v>20</v>
      </c>
      <c r="F11" s="51">
        <v>0.20899999999999999</v>
      </c>
      <c r="G11" s="51">
        <v>0.21</v>
      </c>
      <c r="H11" s="51">
        <v>0.20899999999999999</v>
      </c>
      <c r="I11" s="52">
        <f t="shared" si="1"/>
        <v>6.4655973333333341</v>
      </c>
      <c r="J11" s="59">
        <f t="shared" si="0"/>
        <v>1.8483291517836696E-2</v>
      </c>
    </row>
    <row r="12" spans="1:10">
      <c r="A12" s="55">
        <v>8</v>
      </c>
      <c r="B12" s="56">
        <v>80</v>
      </c>
      <c r="C12" s="56">
        <v>780</v>
      </c>
      <c r="D12" s="66">
        <v>13</v>
      </c>
      <c r="E12" s="40">
        <v>20</v>
      </c>
      <c r="F12" s="51">
        <v>0.23400000000000001</v>
      </c>
      <c r="G12" s="51">
        <v>0.21199999999999999</v>
      </c>
      <c r="H12" s="51">
        <v>0.23400000000000001</v>
      </c>
      <c r="I12" s="52">
        <f t="shared" si="1"/>
        <v>7.0205066666666678</v>
      </c>
      <c r="J12" s="59">
        <f t="shared" si="0"/>
        <v>0.40663241339240735</v>
      </c>
    </row>
    <row r="13" spans="1:10">
      <c r="A13" s="55">
        <v>9</v>
      </c>
      <c r="B13" s="56">
        <v>80</v>
      </c>
      <c r="C13" s="56">
        <v>860</v>
      </c>
      <c r="D13" s="66">
        <v>14.333333333333334</v>
      </c>
      <c r="E13" s="40">
        <v>20</v>
      </c>
      <c r="F13" s="51">
        <v>0.222</v>
      </c>
      <c r="G13" s="51">
        <v>0.222</v>
      </c>
      <c r="H13" s="51">
        <v>0.247</v>
      </c>
      <c r="I13" s="52">
        <f t="shared" si="1"/>
        <v>7.1378913333333349</v>
      </c>
      <c r="J13" s="59">
        <f t="shared" si="0"/>
        <v>0.46208228794591688</v>
      </c>
    </row>
    <row r="14" spans="1:10">
      <c r="A14" s="55">
        <v>10</v>
      </c>
      <c r="B14" s="56">
        <v>80</v>
      </c>
      <c r="C14" s="56">
        <v>940</v>
      </c>
      <c r="D14" s="66">
        <v>15.666666666666666</v>
      </c>
      <c r="E14" s="40">
        <v>20</v>
      </c>
      <c r="F14" s="51">
        <v>0.192</v>
      </c>
      <c r="G14" s="51">
        <v>0.219</v>
      </c>
      <c r="H14" s="51">
        <v>0.20499999999999999</v>
      </c>
      <c r="I14" s="52">
        <f t="shared" si="1"/>
        <v>6.3375413333333341</v>
      </c>
      <c r="J14" s="59">
        <f t="shared" si="0"/>
        <v>0.43228779734955891</v>
      </c>
    </row>
    <row r="15" spans="1:10">
      <c r="A15" s="55">
        <v>11</v>
      </c>
      <c r="B15" s="56">
        <v>80</v>
      </c>
      <c r="C15" s="56">
        <v>1020</v>
      </c>
      <c r="D15" s="66">
        <v>17</v>
      </c>
      <c r="E15" s="40">
        <v>20</v>
      </c>
      <c r="F15" s="51">
        <v>0.16700000000000001</v>
      </c>
      <c r="G15" s="51">
        <v>0.18099999999999999</v>
      </c>
      <c r="H15" s="51">
        <v>0.16900000000000001</v>
      </c>
      <c r="I15" s="52">
        <f t="shared" si="1"/>
        <v>5.2810793333333343</v>
      </c>
      <c r="J15" s="59">
        <f t="shared" si="0"/>
        <v>0.24240609570993299</v>
      </c>
    </row>
    <row r="16" spans="1:10">
      <c r="A16" s="55">
        <v>12</v>
      </c>
      <c r="B16" s="56">
        <v>80</v>
      </c>
      <c r="C16" s="56">
        <v>1100</v>
      </c>
      <c r="D16" s="66">
        <v>18.333333333333332</v>
      </c>
      <c r="E16" s="40">
        <v>20</v>
      </c>
      <c r="F16" s="51">
        <v>0.16</v>
      </c>
      <c r="G16" s="51">
        <v>0.16900000000000001</v>
      </c>
      <c r="H16" s="51">
        <v>0.158</v>
      </c>
      <c r="I16" s="52">
        <f t="shared" si="1"/>
        <v>4.9609393333333331</v>
      </c>
      <c r="J16" s="59">
        <f t="shared" si="0"/>
        <v>0.18758492138051341</v>
      </c>
    </row>
    <row r="17" spans="1:10">
      <c r="A17" s="55">
        <v>13</v>
      </c>
      <c r="B17" s="56">
        <v>340</v>
      </c>
      <c r="C17" s="56">
        <v>1440</v>
      </c>
      <c r="D17" s="66">
        <v>24</v>
      </c>
      <c r="E17" s="40">
        <v>20</v>
      </c>
      <c r="F17" s="51">
        <v>0.121</v>
      </c>
      <c r="G17" s="51">
        <v>0.125</v>
      </c>
      <c r="H17" s="51">
        <v>0.126</v>
      </c>
      <c r="I17" s="52">
        <f t="shared" si="1"/>
        <v>3.7337359999999995</v>
      </c>
      <c r="J17" s="59">
        <f t="shared" si="0"/>
        <v>8.4701082472421876E-2</v>
      </c>
    </row>
    <row r="18" spans="1:10">
      <c r="A18" s="55">
        <v>14</v>
      </c>
      <c r="B18" s="56">
        <v>360</v>
      </c>
      <c r="C18" s="56">
        <v>1800</v>
      </c>
      <c r="D18" s="66">
        <v>30</v>
      </c>
      <c r="E18" s="40">
        <v>10</v>
      </c>
      <c r="F18" s="51">
        <v>0.18099999999999999</v>
      </c>
      <c r="G18" s="51">
        <v>0.16200000000000001</v>
      </c>
      <c r="H18" s="51">
        <v>0.16500000000000001</v>
      </c>
      <c r="I18" s="52">
        <f t="shared" si="1"/>
        <v>2.5925186666666673</v>
      </c>
      <c r="J18" s="59">
        <f t="shared" si="0"/>
        <v>0.16350140400722343</v>
      </c>
    </row>
    <row r="19" spans="1:10">
      <c r="A19" s="55">
        <v>15</v>
      </c>
      <c r="B19" s="56">
        <v>1080</v>
      </c>
      <c r="C19" s="56">
        <v>2880</v>
      </c>
      <c r="D19" s="66">
        <v>48</v>
      </c>
      <c r="E19" s="40">
        <v>10</v>
      </c>
      <c r="F19" s="51">
        <v>0.1</v>
      </c>
      <c r="G19" s="51">
        <v>9.8000000000000004E-2</v>
      </c>
      <c r="H19" s="51">
        <v>9.6000000000000002E-2</v>
      </c>
      <c r="I19" s="52">
        <f t="shared" si="1"/>
        <v>1.4506860000000001</v>
      </c>
      <c r="J19" s="59">
        <f t="shared" si="0"/>
        <v>3.2014000000000029E-2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D3" sqref="D3:D19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125" t="s">
        <v>4</v>
      </c>
      <c r="B1" s="125" t="s">
        <v>104</v>
      </c>
      <c r="C1" s="125" t="s">
        <v>104</v>
      </c>
      <c r="D1" s="125" t="s">
        <v>5</v>
      </c>
      <c r="E1" s="4" t="s">
        <v>29</v>
      </c>
      <c r="F1" s="4" t="s">
        <v>2</v>
      </c>
      <c r="G1" s="4" t="s">
        <v>32</v>
      </c>
    </row>
    <row r="2" spans="1:7">
      <c r="A2" s="126"/>
      <c r="B2" s="126"/>
      <c r="C2" s="126"/>
      <c r="D2" s="126"/>
      <c r="E2" s="5" t="s">
        <v>30</v>
      </c>
      <c r="F2" s="5" t="s">
        <v>31</v>
      </c>
      <c r="G2" s="5" t="s">
        <v>33</v>
      </c>
    </row>
    <row r="3" spans="1:7">
      <c r="A3" s="53" t="s">
        <v>6</v>
      </c>
      <c r="B3" s="54">
        <v>-10</v>
      </c>
      <c r="C3" s="54">
        <v>-10</v>
      </c>
      <c r="D3" s="66">
        <v>-0.16666666666666666</v>
      </c>
      <c r="E3" s="1"/>
      <c r="F3" s="1"/>
      <c r="G3" s="1" t="e">
        <f>(F3-$C$21)/E3*1000*Calculation!I4/Calculation!K3</f>
        <v>#DIV/0!</v>
      </c>
    </row>
    <row r="4" spans="1:7">
      <c r="A4" s="55">
        <v>0</v>
      </c>
      <c r="B4" s="56">
        <v>10</v>
      </c>
      <c r="C4" s="56">
        <v>10</v>
      </c>
      <c r="D4" s="66">
        <v>0.16666666666666666</v>
      </c>
      <c r="E4" s="1"/>
      <c r="F4" s="1"/>
      <c r="G4" s="1" t="e">
        <f>(F4-$C$21)/E4*1000*Calculation!I5/Calculation!K4</f>
        <v>#DIV/0!</v>
      </c>
    </row>
    <row r="5" spans="1:7">
      <c r="A5" s="55">
        <v>1</v>
      </c>
      <c r="B5" s="56">
        <v>110</v>
      </c>
      <c r="C5" s="56">
        <v>120</v>
      </c>
      <c r="D5" s="66">
        <v>2</v>
      </c>
      <c r="E5" s="1"/>
      <c r="F5" s="1"/>
      <c r="G5" s="1" t="e">
        <f>(F5-$C$21)/E5*1000*Calculation!I6/Calculation!K5</f>
        <v>#DIV/0!</v>
      </c>
    </row>
    <row r="6" spans="1:7">
      <c r="A6" s="55">
        <v>2</v>
      </c>
      <c r="B6" s="56">
        <v>80</v>
      </c>
      <c r="C6" s="56">
        <v>200</v>
      </c>
      <c r="D6" s="66">
        <v>3.3333333333333335</v>
      </c>
      <c r="E6" s="1"/>
      <c r="F6" s="1"/>
      <c r="G6" s="1" t="e">
        <f>(F6-$C$21)/E6*1000*Calculation!I7/Calculation!K6</f>
        <v>#DIV/0!</v>
      </c>
    </row>
    <row r="7" spans="1:7">
      <c r="A7" s="55">
        <v>3</v>
      </c>
      <c r="B7" s="56">
        <v>80</v>
      </c>
      <c r="C7" s="56">
        <v>280</v>
      </c>
      <c r="D7" s="66">
        <v>4.666666666666667</v>
      </c>
      <c r="E7" s="1"/>
      <c r="F7" s="1"/>
      <c r="G7" s="1" t="e">
        <f>(F7-$C$21)/E7*1000*Calculation!I8/Calculation!K7</f>
        <v>#DIV/0!</v>
      </c>
    </row>
    <row r="8" spans="1:7">
      <c r="A8" s="55">
        <v>4</v>
      </c>
      <c r="B8" s="56">
        <v>80</v>
      </c>
      <c r="C8" s="56">
        <v>360</v>
      </c>
      <c r="D8" s="66">
        <v>6</v>
      </c>
      <c r="E8" s="1"/>
      <c r="F8" s="1"/>
      <c r="G8" s="1" t="e">
        <f>(F8-$C$21)/E8*1000*Calculation!I9/Calculation!K8</f>
        <v>#DIV/0!</v>
      </c>
    </row>
    <row r="9" spans="1:7">
      <c r="A9" s="55">
        <v>5</v>
      </c>
      <c r="B9" s="56">
        <v>80</v>
      </c>
      <c r="C9" s="56">
        <v>440</v>
      </c>
      <c r="D9" s="66">
        <v>7.333333333333333</v>
      </c>
      <c r="E9" s="1"/>
      <c r="F9" s="1"/>
      <c r="G9" s="1" t="e">
        <f>(F9-$C$21)/E9*1000*Calculation!I10/Calculation!K9</f>
        <v>#DIV/0!</v>
      </c>
    </row>
    <row r="10" spans="1:7">
      <c r="A10" s="55">
        <v>6</v>
      </c>
      <c r="B10" s="56">
        <v>180</v>
      </c>
      <c r="C10" s="56">
        <v>620</v>
      </c>
      <c r="D10" s="66">
        <v>10.333333333333334</v>
      </c>
      <c r="E10" s="1"/>
      <c r="F10" s="1"/>
      <c r="G10" s="1" t="e">
        <f>(F10-$C$21)/E10*1000*Calculation!I11/Calculation!K10</f>
        <v>#DIV/0!</v>
      </c>
    </row>
    <row r="11" spans="1:7">
      <c r="A11" s="55">
        <v>7</v>
      </c>
      <c r="B11" s="56">
        <v>80</v>
      </c>
      <c r="C11" s="56">
        <v>700</v>
      </c>
      <c r="D11" s="66">
        <v>11.666666666666666</v>
      </c>
      <c r="E11" s="1"/>
      <c r="F11" s="1"/>
      <c r="G11" s="1" t="e">
        <f>(F11-$C$21)/E11*1000*Calculation!I12/Calculation!K11</f>
        <v>#DIV/0!</v>
      </c>
    </row>
    <row r="12" spans="1:7">
      <c r="A12" s="55">
        <v>8</v>
      </c>
      <c r="B12" s="56">
        <v>80</v>
      </c>
      <c r="C12" s="56">
        <v>780</v>
      </c>
      <c r="D12" s="66">
        <v>13</v>
      </c>
      <c r="E12" s="1"/>
      <c r="F12" s="1"/>
      <c r="G12" s="1" t="e">
        <f>(F12-$C$21)/E12*1000*Calculation!I13/Calculation!K12</f>
        <v>#DIV/0!</v>
      </c>
    </row>
    <row r="13" spans="1:7">
      <c r="A13" s="55">
        <v>9</v>
      </c>
      <c r="B13" s="56">
        <v>80</v>
      </c>
      <c r="C13" s="56">
        <v>860</v>
      </c>
      <c r="D13" s="66">
        <v>14.333333333333334</v>
      </c>
      <c r="E13" s="37"/>
      <c r="F13" s="37"/>
      <c r="G13" s="37" t="e">
        <f>(F13-$C$21)/E13*1000*Calculation!I14/Calculation!K13</f>
        <v>#DIV/0!</v>
      </c>
    </row>
    <row r="14" spans="1:7">
      <c r="A14" s="55">
        <v>10</v>
      </c>
      <c r="B14" s="56">
        <v>80</v>
      </c>
      <c r="C14" s="56">
        <v>940</v>
      </c>
      <c r="D14" s="66">
        <v>15.666666666666666</v>
      </c>
      <c r="E14" s="37"/>
      <c r="F14" s="37"/>
      <c r="G14" s="37" t="e">
        <f>(F14-$C$21)/E14*1000*Calculation!I15/Calculation!K14</f>
        <v>#DIV/0!</v>
      </c>
    </row>
    <row r="15" spans="1:7">
      <c r="A15" s="55">
        <v>11</v>
      </c>
      <c r="B15" s="56">
        <v>80</v>
      </c>
      <c r="C15" s="56">
        <v>1020</v>
      </c>
      <c r="D15" s="66">
        <v>17</v>
      </c>
      <c r="E15" s="37"/>
      <c r="F15" s="37"/>
      <c r="G15" s="37" t="e">
        <f>(F15-$C$21)/E15*1000*Calculation!I16/Calculation!K15</f>
        <v>#DIV/0!</v>
      </c>
    </row>
    <row r="16" spans="1:7">
      <c r="A16" s="55">
        <v>12</v>
      </c>
      <c r="B16" s="56">
        <v>80</v>
      </c>
      <c r="C16" s="56">
        <v>1100</v>
      </c>
      <c r="D16" s="66">
        <v>18.333333333333332</v>
      </c>
      <c r="E16" s="37"/>
      <c r="F16" s="37"/>
      <c r="G16" s="37" t="e">
        <f>(F16-$C$21)/E16*1000*Calculation!I17/Calculation!K16</f>
        <v>#DIV/0!</v>
      </c>
    </row>
    <row r="17" spans="1:7" ht="15" customHeight="1">
      <c r="A17" s="55">
        <v>13</v>
      </c>
      <c r="B17" s="56">
        <v>340</v>
      </c>
      <c r="C17" s="56">
        <v>1440</v>
      </c>
      <c r="D17" s="66">
        <v>24</v>
      </c>
      <c r="E17" s="37"/>
      <c r="F17" s="37"/>
      <c r="G17" s="37" t="e">
        <f>(F17-$C$21)/E17*1000*Calculation!I18/Calculation!K17</f>
        <v>#DIV/0!</v>
      </c>
    </row>
    <row r="18" spans="1:7">
      <c r="A18" s="55">
        <v>14</v>
      </c>
      <c r="B18" s="56">
        <v>360</v>
      </c>
      <c r="C18" s="56">
        <v>1800</v>
      </c>
      <c r="D18" s="66">
        <v>30</v>
      </c>
      <c r="E18" s="37"/>
      <c r="F18" s="37"/>
      <c r="G18" s="37" t="e">
        <f>(F18-$C$21)/E18*1000*Calculation!I19/Calculation!K18</f>
        <v>#DIV/0!</v>
      </c>
    </row>
    <row r="19" spans="1:7">
      <c r="A19" s="55">
        <v>15</v>
      </c>
      <c r="B19" s="56">
        <v>1080</v>
      </c>
      <c r="C19" s="56">
        <v>2880</v>
      </c>
      <c r="D19" s="66">
        <v>48</v>
      </c>
      <c r="E19" s="40"/>
      <c r="F19" s="40"/>
      <c r="G19" s="40" t="e">
        <f>(F19-$C$21)/E19*1000*Calculation!I20/Calculation!K19</f>
        <v>#DIV/0!</v>
      </c>
    </row>
    <row r="20" spans="1:7">
      <c r="A20" s="65"/>
      <c r="B20" s="56"/>
      <c r="C20" s="56"/>
      <c r="D20" s="67"/>
    </row>
    <row r="21" spans="1:7">
      <c r="A21" s="145" t="s">
        <v>3</v>
      </c>
      <c r="B21" s="146"/>
      <c r="C21" s="1"/>
    </row>
  </sheetData>
  <mergeCells count="5">
    <mergeCell ref="A21:B21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203"/>
  <sheetViews>
    <sheetView topLeftCell="A177" workbookViewId="0">
      <selection activeCell="F107" sqref="F107:F203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10" max="10" width="12" bestFit="1" customWidth="1"/>
    <col min="11" max="11" width="8.5" customWidth="1"/>
  </cols>
  <sheetData>
    <row r="1" spans="1:10">
      <c r="A1" s="24" t="s">
        <v>49</v>
      </c>
      <c r="B1" s="12">
        <v>70</v>
      </c>
      <c r="C1" s="27" t="s">
        <v>50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121" t="s">
        <v>5</v>
      </c>
      <c r="B3" s="121" t="s">
        <v>36</v>
      </c>
      <c r="C3" s="121"/>
      <c r="D3" s="121" t="s">
        <v>51</v>
      </c>
      <c r="E3" s="121"/>
      <c r="F3" s="121"/>
      <c r="G3" s="24" t="s">
        <v>52</v>
      </c>
    </row>
    <row r="4" spans="1:10">
      <c r="A4" s="121"/>
      <c r="B4" s="24" t="s">
        <v>53</v>
      </c>
      <c r="C4" s="24" t="s">
        <v>54</v>
      </c>
      <c r="D4" s="24" t="s">
        <v>55</v>
      </c>
      <c r="E4" s="24" t="s">
        <v>56</v>
      </c>
      <c r="F4" s="24" t="s">
        <v>57</v>
      </c>
      <c r="G4" s="24" t="s">
        <v>58</v>
      </c>
    </row>
    <row r="5" spans="1:10">
      <c r="A5" s="12">
        <v>0</v>
      </c>
      <c r="B5" s="12">
        <v>2164.29</v>
      </c>
      <c r="C5" s="12">
        <f>B5/1000</f>
        <v>2.1642899999999998</v>
      </c>
      <c r="D5" s="12">
        <f>C5/1000*$B$1</f>
        <v>0.15150029999999998</v>
      </c>
      <c r="E5" s="12">
        <f>D5/22.4</f>
        <v>6.7634062499999995E-3</v>
      </c>
      <c r="F5" s="12">
        <f>E5/Calculation!K$4*1000</f>
        <v>4.5667834233625929E-3</v>
      </c>
      <c r="G5" s="12">
        <f>(0+F5)/2*30</f>
        <v>6.85017513504389E-2</v>
      </c>
      <c r="I5" s="82">
        <v>-0.16666666666666666</v>
      </c>
      <c r="J5" t="s">
        <v>170</v>
      </c>
    </row>
    <row r="6" spans="1:10">
      <c r="A6" s="12">
        <v>0.5</v>
      </c>
      <c r="B6" s="12">
        <v>7470.11</v>
      </c>
      <c r="C6" s="12">
        <f t="shared" ref="C6:C69" si="0">B6/1000</f>
        <v>7.47011</v>
      </c>
      <c r="D6" s="12">
        <f>C6/1000*$B$1</f>
        <v>0.52290769999999998</v>
      </c>
      <c r="E6" s="12">
        <f>D6/22.4</f>
        <v>2.3344093749999999E-2</v>
      </c>
      <c r="F6" s="12">
        <f>E6/Calculation!K$4*1000</f>
        <v>1.5762386056718432E-2</v>
      </c>
      <c r="G6" s="12">
        <f>G5+(F6+F5)/2*30</f>
        <v>0.37343929355165428</v>
      </c>
      <c r="I6" s="82">
        <v>0.16666666666666666</v>
      </c>
      <c r="J6" t="s">
        <v>171</v>
      </c>
    </row>
    <row r="7" spans="1:10">
      <c r="A7" s="12">
        <v>1</v>
      </c>
      <c r="B7" s="12">
        <v>12689.31</v>
      </c>
      <c r="C7" s="12">
        <f t="shared" si="0"/>
        <v>12.689309999999999</v>
      </c>
      <c r="D7" s="12">
        <f t="shared" ref="D7:D69" si="1">C7/1000*$B$1</f>
        <v>0.88825169999999987</v>
      </c>
      <c r="E7" s="12">
        <f t="shared" ref="E7:E69" si="2">D7/22.4</f>
        <v>3.9654093749999994E-2</v>
      </c>
      <c r="F7" s="12">
        <f>E7/Calculation!K$4*1000</f>
        <v>2.6775215226198509E-2</v>
      </c>
      <c r="G7" s="12">
        <f t="shared" ref="G7:G70" si="3">G6+(F7+F6)/2*30</f>
        <v>1.0115033127954085</v>
      </c>
      <c r="I7" s="82">
        <v>2</v>
      </c>
      <c r="J7" t="s">
        <v>172</v>
      </c>
    </row>
    <row r="8" spans="1:10">
      <c r="A8" s="12">
        <v>1.5</v>
      </c>
      <c r="B8" s="12">
        <v>14665.46</v>
      </c>
      <c r="C8" s="12">
        <f t="shared" si="0"/>
        <v>14.665459999999999</v>
      </c>
      <c r="D8" s="12">
        <f t="shared" si="1"/>
        <v>1.0265822</v>
      </c>
      <c r="E8" s="12">
        <f t="shared" si="2"/>
        <v>4.5829562500000004E-2</v>
      </c>
      <c r="F8" s="12">
        <f>E8/Calculation!K$4*1000</f>
        <v>3.0945011816340316E-2</v>
      </c>
      <c r="G8" s="12">
        <f t="shared" si="3"/>
        <v>1.8773067184334908</v>
      </c>
      <c r="I8" s="82">
        <v>3.3333333333333335</v>
      </c>
      <c r="J8" t="s">
        <v>173</v>
      </c>
    </row>
    <row r="9" spans="1:10">
      <c r="A9" s="12">
        <v>2</v>
      </c>
      <c r="B9" s="12">
        <v>17350.86</v>
      </c>
      <c r="C9" s="12">
        <f t="shared" si="0"/>
        <v>17.350860000000001</v>
      </c>
      <c r="D9" s="12">
        <f t="shared" si="1"/>
        <v>1.2145602</v>
      </c>
      <c r="E9" s="12">
        <f t="shared" si="2"/>
        <v>5.4221437500000004E-2</v>
      </c>
      <c r="F9" s="12">
        <f>E9/Calculation!K$5*1000</f>
        <v>3.7705384898545816E-2</v>
      </c>
      <c r="G9" s="12">
        <f t="shared" si="3"/>
        <v>2.9070626691567827</v>
      </c>
      <c r="I9" s="82">
        <v>4.666666666666667</v>
      </c>
      <c r="J9" t="s">
        <v>174</v>
      </c>
    </row>
    <row r="10" spans="1:10">
      <c r="A10" s="12">
        <v>2.5</v>
      </c>
      <c r="B10" s="12">
        <v>19412.28</v>
      </c>
      <c r="C10" s="12">
        <f t="shared" si="0"/>
        <v>19.412279999999999</v>
      </c>
      <c r="D10" s="12">
        <f t="shared" si="1"/>
        <v>1.3588595999999999</v>
      </c>
      <c r="E10" s="12">
        <f t="shared" si="2"/>
        <v>6.0663374999999999E-2</v>
      </c>
      <c r="F10" s="12">
        <f>E10/Calculation!K$5*1000</f>
        <v>4.2185084149047536E-2</v>
      </c>
      <c r="G10" s="12">
        <f t="shared" si="3"/>
        <v>4.1054197048706831</v>
      </c>
      <c r="I10" s="82">
        <v>6</v>
      </c>
      <c r="J10" t="s">
        <v>175</v>
      </c>
    </row>
    <row r="11" spans="1:10">
      <c r="A11" s="12">
        <v>3</v>
      </c>
      <c r="B11" s="12">
        <v>28300.89</v>
      </c>
      <c r="C11" s="12">
        <f t="shared" si="0"/>
        <v>28.300889999999999</v>
      </c>
      <c r="D11" s="12">
        <f t="shared" si="1"/>
        <v>1.9810622999999998</v>
      </c>
      <c r="E11" s="12">
        <f t="shared" si="2"/>
        <v>8.8440281250000002E-2</v>
      </c>
      <c r="F11" s="12">
        <f>E11/Calculation!K$5*1000</f>
        <v>6.1501040894883958E-2</v>
      </c>
      <c r="G11" s="12">
        <f t="shared" si="3"/>
        <v>5.6607115805296555</v>
      </c>
      <c r="I11" s="82">
        <v>7.333333333333333</v>
      </c>
      <c r="J11" t="s">
        <v>176</v>
      </c>
    </row>
    <row r="12" spans="1:10">
      <c r="A12" s="12">
        <v>3.5</v>
      </c>
      <c r="B12" s="12">
        <v>39635.32</v>
      </c>
      <c r="C12" s="12">
        <f t="shared" si="0"/>
        <v>39.63532</v>
      </c>
      <c r="D12" s="12">
        <f t="shared" si="1"/>
        <v>2.7744724000000001</v>
      </c>
      <c r="E12" s="12">
        <f t="shared" si="2"/>
        <v>0.12386037500000001</v>
      </c>
      <c r="F12" s="12">
        <f>E12/Calculation!K$6*1000</f>
        <v>8.9036063139976876E-2</v>
      </c>
      <c r="G12" s="12">
        <f t="shared" si="3"/>
        <v>7.9187681410525688</v>
      </c>
      <c r="I12" s="82">
        <v>10.333333333333334</v>
      </c>
      <c r="J12" t="s">
        <v>177</v>
      </c>
    </row>
    <row r="13" spans="1:10">
      <c r="A13" s="12">
        <v>4</v>
      </c>
      <c r="B13" s="12">
        <v>49895.05</v>
      </c>
      <c r="C13" s="12">
        <f t="shared" si="0"/>
        <v>49.895050000000005</v>
      </c>
      <c r="D13" s="12">
        <f t="shared" si="1"/>
        <v>3.4926535000000003</v>
      </c>
      <c r="E13" s="12">
        <f t="shared" si="2"/>
        <v>0.15592203125000001</v>
      </c>
      <c r="F13" s="12">
        <f>E13/Calculation!K$6*1000</f>
        <v>0.11208333431324141</v>
      </c>
      <c r="G13" s="12">
        <f t="shared" si="3"/>
        <v>10.935559102850842</v>
      </c>
      <c r="I13" s="82">
        <v>11.666666666666666</v>
      </c>
      <c r="J13" t="s">
        <v>178</v>
      </c>
    </row>
    <row r="14" spans="1:10">
      <c r="A14" s="12">
        <v>4.5</v>
      </c>
      <c r="B14" s="12">
        <v>41740.050000000003</v>
      </c>
      <c r="C14" s="12">
        <f t="shared" si="0"/>
        <v>41.740050000000004</v>
      </c>
      <c r="D14" s="12">
        <f t="shared" si="1"/>
        <v>2.9218035000000002</v>
      </c>
      <c r="E14" s="12">
        <f t="shared" si="2"/>
        <v>0.13043765625000001</v>
      </c>
      <c r="F14" s="12">
        <f>E14/Calculation!K$6*1000</f>
        <v>9.3764090393764751E-2</v>
      </c>
      <c r="G14" s="12">
        <f t="shared" si="3"/>
        <v>14.023270473455934</v>
      </c>
      <c r="I14" s="82">
        <v>13</v>
      </c>
      <c r="J14" t="s">
        <v>179</v>
      </c>
    </row>
    <row r="15" spans="1:10">
      <c r="A15" s="12">
        <v>5</v>
      </c>
      <c r="B15" s="12">
        <v>49961.37</v>
      </c>
      <c r="C15" s="12">
        <f t="shared" si="0"/>
        <v>49.961370000000002</v>
      </c>
      <c r="D15" s="12">
        <f t="shared" si="1"/>
        <v>3.4972959000000001</v>
      </c>
      <c r="E15" s="12">
        <f t="shared" si="2"/>
        <v>0.15612928125</v>
      </c>
      <c r="F15" s="12">
        <f>E15/Calculation!K$7*1000</f>
        <v>0.11605652654989103</v>
      </c>
      <c r="G15" s="12">
        <f t="shared" si="3"/>
        <v>17.170579727610772</v>
      </c>
      <c r="I15" s="82">
        <v>14.333333333333334</v>
      </c>
      <c r="J15" t="s">
        <v>180</v>
      </c>
    </row>
    <row r="16" spans="1:10">
      <c r="A16" s="12">
        <v>5.5</v>
      </c>
      <c r="B16" s="12">
        <v>66558.31</v>
      </c>
      <c r="C16" s="12">
        <f t="shared" si="0"/>
        <v>66.558309999999992</v>
      </c>
      <c r="D16" s="12">
        <f t="shared" si="1"/>
        <v>4.6590816999999998</v>
      </c>
      <c r="E16" s="12">
        <f t="shared" si="2"/>
        <v>0.20799471875</v>
      </c>
      <c r="F16" s="12">
        <f>E16/Calculation!K$7*1000</f>
        <v>0.15460997710092572</v>
      </c>
      <c r="G16" s="12">
        <f t="shared" si="3"/>
        <v>21.230577282373023</v>
      </c>
      <c r="I16" s="82">
        <v>15.666666666666666</v>
      </c>
      <c r="J16" t="s">
        <v>181</v>
      </c>
    </row>
    <row r="17" spans="1:10">
      <c r="A17" s="12">
        <v>6</v>
      </c>
      <c r="B17" s="12">
        <v>79326.13</v>
      </c>
      <c r="C17" s="12">
        <f t="shared" si="0"/>
        <v>79.326130000000006</v>
      </c>
      <c r="D17" s="12">
        <f t="shared" si="1"/>
        <v>5.5528291000000003</v>
      </c>
      <c r="E17" s="12">
        <f t="shared" si="2"/>
        <v>0.24789415625000003</v>
      </c>
      <c r="F17" s="12">
        <f>E17/Calculation!K$8*1000</f>
        <v>0.19089500900730527</v>
      </c>
      <c r="G17" s="12">
        <f t="shared" si="3"/>
        <v>26.413152073996489</v>
      </c>
      <c r="I17" s="82">
        <v>17</v>
      </c>
      <c r="J17" t="s">
        <v>182</v>
      </c>
    </row>
    <row r="18" spans="1:10">
      <c r="A18" s="12">
        <v>6.5</v>
      </c>
      <c r="B18" s="12">
        <v>89382.83</v>
      </c>
      <c r="C18" s="12">
        <f t="shared" si="0"/>
        <v>89.382829999999998</v>
      </c>
      <c r="D18" s="12">
        <f t="shared" si="1"/>
        <v>6.2567981000000001</v>
      </c>
      <c r="E18" s="12">
        <f t="shared" si="2"/>
        <v>0.27932134375000001</v>
      </c>
      <c r="F18" s="12">
        <f>E18/Calculation!K$8*1000</f>
        <v>0.2150960362991165</v>
      </c>
      <c r="G18" s="12">
        <f t="shared" si="3"/>
        <v>32.503017753592815</v>
      </c>
      <c r="I18" s="82">
        <v>18.333333333333332</v>
      </c>
      <c r="J18" t="s">
        <v>183</v>
      </c>
    </row>
    <row r="19" spans="1:10">
      <c r="A19" s="12">
        <v>7</v>
      </c>
      <c r="B19" s="12">
        <v>91302.13</v>
      </c>
      <c r="C19" s="12">
        <f t="shared" si="0"/>
        <v>91.302130000000005</v>
      </c>
      <c r="D19" s="12">
        <f t="shared" si="1"/>
        <v>6.3911491000000007</v>
      </c>
      <c r="E19" s="12">
        <f t="shared" si="2"/>
        <v>0.28531915625000004</v>
      </c>
      <c r="F19" s="12">
        <f>E19/Calculation!K$8*1000</f>
        <v>0.21971475135287905</v>
      </c>
      <c r="G19" s="12">
        <f t="shared" si="3"/>
        <v>39.025179568372749</v>
      </c>
      <c r="I19" s="82">
        <v>24</v>
      </c>
      <c r="J19" t="s">
        <v>184</v>
      </c>
    </row>
    <row r="20" spans="1:10">
      <c r="A20" s="12">
        <v>7.5</v>
      </c>
      <c r="B20" s="12">
        <v>88346.03</v>
      </c>
      <c r="C20" s="12">
        <f t="shared" si="0"/>
        <v>88.346029999999999</v>
      </c>
      <c r="D20" s="12">
        <f t="shared" si="1"/>
        <v>6.1842220999999995</v>
      </c>
      <c r="E20" s="12">
        <f t="shared" si="2"/>
        <v>0.27608134374999999</v>
      </c>
      <c r="F20" s="12">
        <f>E20/Calculation!K$9*1000</f>
        <v>0.22102419883830518</v>
      </c>
      <c r="G20" s="12">
        <f t="shared" si="3"/>
        <v>45.636263821240512</v>
      </c>
      <c r="I20" s="82">
        <v>30</v>
      </c>
      <c r="J20" t="s">
        <v>185</v>
      </c>
    </row>
    <row r="21" spans="1:10">
      <c r="A21" s="12">
        <v>8</v>
      </c>
      <c r="B21" s="12">
        <v>91639.16</v>
      </c>
      <c r="C21" s="12">
        <f t="shared" si="0"/>
        <v>91.639160000000004</v>
      </c>
      <c r="D21" s="12">
        <f t="shared" si="1"/>
        <v>6.4147411999999999</v>
      </c>
      <c r="E21" s="12">
        <f t="shared" si="2"/>
        <v>0.28637237500000001</v>
      </c>
      <c r="F21" s="12">
        <f>E21/Calculation!K$9*1000</f>
        <v>0.22926295523653142</v>
      </c>
      <c r="G21" s="12">
        <f t="shared" si="3"/>
        <v>52.390571132363064</v>
      </c>
      <c r="I21" s="82">
        <v>48</v>
      </c>
      <c r="J21" t="s">
        <v>186</v>
      </c>
    </row>
    <row r="22" spans="1:10">
      <c r="A22" s="12">
        <v>8.5</v>
      </c>
      <c r="B22" s="12">
        <v>95201.64</v>
      </c>
      <c r="C22" s="12">
        <f t="shared" si="0"/>
        <v>95.201639999999998</v>
      </c>
      <c r="D22" s="12">
        <f t="shared" si="1"/>
        <v>6.6641148000000001</v>
      </c>
      <c r="E22" s="12">
        <f t="shared" si="2"/>
        <v>0.29750512500000004</v>
      </c>
      <c r="F22" s="12">
        <f>E22/Calculation!K$9*1000</f>
        <v>0.23817557177263934</v>
      </c>
      <c r="G22" s="12">
        <f t="shared" si="3"/>
        <v>59.402149037500628</v>
      </c>
    </row>
    <row r="23" spans="1:10">
      <c r="A23" s="12">
        <v>9</v>
      </c>
      <c r="B23" s="12">
        <v>99103.86</v>
      </c>
      <c r="C23" s="12">
        <f t="shared" si="0"/>
        <v>99.103859999999997</v>
      </c>
      <c r="D23" s="12">
        <f t="shared" si="1"/>
        <v>6.9372702000000004</v>
      </c>
      <c r="E23" s="12">
        <f t="shared" si="2"/>
        <v>0.30969956250000003</v>
      </c>
      <c r="F23" s="12">
        <f>E23/Calculation!K$9*1000</f>
        <v>0.24793815022908852</v>
      </c>
      <c r="G23" s="12">
        <f t="shared" si="3"/>
        <v>66.693854867526539</v>
      </c>
    </row>
    <row r="24" spans="1:10">
      <c r="A24" s="12">
        <v>9.5</v>
      </c>
      <c r="B24" s="12">
        <v>109944.25</v>
      </c>
      <c r="C24" s="12">
        <f t="shared" si="0"/>
        <v>109.94425</v>
      </c>
      <c r="D24" s="12">
        <f t="shared" si="1"/>
        <v>7.6960974999999996</v>
      </c>
      <c r="E24" s="12">
        <f t="shared" si="2"/>
        <v>0.34357578124999999</v>
      </c>
      <c r="F24" s="12">
        <f>E24/Calculation!K$9*1000</f>
        <v>0.27505865032224236</v>
      </c>
      <c r="G24" s="12">
        <f t="shared" si="3"/>
        <v>74.538806875796496</v>
      </c>
    </row>
    <row r="25" spans="1:10">
      <c r="A25" s="12">
        <v>10</v>
      </c>
      <c r="B25" s="12">
        <v>115289.33</v>
      </c>
      <c r="C25" s="12">
        <f t="shared" si="0"/>
        <v>115.28933000000001</v>
      </c>
      <c r="D25" s="12">
        <f t="shared" si="1"/>
        <v>8.0702531000000004</v>
      </c>
      <c r="E25" s="12">
        <f t="shared" si="2"/>
        <v>0.36027915625000007</v>
      </c>
      <c r="F25" s="12">
        <f>E25/Calculation!K$9*1000</f>
        <v>0.28843097757595881</v>
      </c>
      <c r="G25" s="12">
        <f t="shared" si="3"/>
        <v>82.991151294269514</v>
      </c>
    </row>
    <row r="26" spans="1:10">
      <c r="A26" s="12">
        <v>10.5</v>
      </c>
      <c r="B26" s="12">
        <v>117214.04</v>
      </c>
      <c r="C26" s="12">
        <f t="shared" si="0"/>
        <v>117.21404</v>
      </c>
      <c r="D26" s="12">
        <f t="shared" si="1"/>
        <v>8.2049827999999998</v>
      </c>
      <c r="E26" s="12">
        <f t="shared" si="2"/>
        <v>0.36629387499999999</v>
      </c>
      <c r="F26" s="12">
        <f>E26/Calculation!K$10*1000</f>
        <v>0.3034646855651269</v>
      </c>
      <c r="G26" s="12">
        <f t="shared" si="3"/>
        <v>91.869586241385804</v>
      </c>
    </row>
    <row r="27" spans="1:10">
      <c r="A27" s="12">
        <v>11</v>
      </c>
      <c r="B27" s="12">
        <v>121131.15</v>
      </c>
      <c r="C27" s="12">
        <f t="shared" si="0"/>
        <v>121.13114999999999</v>
      </c>
      <c r="D27" s="12">
        <f t="shared" si="1"/>
        <v>8.4791805</v>
      </c>
      <c r="E27" s="12">
        <f t="shared" si="2"/>
        <v>0.37853484375000002</v>
      </c>
      <c r="F27" s="12">
        <f>E27/Calculation!K$10*1000</f>
        <v>0.31360600101226971</v>
      </c>
      <c r="G27" s="12">
        <f t="shared" si="3"/>
        <v>101.12564654004676</v>
      </c>
    </row>
    <row r="28" spans="1:10">
      <c r="A28" s="12">
        <v>11.5</v>
      </c>
      <c r="B28" s="12">
        <v>124420.22</v>
      </c>
      <c r="C28" s="12">
        <f t="shared" si="0"/>
        <v>124.42022</v>
      </c>
      <c r="D28" s="12">
        <f t="shared" si="1"/>
        <v>8.7094153999999993</v>
      </c>
      <c r="E28" s="12">
        <f t="shared" si="2"/>
        <v>0.38881318749999999</v>
      </c>
      <c r="F28" s="12">
        <f>E28/Calculation!K$10*1000</f>
        <v>0.32212133410164778</v>
      </c>
      <c r="G28" s="12">
        <f t="shared" si="3"/>
        <v>110.66155656675552</v>
      </c>
    </row>
    <row r="29" spans="1:10">
      <c r="A29" s="12">
        <v>12</v>
      </c>
      <c r="B29" s="12">
        <v>129537.9</v>
      </c>
      <c r="C29" s="12">
        <f t="shared" si="0"/>
        <v>129.53790000000001</v>
      </c>
      <c r="D29" s="12">
        <f t="shared" si="1"/>
        <v>9.067653</v>
      </c>
      <c r="E29" s="12">
        <f t="shared" si="2"/>
        <v>0.40480593750000005</v>
      </c>
      <c r="F29" s="12">
        <f>E29/Calculation!K$11*1000</f>
        <v>0.34826978081202986</v>
      </c>
      <c r="G29" s="12">
        <f t="shared" si="3"/>
        <v>120.71742329046069</v>
      </c>
    </row>
    <row r="30" spans="1:10">
      <c r="A30" s="12">
        <v>12.5</v>
      </c>
      <c r="B30" s="12">
        <v>165400.94</v>
      </c>
      <c r="C30" s="12">
        <f t="shared" si="0"/>
        <v>165.40093999999999</v>
      </c>
      <c r="D30" s="12">
        <f t="shared" si="1"/>
        <v>11.578065799999999</v>
      </c>
      <c r="E30" s="12">
        <f t="shared" si="2"/>
        <v>0.5168779375</v>
      </c>
      <c r="F30" s="12">
        <f>E30/Calculation!K$11*1000</f>
        <v>0.444689539662938</v>
      </c>
      <c r="G30" s="12">
        <f t="shared" si="3"/>
        <v>132.61181309758521</v>
      </c>
    </row>
    <row r="31" spans="1:10">
      <c r="A31" s="12">
        <v>13</v>
      </c>
      <c r="B31" s="12">
        <v>132020.26999999999</v>
      </c>
      <c r="C31" s="12">
        <f t="shared" si="0"/>
        <v>132.02026999999998</v>
      </c>
      <c r="D31" s="12">
        <f t="shared" si="1"/>
        <v>9.2414188999999993</v>
      </c>
      <c r="E31" s="12">
        <f t="shared" si="2"/>
        <v>0.41256334374999998</v>
      </c>
      <c r="F31" s="12">
        <f>E31/Calculation!K$12*1000</f>
        <v>0.36969467921259408</v>
      </c>
      <c r="G31" s="12">
        <f t="shared" si="3"/>
        <v>144.8275763807182</v>
      </c>
    </row>
    <row r="32" spans="1:10">
      <c r="A32" s="12">
        <v>13.5</v>
      </c>
      <c r="B32" s="12">
        <v>127549.57</v>
      </c>
      <c r="C32" s="12">
        <f t="shared" si="0"/>
        <v>127.54957</v>
      </c>
      <c r="D32" s="12">
        <f t="shared" si="1"/>
        <v>8.9284698999999996</v>
      </c>
      <c r="E32" s="12">
        <f t="shared" si="2"/>
        <v>0.39859240625000003</v>
      </c>
      <c r="F32" s="12">
        <f>E32/Calculation!K$12*1000</f>
        <v>0.35717543499081106</v>
      </c>
      <c r="G32" s="12">
        <f t="shared" si="3"/>
        <v>155.73062809376927</v>
      </c>
    </row>
    <row r="33" spans="1:7">
      <c r="A33" s="12">
        <v>14</v>
      </c>
      <c r="B33" s="12">
        <v>133344.01999999999</v>
      </c>
      <c r="C33" s="12">
        <f t="shared" si="0"/>
        <v>133.34402</v>
      </c>
      <c r="D33" s="12">
        <f t="shared" si="1"/>
        <v>9.3340814000000005</v>
      </c>
      <c r="E33" s="12">
        <f t="shared" si="2"/>
        <v>0.41670006250000002</v>
      </c>
      <c r="F33" s="12">
        <f>E33/Calculation!K$12*1000</f>
        <v>0.37340155946369252</v>
      </c>
      <c r="G33" s="12">
        <f t="shared" si="3"/>
        <v>166.68928301058682</v>
      </c>
    </row>
    <row r="34" spans="1:7">
      <c r="A34" s="12">
        <v>14.5</v>
      </c>
      <c r="B34" s="12">
        <v>90251.79</v>
      </c>
      <c r="C34" s="12">
        <f t="shared" si="0"/>
        <v>90.25179</v>
      </c>
      <c r="D34" s="12">
        <f t="shared" si="1"/>
        <v>6.3176252999999996</v>
      </c>
      <c r="E34" s="12">
        <f t="shared" si="2"/>
        <v>0.28203684374999999</v>
      </c>
      <c r="F34" s="12">
        <f>E34/Calculation!K$13*1000</f>
        <v>0.26482005231528721</v>
      </c>
      <c r="G34" s="12">
        <f t="shared" si="3"/>
        <v>176.26260718727153</v>
      </c>
    </row>
    <row r="35" spans="1:7">
      <c r="A35" s="12">
        <v>15</v>
      </c>
      <c r="B35" s="12">
        <v>35527.360000000001</v>
      </c>
      <c r="C35" s="12">
        <f t="shared" si="0"/>
        <v>35.527360000000002</v>
      </c>
      <c r="D35" s="12">
        <f t="shared" si="1"/>
        <v>2.4869151999999999</v>
      </c>
      <c r="E35" s="12">
        <f t="shared" si="2"/>
        <v>0.111023</v>
      </c>
      <c r="F35" s="12">
        <f>E35/Calculation!K$13*1000</f>
        <v>0.10424565910353738</v>
      </c>
      <c r="G35" s="12">
        <f t="shared" si="3"/>
        <v>181.79859285855389</v>
      </c>
    </row>
    <row r="36" spans="1:7">
      <c r="A36" s="12">
        <v>15.5</v>
      </c>
      <c r="B36" s="12">
        <v>10598.11</v>
      </c>
      <c r="C36" s="12">
        <f t="shared" si="0"/>
        <v>10.59811</v>
      </c>
      <c r="D36" s="12">
        <f t="shared" si="1"/>
        <v>0.74186770000000002</v>
      </c>
      <c r="E36" s="12">
        <f t="shared" si="2"/>
        <v>3.3119093750000002E-2</v>
      </c>
      <c r="F36" s="12">
        <f>E36/Calculation!K$13*1000</f>
        <v>3.1097356015245454E-2</v>
      </c>
      <c r="G36" s="12">
        <f t="shared" si="3"/>
        <v>183.82873808533563</v>
      </c>
    </row>
    <row r="37" spans="1:7">
      <c r="A37" s="12">
        <v>16</v>
      </c>
      <c r="B37" s="12">
        <v>4518.07</v>
      </c>
      <c r="C37" s="12">
        <f t="shared" si="0"/>
        <v>4.5180699999999998</v>
      </c>
      <c r="D37" s="12">
        <f t="shared" si="1"/>
        <v>0.31626490000000002</v>
      </c>
      <c r="E37" s="12">
        <f t="shared" si="2"/>
        <v>1.4118968750000002E-2</v>
      </c>
      <c r="F37" s="12">
        <f>E37/Calculation!K$14*1000</f>
        <v>1.3864751704751772E-2</v>
      </c>
      <c r="G37" s="12">
        <f t="shared" si="3"/>
        <v>184.50316970113559</v>
      </c>
    </row>
    <row r="38" spans="1:7">
      <c r="A38" s="12">
        <v>16.5</v>
      </c>
      <c r="B38" s="12">
        <v>2184.59</v>
      </c>
      <c r="C38" s="12">
        <f t="shared" si="0"/>
        <v>2.18459</v>
      </c>
      <c r="D38" s="12">
        <f t="shared" si="1"/>
        <v>0.15292130000000001</v>
      </c>
      <c r="E38" s="12">
        <f t="shared" si="2"/>
        <v>6.8268437500000004E-3</v>
      </c>
      <c r="F38" s="12">
        <f>E38/Calculation!K$14*1000</f>
        <v>6.7039240044274809E-3</v>
      </c>
      <c r="G38" s="12">
        <f t="shared" si="3"/>
        <v>184.81169983677327</v>
      </c>
    </row>
    <row r="39" spans="1:7">
      <c r="A39" s="12">
        <v>17</v>
      </c>
      <c r="B39" s="12">
        <v>966.42</v>
      </c>
      <c r="C39" s="12">
        <f t="shared" si="0"/>
        <v>0.96641999999999995</v>
      </c>
      <c r="D39" s="12">
        <f t="shared" si="1"/>
        <v>6.7649399999999998E-2</v>
      </c>
      <c r="E39" s="12">
        <f t="shared" si="2"/>
        <v>3.0200625000000002E-3</v>
      </c>
      <c r="F39" s="12">
        <f>E39/Calculation!K$15*1000</f>
        <v>3.1200872807405004E-3</v>
      </c>
      <c r="G39" s="12">
        <f t="shared" si="3"/>
        <v>184.95906000605081</v>
      </c>
    </row>
    <row r="40" spans="1:7">
      <c r="A40" s="12">
        <v>17.5</v>
      </c>
      <c r="B40" s="12">
        <v>663.23</v>
      </c>
      <c r="C40" s="12">
        <f t="shared" si="0"/>
        <v>0.66322999999999999</v>
      </c>
      <c r="D40" s="12">
        <f t="shared" si="1"/>
        <v>4.6426099999999998E-2</v>
      </c>
      <c r="E40" s="12">
        <f t="shared" si="2"/>
        <v>2.0725937500000002E-3</v>
      </c>
      <c r="F40" s="12">
        <f>E40/Calculation!K$15*1000</f>
        <v>2.1412382682534734E-3</v>
      </c>
      <c r="G40" s="12">
        <f t="shared" si="3"/>
        <v>185.03797988928571</v>
      </c>
    </row>
    <row r="41" spans="1:7">
      <c r="A41" s="12">
        <v>18</v>
      </c>
      <c r="B41" s="12">
        <v>408.77</v>
      </c>
      <c r="C41" s="12">
        <f t="shared" si="0"/>
        <v>0.40876999999999997</v>
      </c>
      <c r="D41" s="12">
        <f t="shared" si="1"/>
        <v>2.8613899999999998E-2</v>
      </c>
      <c r="E41" s="12">
        <f t="shared" si="2"/>
        <v>1.2774062499999999E-3</v>
      </c>
      <c r="F41" s="12">
        <f>E41/Calculation!K$15*1000</f>
        <v>1.3197140764349808E-3</v>
      </c>
      <c r="G41" s="12">
        <f t="shared" si="3"/>
        <v>185.08989417445605</v>
      </c>
    </row>
    <row r="42" spans="1:7">
      <c r="A42" s="12">
        <v>18.5</v>
      </c>
      <c r="B42" s="12">
        <v>296.42</v>
      </c>
      <c r="C42" s="12">
        <f t="shared" si="0"/>
        <v>0.29642000000000002</v>
      </c>
      <c r="D42" s="12">
        <f t="shared" si="1"/>
        <v>2.0749400000000001E-2</v>
      </c>
      <c r="E42" s="12">
        <f t="shared" si="2"/>
        <v>9.2631250000000016E-4</v>
      </c>
      <c r="F42" s="12">
        <f>E42/Calculation!K$16*1000</f>
        <v>1.0074121018089981E-3</v>
      </c>
      <c r="G42" s="12">
        <f t="shared" si="3"/>
        <v>185.12480106712971</v>
      </c>
    </row>
    <row r="43" spans="1:7">
      <c r="A43" s="12">
        <v>19</v>
      </c>
      <c r="B43" s="12">
        <v>289.64999999999998</v>
      </c>
      <c r="C43" s="12">
        <f t="shared" si="0"/>
        <v>0.28964999999999996</v>
      </c>
      <c r="D43" s="12">
        <f t="shared" si="1"/>
        <v>2.0275499999999998E-2</v>
      </c>
      <c r="E43" s="12">
        <f t="shared" si="2"/>
        <v>9.0515625000000004E-4</v>
      </c>
      <c r="F43" s="12">
        <f>E43/Calculation!K$16*1000</f>
        <v>9.8440360059704585E-4</v>
      </c>
      <c r="G43" s="12">
        <f t="shared" si="3"/>
        <v>185.15467830266579</v>
      </c>
    </row>
    <row r="44" spans="1:7">
      <c r="A44" s="12">
        <v>19.5</v>
      </c>
      <c r="B44" s="12">
        <v>269.35000000000002</v>
      </c>
      <c r="C44" s="12">
        <f t="shared" si="0"/>
        <v>0.26935000000000003</v>
      </c>
      <c r="D44" s="12">
        <f t="shared" si="1"/>
        <v>1.88545E-2</v>
      </c>
      <c r="E44" s="12">
        <f t="shared" si="2"/>
        <v>8.4171875000000002E-4</v>
      </c>
      <c r="F44" s="12">
        <f>E44/Calculation!K$16*1000</f>
        <v>9.1541208293048257E-4</v>
      </c>
      <c r="G44" s="12">
        <f t="shared" si="3"/>
        <v>185.18317553791869</v>
      </c>
    </row>
    <row r="45" spans="1:7">
      <c r="A45" s="12">
        <v>20</v>
      </c>
      <c r="B45" s="12">
        <v>223.33</v>
      </c>
      <c r="C45" s="12">
        <f t="shared" si="0"/>
        <v>0.22333</v>
      </c>
      <c r="D45" s="12">
        <f t="shared" si="1"/>
        <v>1.56331E-2</v>
      </c>
      <c r="E45" s="12">
        <f t="shared" si="2"/>
        <v>6.9790625000000007E-4</v>
      </c>
      <c r="F45" s="12">
        <f>E45/Calculation!K$16*1000</f>
        <v>7.5900865224007687E-4</v>
      </c>
      <c r="G45" s="12">
        <f t="shared" si="3"/>
        <v>185.20829184894623</v>
      </c>
    </row>
    <row r="46" spans="1:7">
      <c r="A46" s="12">
        <v>20.5</v>
      </c>
      <c r="B46" s="12">
        <v>257.17</v>
      </c>
      <c r="C46" s="12">
        <f t="shared" si="0"/>
        <v>0.25717000000000001</v>
      </c>
      <c r="D46" s="12">
        <f t="shared" si="1"/>
        <v>1.8001900000000001E-2</v>
      </c>
      <c r="E46" s="12">
        <f t="shared" si="2"/>
        <v>8.0365625000000012E-4</v>
      </c>
      <c r="F46" s="12">
        <f>E46/Calculation!K$16*1000</f>
        <v>8.7401717233054484E-4</v>
      </c>
      <c r="G46" s="12">
        <f t="shared" si="3"/>
        <v>185.23278723631478</v>
      </c>
    </row>
    <row r="47" spans="1:7">
      <c r="A47" s="12">
        <v>21</v>
      </c>
      <c r="B47" s="12">
        <v>242.28</v>
      </c>
      <c r="C47" s="12">
        <f t="shared" si="0"/>
        <v>0.24228</v>
      </c>
      <c r="D47" s="12">
        <f t="shared" si="1"/>
        <v>1.6959599999999998E-2</v>
      </c>
      <c r="E47" s="12">
        <f t="shared" si="2"/>
        <v>7.5712499999999999E-4</v>
      </c>
      <c r="F47" s="12">
        <f>E47/Calculation!K$16*1000</f>
        <v>8.23412064051967E-4</v>
      </c>
      <c r="G47" s="12">
        <f t="shared" si="3"/>
        <v>185.25824867486051</v>
      </c>
    </row>
    <row r="48" spans="1:7">
      <c r="A48" s="12">
        <v>21.5</v>
      </c>
      <c r="B48" s="12">
        <v>190.85</v>
      </c>
      <c r="C48" s="12">
        <f t="shared" si="0"/>
        <v>0.19084999999999999</v>
      </c>
      <c r="D48" s="12">
        <f t="shared" si="1"/>
        <v>1.33595E-2</v>
      </c>
      <c r="E48" s="12">
        <f t="shared" si="2"/>
        <v>5.9640625000000004E-4</v>
      </c>
      <c r="F48" s="12">
        <f>E48/Calculation!K$16*1000</f>
        <v>6.4862222397357575E-4</v>
      </c>
      <c r="G48" s="12">
        <f t="shared" si="3"/>
        <v>185.28032918918089</v>
      </c>
    </row>
    <row r="49" spans="1:7">
      <c r="A49" s="12">
        <v>22</v>
      </c>
      <c r="B49" s="12">
        <v>204.38</v>
      </c>
      <c r="C49" s="12">
        <f t="shared" si="0"/>
        <v>0.20438000000000001</v>
      </c>
      <c r="D49" s="12">
        <f t="shared" si="1"/>
        <v>1.4306600000000001E-2</v>
      </c>
      <c r="E49" s="12">
        <f t="shared" si="2"/>
        <v>6.3868750000000004E-4</v>
      </c>
      <c r="F49" s="12">
        <f>E49/Calculation!K$16*1000</f>
        <v>6.9460524042818652E-4</v>
      </c>
      <c r="G49" s="12">
        <f t="shared" si="3"/>
        <v>185.30047760114692</v>
      </c>
    </row>
    <row r="50" spans="1:7">
      <c r="A50" s="12">
        <v>22.5</v>
      </c>
      <c r="B50" s="12">
        <v>204.38</v>
      </c>
      <c r="C50" s="12">
        <f t="shared" si="0"/>
        <v>0.20438000000000001</v>
      </c>
      <c r="D50" s="12">
        <f t="shared" si="1"/>
        <v>1.4306600000000001E-2</v>
      </c>
      <c r="E50" s="12">
        <f t="shared" si="2"/>
        <v>6.3868750000000004E-4</v>
      </c>
      <c r="F50" s="12">
        <f>E50/Calculation!K$16*1000</f>
        <v>6.9460524042818652E-4</v>
      </c>
      <c r="G50" s="12">
        <f t="shared" si="3"/>
        <v>185.32131575835976</v>
      </c>
    </row>
    <row r="51" spans="1:7">
      <c r="A51" s="12">
        <v>23</v>
      </c>
      <c r="B51" s="12">
        <v>227.39</v>
      </c>
      <c r="C51" s="12">
        <f t="shared" si="0"/>
        <v>0.22738999999999998</v>
      </c>
      <c r="D51" s="12">
        <f t="shared" si="1"/>
        <v>1.5917299999999999E-2</v>
      </c>
      <c r="E51" s="12">
        <f t="shared" si="2"/>
        <v>7.1059374999999996E-4</v>
      </c>
      <c r="F51" s="12">
        <f>E51/Calculation!K$16*1000</f>
        <v>7.7280695577338948E-4</v>
      </c>
      <c r="G51" s="12">
        <f t="shared" si="3"/>
        <v>185.34332694130279</v>
      </c>
    </row>
    <row r="52" spans="1:7">
      <c r="A52" s="12">
        <v>23.5</v>
      </c>
      <c r="B52" s="12">
        <v>243.63</v>
      </c>
      <c r="C52" s="12">
        <f t="shared" si="0"/>
        <v>0.24362999999999999</v>
      </c>
      <c r="D52" s="12">
        <f t="shared" si="1"/>
        <v>1.7054099999999999E-2</v>
      </c>
      <c r="E52" s="12">
        <f t="shared" si="2"/>
        <v>7.6134374999999998E-4</v>
      </c>
      <c r="F52" s="12">
        <f>E52/Calculation!K$16*1000</f>
        <v>8.2800016990663993E-4</v>
      </c>
      <c r="G52" s="12">
        <f t="shared" si="3"/>
        <v>185.367339048188</v>
      </c>
    </row>
    <row r="53" spans="1:7">
      <c r="A53" s="12">
        <v>24</v>
      </c>
      <c r="B53" s="12">
        <v>250.4</v>
      </c>
      <c r="C53" s="12">
        <f t="shared" si="0"/>
        <v>0.25040000000000001</v>
      </c>
      <c r="D53" s="12">
        <f t="shared" si="1"/>
        <v>1.7528000000000002E-2</v>
      </c>
      <c r="E53" s="12">
        <f t="shared" si="2"/>
        <v>7.825000000000001E-4</v>
      </c>
      <c r="F53" s="12">
        <f>E53/Calculation!K$17*1000</f>
        <v>9.0419671306350452E-4</v>
      </c>
      <c r="G53" s="12">
        <f t="shared" si="3"/>
        <v>185.39332200143255</v>
      </c>
    </row>
    <row r="54" spans="1:7">
      <c r="A54" s="12">
        <v>24.5</v>
      </c>
      <c r="B54" s="12">
        <v>253.11</v>
      </c>
      <c r="C54" s="12">
        <f t="shared" si="0"/>
        <v>0.25311</v>
      </c>
      <c r="D54" s="12">
        <f t="shared" si="1"/>
        <v>1.7717700000000003E-2</v>
      </c>
      <c r="E54" s="12">
        <f t="shared" si="2"/>
        <v>7.9096875000000022E-4</v>
      </c>
      <c r="F54" s="12">
        <f>E54/Calculation!K$17*1000</f>
        <v>9.1398254809705931E-4</v>
      </c>
      <c r="G54" s="12">
        <f t="shared" si="3"/>
        <v>185.42059469034996</v>
      </c>
    </row>
    <row r="55" spans="1:7">
      <c r="A55" s="12">
        <v>25</v>
      </c>
      <c r="B55" s="12">
        <v>253.11</v>
      </c>
      <c r="C55" s="12">
        <f t="shared" si="0"/>
        <v>0.25311</v>
      </c>
      <c r="D55" s="12">
        <f t="shared" si="1"/>
        <v>1.7717700000000003E-2</v>
      </c>
      <c r="E55" s="12">
        <f t="shared" si="2"/>
        <v>7.9096875000000022E-4</v>
      </c>
      <c r="F55" s="12">
        <f>E55/Calculation!K$17*1000</f>
        <v>9.1398254809705931E-4</v>
      </c>
      <c r="G55" s="12">
        <f t="shared" si="3"/>
        <v>185.44801416679286</v>
      </c>
    </row>
    <row r="56" spans="1:7">
      <c r="A56" s="12">
        <v>25.5</v>
      </c>
      <c r="B56" s="12">
        <v>265.29000000000002</v>
      </c>
      <c r="C56" s="12">
        <f t="shared" si="0"/>
        <v>0.26529000000000003</v>
      </c>
      <c r="D56" s="12">
        <f t="shared" si="1"/>
        <v>1.8570300000000001E-2</v>
      </c>
      <c r="E56" s="12">
        <f t="shared" si="2"/>
        <v>8.2903125000000012E-4</v>
      </c>
      <c r="F56" s="12">
        <f>E56/Calculation!K$17*1000</f>
        <v>9.5796464060949314E-4</v>
      </c>
      <c r="G56" s="12">
        <f t="shared" si="3"/>
        <v>185.47609337462345</v>
      </c>
    </row>
    <row r="57" spans="1:7">
      <c r="A57" s="12">
        <v>26</v>
      </c>
      <c r="B57" s="12">
        <v>257.17</v>
      </c>
      <c r="C57" s="12">
        <f t="shared" si="0"/>
        <v>0.25717000000000001</v>
      </c>
      <c r="D57" s="12">
        <f t="shared" si="1"/>
        <v>1.8001900000000001E-2</v>
      </c>
      <c r="E57" s="12">
        <f t="shared" si="2"/>
        <v>8.0365625000000012E-4</v>
      </c>
      <c r="F57" s="12">
        <f>E57/Calculation!K$17*1000</f>
        <v>9.2864324560120392E-4</v>
      </c>
      <c r="G57" s="12">
        <f t="shared" si="3"/>
        <v>185.50439249291659</v>
      </c>
    </row>
    <row r="58" spans="1:7">
      <c r="A58" s="12">
        <v>26.5</v>
      </c>
      <c r="B58" s="12">
        <v>293.72000000000003</v>
      </c>
      <c r="C58" s="12">
        <f t="shared" si="0"/>
        <v>0.29372000000000004</v>
      </c>
      <c r="D58" s="12">
        <f t="shared" si="1"/>
        <v>2.0560400000000003E-2</v>
      </c>
      <c r="E58" s="12">
        <f t="shared" si="2"/>
        <v>9.1787500000000018E-4</v>
      </c>
      <c r="F58" s="12">
        <f>E58/Calculation!K$17*1000</f>
        <v>1.0606256332308809E-3</v>
      </c>
      <c r="G58" s="12">
        <f t="shared" si="3"/>
        <v>185.53423152609906</v>
      </c>
    </row>
    <row r="59" spans="1:7">
      <c r="A59" s="12">
        <v>27</v>
      </c>
      <c r="B59" s="12">
        <v>281.52999999999997</v>
      </c>
      <c r="C59" s="12">
        <f t="shared" si="0"/>
        <v>0.28152999999999995</v>
      </c>
      <c r="D59" s="12">
        <f t="shared" si="1"/>
        <v>1.9707099999999995E-2</v>
      </c>
      <c r="E59" s="12">
        <f t="shared" si="2"/>
        <v>8.7978124999999981E-4</v>
      </c>
      <c r="F59" s="12">
        <f>E59/Calculation!K$17*1000</f>
        <v>1.0166074306260718E-3</v>
      </c>
      <c r="G59" s="12">
        <f t="shared" si="3"/>
        <v>185.56539002205693</v>
      </c>
    </row>
    <row r="60" spans="1:7">
      <c r="A60" s="12">
        <v>27.5</v>
      </c>
      <c r="B60" s="12">
        <v>272.06</v>
      </c>
      <c r="C60" s="12">
        <f t="shared" si="0"/>
        <v>0.27206000000000002</v>
      </c>
      <c r="D60" s="12">
        <f t="shared" si="1"/>
        <v>1.9044200000000001E-2</v>
      </c>
      <c r="E60" s="12">
        <f t="shared" si="2"/>
        <v>8.5018750000000003E-4</v>
      </c>
      <c r="F60" s="12">
        <f>E60/Calculation!K$17*1000</f>
        <v>9.8241117314719264E-4</v>
      </c>
      <c r="G60" s="12">
        <f t="shared" si="3"/>
        <v>185.59537530111353</v>
      </c>
    </row>
    <row r="61" spans="1:7">
      <c r="A61" s="12">
        <v>28</v>
      </c>
      <c r="B61" s="12">
        <v>253.11</v>
      </c>
      <c r="C61" s="12">
        <f t="shared" si="0"/>
        <v>0.25311</v>
      </c>
      <c r="D61" s="12">
        <f t="shared" si="1"/>
        <v>1.7717700000000003E-2</v>
      </c>
      <c r="E61" s="12">
        <f t="shared" si="2"/>
        <v>7.9096875000000022E-4</v>
      </c>
      <c r="F61" s="12">
        <f>E61/Calculation!K$17*1000</f>
        <v>9.1398254809705931E-4</v>
      </c>
      <c r="G61" s="12">
        <f t="shared" si="3"/>
        <v>185.62382120693221</v>
      </c>
    </row>
    <row r="62" spans="1:7">
      <c r="A62" s="12">
        <v>28.5</v>
      </c>
      <c r="B62" s="12">
        <v>277.47000000000003</v>
      </c>
      <c r="C62" s="12">
        <f t="shared" si="0"/>
        <v>0.27747000000000005</v>
      </c>
      <c r="D62" s="12">
        <f t="shared" si="1"/>
        <v>1.9422900000000003E-2</v>
      </c>
      <c r="E62" s="12">
        <f t="shared" si="2"/>
        <v>8.6709375000000024E-4</v>
      </c>
      <c r="F62" s="12">
        <f>E62/Calculation!K$17*1000</f>
        <v>1.0019467331219276E-3</v>
      </c>
      <c r="G62" s="12">
        <f t="shared" si="3"/>
        <v>185.65256014615048</v>
      </c>
    </row>
    <row r="63" spans="1:7">
      <c r="A63" s="12">
        <v>29</v>
      </c>
      <c r="B63" s="12">
        <v>281.52999999999997</v>
      </c>
      <c r="C63" s="12">
        <f t="shared" si="0"/>
        <v>0.28152999999999995</v>
      </c>
      <c r="D63" s="12">
        <f t="shared" si="1"/>
        <v>1.9707099999999995E-2</v>
      </c>
      <c r="E63" s="12">
        <f t="shared" si="2"/>
        <v>8.7978124999999981E-4</v>
      </c>
      <c r="F63" s="12">
        <f>E63/Calculation!K$17*1000</f>
        <v>1.0166074306260718E-3</v>
      </c>
      <c r="G63" s="12">
        <f t="shared" si="3"/>
        <v>185.68283845860671</v>
      </c>
    </row>
    <row r="64" spans="1:7">
      <c r="A64" s="12">
        <v>29.5</v>
      </c>
      <c r="B64" s="12">
        <v>281.52999999999997</v>
      </c>
      <c r="C64" s="12">
        <f t="shared" si="0"/>
        <v>0.28152999999999995</v>
      </c>
      <c r="D64" s="12">
        <f t="shared" si="1"/>
        <v>1.9707099999999995E-2</v>
      </c>
      <c r="E64" s="12">
        <f t="shared" si="2"/>
        <v>8.7978124999999981E-4</v>
      </c>
      <c r="F64" s="12">
        <f>E64/Calculation!K$17*1000</f>
        <v>1.0166074306260718E-3</v>
      </c>
      <c r="G64" s="12">
        <f t="shared" si="3"/>
        <v>185.7133366815255</v>
      </c>
    </row>
    <row r="65" spans="1:7">
      <c r="A65" s="12">
        <v>30</v>
      </c>
      <c r="B65" s="12">
        <v>319.43</v>
      </c>
      <c r="C65" s="12">
        <f t="shared" si="0"/>
        <v>0.31942999999999999</v>
      </c>
      <c r="D65" s="12">
        <f t="shared" si="1"/>
        <v>2.2360100000000001E-2</v>
      </c>
      <c r="E65" s="12">
        <f t="shared" si="2"/>
        <v>9.9821875000000019E-4</v>
      </c>
      <c r="F65" s="12">
        <f>E65/Calculation!K$18*1000</f>
        <v>1.2288369352428791E-3</v>
      </c>
      <c r="G65" s="12">
        <f t="shared" si="3"/>
        <v>185.74701834701355</v>
      </c>
    </row>
    <row r="66" spans="1:7">
      <c r="A66" s="12">
        <v>30.5</v>
      </c>
      <c r="B66" s="12">
        <v>305.89999999999998</v>
      </c>
      <c r="C66" s="12">
        <f t="shared" si="0"/>
        <v>0.30589999999999995</v>
      </c>
      <c r="D66" s="12">
        <f t="shared" si="1"/>
        <v>2.1412999999999998E-2</v>
      </c>
      <c r="E66" s="12">
        <f t="shared" si="2"/>
        <v>9.5593749999999997E-4</v>
      </c>
      <c r="F66" s="12">
        <f>E66/Calculation!K$18*1000</f>
        <v>1.1767874604476619E-3</v>
      </c>
      <c r="G66" s="12">
        <f t="shared" si="3"/>
        <v>185.7831027129489</v>
      </c>
    </row>
    <row r="67" spans="1:7">
      <c r="A67" s="12">
        <v>31</v>
      </c>
      <c r="B67" s="12">
        <v>266.64</v>
      </c>
      <c r="C67" s="12">
        <f t="shared" si="0"/>
        <v>0.26663999999999999</v>
      </c>
      <c r="D67" s="12">
        <f t="shared" si="1"/>
        <v>1.8664800000000002E-2</v>
      </c>
      <c r="E67" s="12">
        <f t="shared" si="2"/>
        <v>8.3325000000000011E-4</v>
      </c>
      <c r="F67" s="12">
        <f>E67/Calculation!K$18*1000</f>
        <v>1.0257555032813488E-3</v>
      </c>
      <c r="G67" s="12">
        <f t="shared" si="3"/>
        <v>185.81614085740483</v>
      </c>
    </row>
    <row r="68" spans="1:7">
      <c r="A68" s="12">
        <v>31.5</v>
      </c>
      <c r="B68" s="12">
        <v>303.19</v>
      </c>
      <c r="C68" s="12">
        <f t="shared" si="0"/>
        <v>0.30319000000000002</v>
      </c>
      <c r="D68" s="12">
        <f t="shared" si="1"/>
        <v>2.12233E-2</v>
      </c>
      <c r="E68" s="12">
        <f t="shared" si="2"/>
        <v>9.4746875000000007E-4</v>
      </c>
      <c r="F68" s="12">
        <f>E68/Calculation!K$18*1000</f>
        <v>1.1663621776172824E-3</v>
      </c>
      <c r="G68" s="12">
        <f t="shared" si="3"/>
        <v>185.84902262261832</v>
      </c>
    </row>
    <row r="69" spans="1:7">
      <c r="A69" s="12">
        <v>32</v>
      </c>
      <c r="B69" s="12">
        <v>312.66000000000003</v>
      </c>
      <c r="C69" s="12">
        <f t="shared" si="0"/>
        <v>0.31266000000000005</v>
      </c>
      <c r="D69" s="12">
        <f t="shared" si="1"/>
        <v>2.1886200000000001E-2</v>
      </c>
      <c r="E69" s="12">
        <f t="shared" si="2"/>
        <v>9.7706250000000007E-4</v>
      </c>
      <c r="F69" s="12">
        <f>E69/Calculation!K$18*1000</f>
        <v>1.2027929630061E-3</v>
      </c>
      <c r="G69" s="12">
        <f t="shared" si="3"/>
        <v>185.88455994972767</v>
      </c>
    </row>
    <row r="70" spans="1:7">
      <c r="A70" s="12">
        <v>32.5</v>
      </c>
      <c r="B70" s="12">
        <v>330.26</v>
      </c>
      <c r="C70" s="12">
        <f t="shared" ref="C70:C101" si="4">B70/1000</f>
        <v>0.33026</v>
      </c>
      <c r="D70" s="12">
        <f t="shared" ref="D70:D101" si="5">C70/1000*$B$1</f>
        <v>2.3118199999999998E-2</v>
      </c>
      <c r="E70" s="12">
        <f t="shared" ref="E70:E101" si="6">D70/22.4</f>
        <v>1.0320625E-3</v>
      </c>
      <c r="F70" s="12">
        <f>E70/Calculation!K$18*1000</f>
        <v>1.2704995968860571E-3</v>
      </c>
      <c r="G70" s="12">
        <f t="shared" si="3"/>
        <v>185.92165933812606</v>
      </c>
    </row>
    <row r="71" spans="1:7">
      <c r="A71" s="12">
        <v>33</v>
      </c>
      <c r="B71" s="12">
        <v>347.86</v>
      </c>
      <c r="C71" s="12">
        <f t="shared" si="4"/>
        <v>0.34786</v>
      </c>
      <c r="D71" s="12">
        <f t="shared" si="5"/>
        <v>2.4350200000000002E-2</v>
      </c>
      <c r="E71" s="12">
        <f t="shared" si="6"/>
        <v>1.0870625000000001E-3</v>
      </c>
      <c r="F71" s="12">
        <f>E71/Calculation!K$18*1000</f>
        <v>1.3382062307660141E-3</v>
      </c>
      <c r="G71" s="12">
        <f t="shared" ref="G71:G101" si="7">G70+(F71+F70)/2*30</f>
        <v>185.96078992554084</v>
      </c>
    </row>
    <row r="72" spans="1:7">
      <c r="A72" s="12">
        <v>33.5</v>
      </c>
      <c r="B72" s="12">
        <v>353.27</v>
      </c>
      <c r="C72" s="12">
        <f t="shared" si="4"/>
        <v>0.35326999999999997</v>
      </c>
      <c r="D72" s="12">
        <f t="shared" si="5"/>
        <v>2.4728899999999998E-2</v>
      </c>
      <c r="E72" s="12">
        <f t="shared" si="6"/>
        <v>1.1039687499999999E-3</v>
      </c>
      <c r="F72" s="12">
        <f>E72/Calculation!K$18*1000</f>
        <v>1.3590183267484324E-3</v>
      </c>
      <c r="G72" s="12">
        <f t="shared" si="7"/>
        <v>186.00124829390356</v>
      </c>
    </row>
    <row r="73" spans="1:7">
      <c r="A73" s="12">
        <v>34</v>
      </c>
      <c r="B73" s="12">
        <v>323.49</v>
      </c>
      <c r="C73" s="12">
        <f t="shared" si="4"/>
        <v>0.32349</v>
      </c>
      <c r="D73" s="12">
        <f t="shared" si="5"/>
        <v>2.2644299999999999E-2</v>
      </c>
      <c r="E73" s="12">
        <f t="shared" si="6"/>
        <v>1.0109062500000001E-3</v>
      </c>
      <c r="F73" s="12">
        <f>E73/Calculation!K$18*1000</f>
        <v>1.244455624649278E-3</v>
      </c>
      <c r="G73" s="12">
        <f t="shared" si="7"/>
        <v>186.04030040317451</v>
      </c>
    </row>
    <row r="74" spans="1:7">
      <c r="A74" s="12">
        <v>34.5</v>
      </c>
      <c r="B74" s="12">
        <v>407.41</v>
      </c>
      <c r="C74" s="12">
        <f t="shared" si="4"/>
        <v>0.40741000000000005</v>
      </c>
      <c r="D74" s="12">
        <f t="shared" si="5"/>
        <v>2.8518700000000001E-2</v>
      </c>
      <c r="E74" s="12">
        <f t="shared" si="6"/>
        <v>1.2731562500000002E-3</v>
      </c>
      <c r="F74" s="12">
        <f>E74/Calculation!K$18*1000</f>
        <v>1.5672931652859824E-3</v>
      </c>
      <c r="G74" s="12">
        <f t="shared" si="7"/>
        <v>186.08247663502354</v>
      </c>
    </row>
    <row r="75" spans="1:7">
      <c r="A75" s="12">
        <v>35</v>
      </c>
      <c r="B75" s="12">
        <v>550.89</v>
      </c>
      <c r="C75" s="12">
        <f t="shared" si="4"/>
        <v>0.55088999999999999</v>
      </c>
      <c r="D75" s="12">
        <f t="shared" si="5"/>
        <v>3.8562299999999994E-2</v>
      </c>
      <c r="E75" s="12">
        <f t="shared" si="6"/>
        <v>1.7215312499999998E-3</v>
      </c>
      <c r="F75" s="12">
        <f>E75/Calculation!K$18*1000</f>
        <v>2.1192561101209947E-3</v>
      </c>
      <c r="G75" s="12">
        <f t="shared" si="7"/>
        <v>186.13777487415464</v>
      </c>
    </row>
    <row r="76" spans="1:7">
      <c r="A76" s="12">
        <v>35.5</v>
      </c>
      <c r="B76" s="12">
        <v>420.95</v>
      </c>
      <c r="C76" s="12">
        <f t="shared" si="4"/>
        <v>0.42094999999999999</v>
      </c>
      <c r="D76" s="12">
        <f t="shared" si="5"/>
        <v>2.94665E-2</v>
      </c>
      <c r="E76" s="12">
        <f t="shared" si="6"/>
        <v>1.31546875E-3</v>
      </c>
      <c r="F76" s="12">
        <f>E76/Calculation!K$18*1000</f>
        <v>1.61938110975954E-3</v>
      </c>
      <c r="G76" s="12">
        <f t="shared" si="7"/>
        <v>186.19385443245284</v>
      </c>
    </row>
    <row r="77" spans="1:7">
      <c r="A77" s="12">
        <v>36</v>
      </c>
      <c r="B77" s="12">
        <v>419.59</v>
      </c>
      <c r="C77" s="12">
        <f t="shared" si="4"/>
        <v>0.41958999999999996</v>
      </c>
      <c r="D77" s="12">
        <f t="shared" si="5"/>
        <v>2.9371299999999996E-2</v>
      </c>
      <c r="E77" s="12">
        <f t="shared" si="6"/>
        <v>1.3112187499999999E-3</v>
      </c>
      <c r="F77" s="12">
        <f>E77/Calculation!K$18*1000</f>
        <v>1.6141492335051794E-3</v>
      </c>
      <c r="G77" s="12">
        <f t="shared" si="7"/>
        <v>186.2423573876018</v>
      </c>
    </row>
    <row r="78" spans="1:7">
      <c r="A78" s="12">
        <v>36.5</v>
      </c>
      <c r="B78" s="12">
        <v>378.99</v>
      </c>
      <c r="C78" s="12">
        <f t="shared" si="4"/>
        <v>0.37898999999999999</v>
      </c>
      <c r="D78" s="12">
        <f t="shared" si="5"/>
        <v>2.6529299999999999E-2</v>
      </c>
      <c r="E78" s="12">
        <f t="shared" si="6"/>
        <v>1.1843437500000001E-3</v>
      </c>
      <c r="F78" s="12">
        <f>E78/Calculation!K$18*1000</f>
        <v>1.457962339441188E-3</v>
      </c>
      <c r="G78" s="12">
        <f t="shared" si="7"/>
        <v>186.28843906119599</v>
      </c>
    </row>
    <row r="79" spans="1:7">
      <c r="A79" s="12">
        <v>37</v>
      </c>
      <c r="B79" s="12">
        <v>404.7</v>
      </c>
      <c r="C79" s="12">
        <f t="shared" si="4"/>
        <v>0.4047</v>
      </c>
      <c r="D79" s="12">
        <f t="shared" si="5"/>
        <v>2.8329E-2</v>
      </c>
      <c r="E79" s="12">
        <f t="shared" si="6"/>
        <v>1.2646875000000002E-3</v>
      </c>
      <c r="F79" s="12">
        <f>E79/Calculation!K$18*1000</f>
        <v>1.5568678824556025E-3</v>
      </c>
      <c r="G79" s="12">
        <f t="shared" si="7"/>
        <v>186.33366151452444</v>
      </c>
    </row>
    <row r="80" spans="1:7">
      <c r="A80" s="12">
        <v>37.5</v>
      </c>
      <c r="B80" s="12">
        <v>419.59</v>
      </c>
      <c r="C80" s="12">
        <f t="shared" si="4"/>
        <v>0.41958999999999996</v>
      </c>
      <c r="D80" s="12">
        <f t="shared" si="5"/>
        <v>2.9371299999999996E-2</v>
      </c>
      <c r="E80" s="12">
        <f t="shared" si="6"/>
        <v>1.3112187499999999E-3</v>
      </c>
      <c r="F80" s="12">
        <f>E80/Calculation!K$18*1000</f>
        <v>1.6141492335051794E-3</v>
      </c>
      <c r="G80" s="12">
        <f t="shared" si="7"/>
        <v>186.38122677126384</v>
      </c>
    </row>
    <row r="81" spans="1:7">
      <c r="A81" s="12">
        <v>38</v>
      </c>
      <c r="B81" s="12">
        <v>412.83</v>
      </c>
      <c r="C81" s="12">
        <f t="shared" si="4"/>
        <v>0.41282999999999997</v>
      </c>
      <c r="D81" s="12">
        <f t="shared" si="5"/>
        <v>2.8898099999999999E-2</v>
      </c>
      <c r="E81" s="12">
        <f t="shared" si="6"/>
        <v>1.29009375E-3</v>
      </c>
      <c r="F81" s="12">
        <f>E81/Calculation!K$18*1000</f>
        <v>1.5881437309467415E-3</v>
      </c>
      <c r="G81" s="12">
        <f t="shared" si="7"/>
        <v>186.42926116573062</v>
      </c>
    </row>
    <row r="82" spans="1:7">
      <c r="A82" s="12">
        <v>38.5</v>
      </c>
      <c r="B82" s="12">
        <v>433.13</v>
      </c>
      <c r="C82" s="12">
        <f t="shared" si="4"/>
        <v>0.43313000000000001</v>
      </c>
      <c r="D82" s="12">
        <f t="shared" si="5"/>
        <v>3.0319099999999998E-2</v>
      </c>
      <c r="E82" s="12">
        <f t="shared" si="6"/>
        <v>1.3535312499999999E-3</v>
      </c>
      <c r="F82" s="12">
        <f>E82/Calculation!K$18*1000</f>
        <v>1.6662371779787373E-3</v>
      </c>
      <c r="G82" s="12">
        <f t="shared" si="7"/>
        <v>186.47807687936449</v>
      </c>
    </row>
    <row r="83" spans="1:7">
      <c r="A83" s="12">
        <v>39</v>
      </c>
      <c r="B83" s="12">
        <v>465.61</v>
      </c>
      <c r="C83" s="12">
        <f t="shared" si="4"/>
        <v>0.46561000000000002</v>
      </c>
      <c r="D83" s="12">
        <f t="shared" si="5"/>
        <v>3.2592700000000002E-2</v>
      </c>
      <c r="E83" s="12">
        <f t="shared" si="6"/>
        <v>1.4550312500000002E-3</v>
      </c>
      <c r="F83" s="12">
        <f>E83/Calculation!K$18*1000</f>
        <v>1.7911866932299311E-3</v>
      </c>
      <c r="G83" s="12">
        <f t="shared" si="7"/>
        <v>186.52993823743262</v>
      </c>
    </row>
    <row r="84" spans="1:7">
      <c r="A84" s="12">
        <v>39.5</v>
      </c>
      <c r="B84" s="12">
        <v>438.54</v>
      </c>
      <c r="C84" s="12">
        <f t="shared" si="4"/>
        <v>0.43854000000000004</v>
      </c>
      <c r="D84" s="12">
        <f t="shared" si="5"/>
        <v>3.0697800000000004E-2</v>
      </c>
      <c r="E84" s="12">
        <f t="shared" si="6"/>
        <v>1.3704375000000003E-3</v>
      </c>
      <c r="F84" s="12">
        <f>E84/Calculation!K$18*1000</f>
        <v>1.6870492739611564E-3</v>
      </c>
      <c r="G84" s="12">
        <f t="shared" si="7"/>
        <v>186.58211177694048</v>
      </c>
    </row>
    <row r="85" spans="1:7">
      <c r="A85" s="12">
        <v>40</v>
      </c>
      <c r="B85" s="12">
        <v>453.43</v>
      </c>
      <c r="C85" s="12">
        <f t="shared" si="4"/>
        <v>0.45343</v>
      </c>
      <c r="D85" s="12">
        <f t="shared" si="5"/>
        <v>3.17401E-2</v>
      </c>
      <c r="E85" s="12">
        <f t="shared" si="6"/>
        <v>1.41696875E-3</v>
      </c>
      <c r="F85" s="12">
        <f>E85/Calculation!K$18*1000</f>
        <v>1.7443306250107334E-3</v>
      </c>
      <c r="G85" s="12">
        <f t="shared" si="7"/>
        <v>186.63358247542504</v>
      </c>
    </row>
    <row r="86" spans="1:7">
      <c r="A86" s="12">
        <v>40.5</v>
      </c>
      <c r="B86" s="12">
        <v>437.19</v>
      </c>
      <c r="C86" s="12">
        <f t="shared" si="4"/>
        <v>0.43719000000000002</v>
      </c>
      <c r="D86" s="12">
        <f t="shared" si="5"/>
        <v>3.06033E-2</v>
      </c>
      <c r="E86" s="12">
        <f t="shared" si="6"/>
        <v>1.36621875E-3</v>
      </c>
      <c r="F86" s="12">
        <f>E86/Calculation!K$18*1000</f>
        <v>1.6818558673851369E-3</v>
      </c>
      <c r="G86" s="12">
        <f t="shared" si="7"/>
        <v>186.68497527281099</v>
      </c>
    </row>
    <row r="87" spans="1:7">
      <c r="A87" s="12">
        <v>41</v>
      </c>
      <c r="B87" s="12">
        <v>443.96</v>
      </c>
      <c r="C87" s="12">
        <f t="shared" si="4"/>
        <v>0.44395999999999997</v>
      </c>
      <c r="D87" s="12">
        <f t="shared" si="5"/>
        <v>3.1077199999999999E-2</v>
      </c>
      <c r="E87" s="12">
        <f t="shared" si="6"/>
        <v>1.3873750000000002E-3</v>
      </c>
      <c r="F87" s="12">
        <f>E87/Calculation!K$18*1000</f>
        <v>1.707899839621916E-3</v>
      </c>
      <c r="G87" s="12">
        <f t="shared" si="7"/>
        <v>186.7358216084161</v>
      </c>
    </row>
    <row r="88" spans="1:7">
      <c r="A88" s="12">
        <v>41.5</v>
      </c>
      <c r="B88" s="12">
        <v>425.01</v>
      </c>
      <c r="C88" s="12">
        <f t="shared" si="4"/>
        <v>0.42501</v>
      </c>
      <c r="D88" s="12">
        <f t="shared" si="5"/>
        <v>2.9750700000000001E-2</v>
      </c>
      <c r="E88" s="12">
        <f t="shared" si="6"/>
        <v>1.3281562500000001E-3</v>
      </c>
      <c r="F88" s="12">
        <f>E88/Calculation!K$18*1000</f>
        <v>1.6349997991659392E-3</v>
      </c>
      <c r="G88" s="12">
        <f t="shared" si="7"/>
        <v>186.78596510299792</v>
      </c>
    </row>
    <row r="89" spans="1:7">
      <c r="A89" s="12">
        <v>42</v>
      </c>
      <c r="B89" s="12">
        <v>518.4</v>
      </c>
      <c r="C89" s="12">
        <f t="shared" si="4"/>
        <v>0.51839999999999997</v>
      </c>
      <c r="D89" s="12">
        <f t="shared" si="5"/>
        <v>3.6288000000000001E-2</v>
      </c>
      <c r="E89" s="12">
        <f t="shared" si="6"/>
        <v>1.6200000000000001E-3</v>
      </c>
      <c r="F89" s="12">
        <f>E89/Calculation!K$18*1000</f>
        <v>1.9942681251914614E-3</v>
      </c>
      <c r="G89" s="12">
        <f t="shared" si="7"/>
        <v>186.84040412186329</v>
      </c>
    </row>
    <row r="90" spans="1:7">
      <c r="A90" s="12">
        <v>42.5</v>
      </c>
      <c r="B90" s="12">
        <v>433.13</v>
      </c>
      <c r="C90" s="12">
        <f t="shared" si="4"/>
        <v>0.43313000000000001</v>
      </c>
      <c r="D90" s="12">
        <f t="shared" si="5"/>
        <v>3.0319099999999998E-2</v>
      </c>
      <c r="E90" s="12">
        <f t="shared" si="6"/>
        <v>1.3535312499999999E-3</v>
      </c>
      <c r="F90" s="12">
        <f>E90/Calculation!K$18*1000</f>
        <v>1.6662371779787373E-3</v>
      </c>
      <c r="G90" s="12">
        <f t="shared" si="7"/>
        <v>186.89531170141083</v>
      </c>
    </row>
    <row r="91" spans="1:7">
      <c r="A91" s="12">
        <v>43</v>
      </c>
      <c r="B91" s="12">
        <v>362.75</v>
      </c>
      <c r="C91" s="12">
        <f t="shared" si="4"/>
        <v>0.36275000000000002</v>
      </c>
      <c r="D91" s="12">
        <f t="shared" si="5"/>
        <v>2.5392500000000002E-2</v>
      </c>
      <c r="E91" s="12">
        <f t="shared" si="6"/>
        <v>1.1335937500000001E-3</v>
      </c>
      <c r="F91" s="12">
        <f>E91/Calculation!K$18*1000</f>
        <v>1.3954875818155913E-3</v>
      </c>
      <c r="G91" s="12">
        <f t="shared" si="7"/>
        <v>186.94123757280775</v>
      </c>
    </row>
    <row r="92" spans="1:7">
      <c r="A92" s="12">
        <v>43.5</v>
      </c>
      <c r="B92" s="12">
        <v>412.83</v>
      </c>
      <c r="C92" s="12">
        <f t="shared" si="4"/>
        <v>0.41282999999999997</v>
      </c>
      <c r="D92" s="12">
        <f t="shared" si="5"/>
        <v>2.8898099999999999E-2</v>
      </c>
      <c r="E92" s="12">
        <f t="shared" si="6"/>
        <v>1.29009375E-3</v>
      </c>
      <c r="F92" s="12">
        <f>E92/Calculation!K$18*1000</f>
        <v>1.5881437309467415E-3</v>
      </c>
      <c r="G92" s="12">
        <f t="shared" si="7"/>
        <v>186.98599204249919</v>
      </c>
    </row>
    <row r="93" spans="1:7">
      <c r="A93" s="12">
        <v>44</v>
      </c>
      <c r="B93" s="12">
        <v>388.46</v>
      </c>
      <c r="C93" s="12">
        <f t="shared" si="4"/>
        <v>0.38845999999999997</v>
      </c>
      <c r="D93" s="12">
        <f t="shared" si="5"/>
        <v>2.71922E-2</v>
      </c>
      <c r="E93" s="12">
        <f t="shared" si="6"/>
        <v>1.2139375E-3</v>
      </c>
      <c r="F93" s="12">
        <f>E93/Calculation!K$18*1000</f>
        <v>1.4943931248300056E-3</v>
      </c>
      <c r="G93" s="12">
        <f t="shared" si="7"/>
        <v>187.03223009533585</v>
      </c>
    </row>
    <row r="94" spans="1:7">
      <c r="A94" s="12">
        <v>44.5</v>
      </c>
      <c r="B94" s="12">
        <v>378.99</v>
      </c>
      <c r="C94" s="12">
        <f t="shared" si="4"/>
        <v>0.37898999999999999</v>
      </c>
      <c r="D94" s="12">
        <f t="shared" si="5"/>
        <v>2.6529299999999999E-2</v>
      </c>
      <c r="E94" s="12">
        <f t="shared" si="6"/>
        <v>1.1843437500000001E-3</v>
      </c>
      <c r="F94" s="12">
        <f>E94/Calculation!K$18*1000</f>
        <v>1.457962339441188E-3</v>
      </c>
      <c r="G94" s="12">
        <f t="shared" si="7"/>
        <v>187.07651542729991</v>
      </c>
    </row>
    <row r="95" spans="1:7">
      <c r="A95" s="12">
        <v>45</v>
      </c>
      <c r="B95" s="12">
        <v>381.69</v>
      </c>
      <c r="C95" s="12">
        <f t="shared" si="4"/>
        <v>0.38168999999999997</v>
      </c>
      <c r="D95" s="12">
        <f t="shared" si="5"/>
        <v>2.6718299999999997E-2</v>
      </c>
      <c r="E95" s="12">
        <f t="shared" si="6"/>
        <v>1.1927812499999998E-3</v>
      </c>
      <c r="F95" s="12">
        <f>E95/Calculation!K$18*1000</f>
        <v>1.4683491525932266E-3</v>
      </c>
      <c r="G95" s="12">
        <f t="shared" si="7"/>
        <v>187.12041009968041</v>
      </c>
    </row>
    <row r="96" spans="1:7">
      <c r="A96" s="12">
        <v>45.5</v>
      </c>
      <c r="B96" s="12">
        <v>522.46</v>
      </c>
      <c r="C96" s="12">
        <f t="shared" si="4"/>
        <v>0.52246000000000004</v>
      </c>
      <c r="D96" s="12">
        <f t="shared" si="5"/>
        <v>3.6572199999999999E-2</v>
      </c>
      <c r="E96" s="12">
        <f t="shared" si="6"/>
        <v>1.6326875E-3</v>
      </c>
      <c r="F96" s="12">
        <f>E96/Calculation!K$18*1000</f>
        <v>2.0098868145978603E-3</v>
      </c>
      <c r="G96" s="12">
        <f t="shared" si="7"/>
        <v>187.17258363918828</v>
      </c>
    </row>
    <row r="97" spans="1:7">
      <c r="A97" s="12">
        <v>46</v>
      </c>
      <c r="B97" s="12">
        <v>328.91</v>
      </c>
      <c r="C97" s="12">
        <f t="shared" si="4"/>
        <v>0.32891000000000004</v>
      </c>
      <c r="D97" s="12">
        <f t="shared" si="5"/>
        <v>2.3023700000000001E-2</v>
      </c>
      <c r="E97" s="12">
        <f t="shared" si="6"/>
        <v>1.0278437500000001E-3</v>
      </c>
      <c r="F97" s="12">
        <f>E97/Calculation!K$18*1000</f>
        <v>1.2653061903100378E-3</v>
      </c>
      <c r="G97" s="12">
        <f t="shared" si="7"/>
        <v>187.22171153426189</v>
      </c>
    </row>
    <row r="98" spans="1:7">
      <c r="A98" s="12">
        <v>46.5</v>
      </c>
      <c r="B98" s="12">
        <v>318.08</v>
      </c>
      <c r="C98" s="12">
        <f t="shared" si="4"/>
        <v>0.31807999999999997</v>
      </c>
      <c r="D98" s="12">
        <f t="shared" si="5"/>
        <v>2.22656E-2</v>
      </c>
      <c r="E98" s="12">
        <f t="shared" si="6"/>
        <v>9.9400000000000009E-4</v>
      </c>
      <c r="F98" s="12">
        <f>E98/Calculation!K$18*1000</f>
        <v>1.2236435286668594E-3</v>
      </c>
      <c r="G98" s="12">
        <f t="shared" si="7"/>
        <v>187.25904578004653</v>
      </c>
    </row>
    <row r="99" spans="1:7">
      <c r="A99" s="12">
        <v>47</v>
      </c>
      <c r="B99" s="12">
        <v>346.5</v>
      </c>
      <c r="C99" s="12">
        <f t="shared" si="4"/>
        <v>0.34649999999999997</v>
      </c>
      <c r="D99" s="12">
        <f t="shared" si="5"/>
        <v>2.4254999999999999E-2</v>
      </c>
      <c r="E99" s="12">
        <f t="shared" si="6"/>
        <v>1.0828125E-3</v>
      </c>
      <c r="F99" s="12">
        <f>E99/Calculation!K$18*1000</f>
        <v>1.3329743545116538E-3</v>
      </c>
      <c r="G99" s="12">
        <f t="shared" si="7"/>
        <v>187.29739504829422</v>
      </c>
    </row>
    <row r="100" spans="1:7">
      <c r="A100" s="12">
        <v>47.5</v>
      </c>
      <c r="B100" s="12">
        <v>278.83</v>
      </c>
      <c r="C100" s="12">
        <f t="shared" si="4"/>
        <v>0.27882999999999997</v>
      </c>
      <c r="D100" s="12">
        <f t="shared" si="5"/>
        <v>1.95181E-2</v>
      </c>
      <c r="E100" s="12">
        <f t="shared" si="6"/>
        <v>8.7134375000000005E-4</v>
      </c>
      <c r="F100" s="12">
        <f>E100/Calculation!K$18*1000</f>
        <v>1.0726500411788872E-3</v>
      </c>
      <c r="G100" s="12">
        <f t="shared" si="7"/>
        <v>187.33347941422957</v>
      </c>
    </row>
    <row r="101" spans="1:7">
      <c r="A101" s="12">
        <v>48</v>
      </c>
      <c r="B101" s="12">
        <v>347.86</v>
      </c>
      <c r="C101" s="12">
        <f t="shared" si="4"/>
        <v>0.34786</v>
      </c>
      <c r="D101" s="12">
        <f t="shared" si="5"/>
        <v>2.4350200000000002E-2</v>
      </c>
      <c r="E101" s="12">
        <f t="shared" si="6"/>
        <v>1.0870625000000001E-3</v>
      </c>
      <c r="F101" s="12">
        <f>E101/Calculation!K$19*1000</f>
        <v>1.4228818111246579E-3</v>
      </c>
      <c r="G101" s="12">
        <f t="shared" si="7"/>
        <v>187.37091239201413</v>
      </c>
    </row>
    <row r="104" spans="1:7">
      <c r="B104" t="s">
        <v>155</v>
      </c>
    </row>
    <row r="105" spans="1:7">
      <c r="A105" s="121" t="s">
        <v>5</v>
      </c>
      <c r="B105" s="121" t="s">
        <v>36</v>
      </c>
      <c r="C105" s="121"/>
      <c r="D105" s="121" t="s">
        <v>51</v>
      </c>
      <c r="E105" s="121"/>
      <c r="F105" s="121"/>
      <c r="G105" s="77" t="s">
        <v>52</v>
      </c>
    </row>
    <row r="106" spans="1:7">
      <c r="A106" s="121"/>
      <c r="B106" s="77" t="s">
        <v>53</v>
      </c>
      <c r="C106" s="77" t="s">
        <v>54</v>
      </c>
      <c r="D106" s="77" t="s">
        <v>55</v>
      </c>
      <c r="E106" s="77" t="s">
        <v>56</v>
      </c>
      <c r="F106" s="77" t="s">
        <v>57</v>
      </c>
      <c r="G106" s="77" t="s">
        <v>58</v>
      </c>
    </row>
    <row r="107" spans="1:7">
      <c r="A107" s="12">
        <v>0</v>
      </c>
      <c r="B107" s="12">
        <v>1364.02</v>
      </c>
      <c r="C107" s="12">
        <f>B107/1000</f>
        <v>1.36402</v>
      </c>
      <c r="D107" s="12">
        <f>C107/1000*$B$1</f>
        <v>9.5481400000000008E-2</v>
      </c>
      <c r="E107" s="12">
        <f>D107/22.4</f>
        <v>4.2625625000000007E-3</v>
      </c>
      <c r="F107" s="12">
        <f>E107/Calculation!K$4*1000</f>
        <v>2.8781650911546258E-3</v>
      </c>
      <c r="G107" s="12">
        <f>(0+F107)/2*30</f>
        <v>4.3172476367319385E-2</v>
      </c>
    </row>
    <row r="108" spans="1:7">
      <c r="A108" s="12">
        <v>0.5</v>
      </c>
      <c r="B108" s="12">
        <v>4682.99</v>
      </c>
      <c r="C108" s="12">
        <f t="shared" ref="C108:C171" si="8">B108/1000</f>
        <v>4.6829900000000002</v>
      </c>
      <c r="D108" s="12">
        <f>C108/1000*$B$1</f>
        <v>0.32780930000000003</v>
      </c>
      <c r="E108" s="12">
        <f>D108/22.4</f>
        <v>1.4634343750000002E-2</v>
      </c>
      <c r="F108" s="12">
        <f>E108/Calculation!K$4*1000</f>
        <v>9.8813934841323441E-3</v>
      </c>
      <c r="G108" s="12">
        <f>G107+(F108+F107)/2*30</f>
        <v>0.23456585499662394</v>
      </c>
    </row>
    <row r="109" spans="1:7">
      <c r="A109" s="12">
        <v>1</v>
      </c>
      <c r="B109" s="12">
        <v>7869.34</v>
      </c>
      <c r="C109" s="12">
        <f t="shared" si="8"/>
        <v>7.8693400000000002</v>
      </c>
      <c r="D109" s="12">
        <f t="shared" ref="D109:D172" si="9">C109/1000*$B$1</f>
        <v>0.55085380000000006</v>
      </c>
      <c r="E109" s="12">
        <f t="shared" ref="E109:E172" si="10">D109/22.4</f>
        <v>2.4591687500000004E-2</v>
      </c>
      <c r="F109" s="12">
        <f>E109/Calculation!K$4*1000</f>
        <v>1.6604785617825798E-2</v>
      </c>
      <c r="G109" s="12">
        <f t="shared" ref="G109:G172" si="11">G108+(F109+F108)/2*30</f>
        <v>0.63185854152599608</v>
      </c>
    </row>
    <row r="110" spans="1:7">
      <c r="A110" s="12">
        <v>1.5</v>
      </c>
      <c r="B110" s="12">
        <v>9127.6</v>
      </c>
      <c r="C110" s="12">
        <f t="shared" si="8"/>
        <v>9.127600000000001</v>
      </c>
      <c r="D110" s="12">
        <f t="shared" si="9"/>
        <v>0.63893200000000006</v>
      </c>
      <c r="E110" s="12">
        <f t="shared" si="10"/>
        <v>2.8523750000000004E-2</v>
      </c>
      <c r="F110" s="12">
        <f>E110/Calculation!K$4*1000</f>
        <v>1.9259790681971645E-2</v>
      </c>
      <c r="G110" s="12">
        <f t="shared" si="11"/>
        <v>1.1698271860229577</v>
      </c>
    </row>
    <row r="111" spans="1:7">
      <c r="A111" s="12">
        <v>2</v>
      </c>
      <c r="B111" s="12">
        <v>10760.22</v>
      </c>
      <c r="C111" s="12">
        <f t="shared" si="8"/>
        <v>10.760219999999999</v>
      </c>
      <c r="D111" s="12">
        <f t="shared" si="9"/>
        <v>0.75321539999999998</v>
      </c>
      <c r="E111" s="12">
        <f t="shared" si="10"/>
        <v>3.3625687500000001E-2</v>
      </c>
      <c r="F111" s="12">
        <f>E111/Calculation!K$5*1000</f>
        <v>2.3383177357954053E-2</v>
      </c>
      <c r="G111" s="12">
        <f t="shared" si="11"/>
        <v>1.8094717066218431</v>
      </c>
    </row>
    <row r="112" spans="1:7">
      <c r="A112" s="12">
        <v>2.5</v>
      </c>
      <c r="B112" s="12">
        <v>12072.2</v>
      </c>
      <c r="C112" s="12">
        <f t="shared" si="8"/>
        <v>12.0722</v>
      </c>
      <c r="D112" s="12">
        <f t="shared" si="9"/>
        <v>0.84505399999999997</v>
      </c>
      <c r="E112" s="12">
        <f t="shared" si="10"/>
        <v>3.7725624999999999E-2</v>
      </c>
      <c r="F112" s="12">
        <f>E112/Calculation!K$5*1000</f>
        <v>2.6234258565409712E-2</v>
      </c>
      <c r="G112" s="12">
        <f t="shared" si="11"/>
        <v>2.5537332454722996</v>
      </c>
    </row>
    <row r="113" spans="1:7">
      <c r="A113" s="12">
        <v>3</v>
      </c>
      <c r="B113" s="12">
        <v>17614.73</v>
      </c>
      <c r="C113" s="12">
        <f t="shared" si="8"/>
        <v>17.614729999999998</v>
      </c>
      <c r="D113" s="12">
        <f t="shared" si="9"/>
        <v>1.2330310999999998</v>
      </c>
      <c r="E113" s="12">
        <f t="shared" si="10"/>
        <v>5.5046031249999995E-2</v>
      </c>
      <c r="F113" s="12">
        <f>E113/Calculation!K$5*1000</f>
        <v>3.8278804309063746E-2</v>
      </c>
      <c r="G113" s="12">
        <f t="shared" si="11"/>
        <v>3.5214291885894013</v>
      </c>
    </row>
    <row r="114" spans="1:7">
      <c r="A114" s="12">
        <v>3.5</v>
      </c>
      <c r="B114" s="12">
        <v>24612.78</v>
      </c>
      <c r="C114" s="12">
        <f t="shared" si="8"/>
        <v>24.612779999999997</v>
      </c>
      <c r="D114" s="12">
        <f t="shared" si="9"/>
        <v>1.7228945999999998</v>
      </c>
      <c r="E114" s="12">
        <f t="shared" si="10"/>
        <v>7.6914937500000002E-2</v>
      </c>
      <c r="F114" s="12">
        <f>E114/Calculation!K$6*1000</f>
        <v>5.5289702067003885E-2</v>
      </c>
      <c r="G114" s="12">
        <f t="shared" si="11"/>
        <v>4.9249567842304156</v>
      </c>
    </row>
    <row r="115" spans="1:7">
      <c r="A115" s="12">
        <v>4</v>
      </c>
      <c r="B115" s="12">
        <v>30942.67</v>
      </c>
      <c r="C115" s="12">
        <f t="shared" si="8"/>
        <v>30.94267</v>
      </c>
      <c r="D115" s="12">
        <f t="shared" si="9"/>
        <v>2.1659869</v>
      </c>
      <c r="E115" s="12">
        <f t="shared" si="10"/>
        <v>9.669584375000001E-2</v>
      </c>
      <c r="F115" s="12">
        <f>E115/Calculation!K$6*1000</f>
        <v>6.9509052023282988E-2</v>
      </c>
      <c r="G115" s="12">
        <f t="shared" si="11"/>
        <v>6.7969380955847187</v>
      </c>
    </row>
    <row r="116" spans="1:7">
      <c r="A116" s="12">
        <v>4.5</v>
      </c>
      <c r="B116" s="12">
        <v>25909.65</v>
      </c>
      <c r="C116" s="12">
        <f t="shared" si="8"/>
        <v>25.909650000000003</v>
      </c>
      <c r="D116" s="12">
        <f t="shared" si="9"/>
        <v>1.8136755000000002</v>
      </c>
      <c r="E116" s="12">
        <f t="shared" si="10"/>
        <v>8.096765625000002E-2</v>
      </c>
      <c r="F116" s="12">
        <f>E116/Calculation!K$6*1000</f>
        <v>5.820296728611507E-2</v>
      </c>
      <c r="G116" s="12">
        <f t="shared" si="11"/>
        <v>8.7126183852256904</v>
      </c>
    </row>
    <row r="117" spans="1:7">
      <c r="A117" s="12">
        <v>5</v>
      </c>
      <c r="B117" s="12">
        <v>31034.16</v>
      </c>
      <c r="C117" s="12">
        <f t="shared" si="8"/>
        <v>31.03416</v>
      </c>
      <c r="D117" s="12">
        <f t="shared" si="9"/>
        <v>2.1723912000000003</v>
      </c>
      <c r="E117" s="12">
        <f t="shared" si="10"/>
        <v>9.6981750000000019E-2</v>
      </c>
      <c r="F117" s="12">
        <f>E117/Calculation!K$7*1000</f>
        <v>7.209003303939758E-2</v>
      </c>
      <c r="G117" s="12">
        <f t="shared" si="11"/>
        <v>10.66701339010838</v>
      </c>
    </row>
    <row r="118" spans="1:7">
      <c r="A118" s="12">
        <v>5.5</v>
      </c>
      <c r="B118" s="12">
        <v>41407.42</v>
      </c>
      <c r="C118" s="12">
        <f t="shared" si="8"/>
        <v>41.407419999999995</v>
      </c>
      <c r="D118" s="12">
        <f t="shared" si="9"/>
        <v>2.8985193999999996</v>
      </c>
      <c r="E118" s="12">
        <f t="shared" si="10"/>
        <v>0.12939818749999998</v>
      </c>
      <c r="F118" s="12">
        <f>E118/Calculation!K$7*1000</f>
        <v>9.618634033839521E-2</v>
      </c>
      <c r="G118" s="12">
        <f t="shared" si="11"/>
        <v>13.191158990775271</v>
      </c>
    </row>
    <row r="119" spans="1:7">
      <c r="A119" s="12">
        <v>6</v>
      </c>
      <c r="B119" s="12">
        <v>49295.23</v>
      </c>
      <c r="C119" s="12">
        <f t="shared" si="8"/>
        <v>49.295230000000004</v>
      </c>
      <c r="D119" s="12">
        <f t="shared" si="9"/>
        <v>3.4506661000000003</v>
      </c>
      <c r="E119" s="12">
        <f t="shared" si="10"/>
        <v>0.15404759375000002</v>
      </c>
      <c r="F119" s="12">
        <f>E119/Calculation!K$8*1000</f>
        <v>0.11862690610101849</v>
      </c>
      <c r="G119" s="12">
        <f t="shared" si="11"/>
        <v>16.413357687366478</v>
      </c>
    </row>
    <row r="120" spans="1:7">
      <c r="A120" s="12">
        <v>6.5</v>
      </c>
      <c r="B120" s="12">
        <v>55526.9</v>
      </c>
      <c r="C120" s="12">
        <f t="shared" si="8"/>
        <v>55.526900000000005</v>
      </c>
      <c r="D120" s="12">
        <f t="shared" si="9"/>
        <v>3.8868830000000001</v>
      </c>
      <c r="E120" s="12">
        <f t="shared" si="10"/>
        <v>0.1735215625</v>
      </c>
      <c r="F120" s="12">
        <f>E120/Calculation!K$8*1000</f>
        <v>0.13362315892188031</v>
      </c>
      <c r="G120" s="12">
        <f t="shared" si="11"/>
        <v>20.197108662709962</v>
      </c>
    </row>
    <row r="121" spans="1:7">
      <c r="A121" s="12">
        <v>7</v>
      </c>
      <c r="B121" s="12">
        <v>56813.7</v>
      </c>
      <c r="C121" s="12">
        <f t="shared" si="8"/>
        <v>56.813699999999997</v>
      </c>
      <c r="D121" s="12">
        <f t="shared" si="9"/>
        <v>3.9769589999999995</v>
      </c>
      <c r="E121" s="12">
        <f t="shared" si="10"/>
        <v>0.17754281249999998</v>
      </c>
      <c r="F121" s="12">
        <f>E121/Calculation!K$8*1000</f>
        <v>0.13671978922000025</v>
      </c>
      <c r="G121" s="12">
        <f t="shared" si="11"/>
        <v>24.252252884838171</v>
      </c>
    </row>
    <row r="122" spans="1:7">
      <c r="A122" s="12">
        <v>7.5</v>
      </c>
      <c r="B122" s="12">
        <v>54929.25</v>
      </c>
      <c r="C122" s="12">
        <f t="shared" si="8"/>
        <v>54.929250000000003</v>
      </c>
      <c r="D122" s="12">
        <f t="shared" si="9"/>
        <v>3.8450475000000006</v>
      </c>
      <c r="E122" s="12">
        <f t="shared" si="10"/>
        <v>0.17165390625000004</v>
      </c>
      <c r="F122" s="12">
        <f>E122/Calculation!K$9*1000</f>
        <v>0.13742206043711278</v>
      </c>
      <c r="G122" s="12">
        <f t="shared" si="11"/>
        <v>28.364380629694868</v>
      </c>
    </row>
    <row r="123" spans="1:7">
      <c r="A123" s="12">
        <v>8</v>
      </c>
      <c r="B123" s="12">
        <v>56994.17</v>
      </c>
      <c r="C123" s="12">
        <f t="shared" si="8"/>
        <v>56.994169999999997</v>
      </c>
      <c r="D123" s="12">
        <f t="shared" si="9"/>
        <v>3.9895918999999997</v>
      </c>
      <c r="E123" s="12">
        <f t="shared" si="10"/>
        <v>0.17810678125000001</v>
      </c>
      <c r="F123" s="12">
        <f>E123/Calculation!K$9*1000</f>
        <v>0.14258807965342832</v>
      </c>
      <c r="G123" s="12">
        <f t="shared" si="11"/>
        <v>32.564532731052985</v>
      </c>
    </row>
    <row r="124" spans="1:7">
      <c r="A124" s="12">
        <v>8.5</v>
      </c>
      <c r="B124" s="12">
        <v>59085.94</v>
      </c>
      <c r="C124" s="12">
        <f t="shared" si="8"/>
        <v>59.085940000000001</v>
      </c>
      <c r="D124" s="12">
        <f t="shared" si="9"/>
        <v>4.1360158</v>
      </c>
      <c r="E124" s="12">
        <f t="shared" si="10"/>
        <v>0.18464356250000002</v>
      </c>
      <c r="F124" s="12">
        <f>E124/Calculation!K$9*1000</f>
        <v>0.14782127223043492</v>
      </c>
      <c r="G124" s="12">
        <f t="shared" si="11"/>
        <v>36.920673009310931</v>
      </c>
    </row>
    <row r="125" spans="1:7">
      <c r="A125" s="12">
        <v>9</v>
      </c>
      <c r="B125" s="12">
        <v>61582.31</v>
      </c>
      <c r="C125" s="12">
        <f t="shared" si="8"/>
        <v>61.58231</v>
      </c>
      <c r="D125" s="12">
        <f t="shared" si="9"/>
        <v>4.3107617000000005</v>
      </c>
      <c r="E125" s="12">
        <f t="shared" si="10"/>
        <v>0.19244471875000002</v>
      </c>
      <c r="F125" s="12">
        <f>E125/Calculation!K$9*1000</f>
        <v>0.15406669354992125</v>
      </c>
      <c r="G125" s="12">
        <f t="shared" si="11"/>
        <v>41.448992496016274</v>
      </c>
    </row>
    <row r="126" spans="1:7">
      <c r="A126" s="12">
        <v>9.5</v>
      </c>
      <c r="B126" s="12">
        <v>68324.34</v>
      </c>
      <c r="C126" s="12">
        <f t="shared" si="8"/>
        <v>68.324339999999992</v>
      </c>
      <c r="D126" s="12">
        <f t="shared" si="9"/>
        <v>4.7827038000000002</v>
      </c>
      <c r="E126" s="12">
        <f t="shared" si="10"/>
        <v>0.21351356250000003</v>
      </c>
      <c r="F126" s="12">
        <f>E126/Calculation!K$9*1000</f>
        <v>0.17093391191042734</v>
      </c>
      <c r="G126" s="12">
        <f t="shared" si="11"/>
        <v>46.3240015779215</v>
      </c>
    </row>
    <row r="127" spans="1:7">
      <c r="A127" s="12">
        <v>10</v>
      </c>
      <c r="B127" s="12">
        <v>71680.25</v>
      </c>
      <c r="C127" s="12">
        <f t="shared" si="8"/>
        <v>71.680250000000001</v>
      </c>
      <c r="D127" s="12">
        <f t="shared" si="9"/>
        <v>5.0176175000000001</v>
      </c>
      <c r="E127" s="12">
        <f t="shared" si="10"/>
        <v>0.22400078125000003</v>
      </c>
      <c r="F127" s="12">
        <f>E127/Calculation!K$9*1000</f>
        <v>0.17932973138441452</v>
      </c>
      <c r="G127" s="12">
        <f t="shared" si="11"/>
        <v>51.577956227344131</v>
      </c>
    </row>
    <row r="128" spans="1:7">
      <c r="A128" s="12">
        <v>10.5</v>
      </c>
      <c r="B128" s="12">
        <v>72815.11</v>
      </c>
      <c r="C128" s="12">
        <f t="shared" si="8"/>
        <v>72.815110000000004</v>
      </c>
      <c r="D128" s="12">
        <f t="shared" si="9"/>
        <v>5.0970577000000006</v>
      </c>
      <c r="E128" s="12">
        <f t="shared" si="10"/>
        <v>0.22754721875000003</v>
      </c>
      <c r="F128" s="12">
        <f>E128/Calculation!K$10*1000</f>
        <v>0.18851678911963216</v>
      </c>
      <c r="G128" s="12">
        <f t="shared" si="11"/>
        <v>57.095654034904832</v>
      </c>
    </row>
    <row r="129" spans="1:7">
      <c r="A129" s="12">
        <v>11</v>
      </c>
      <c r="B129" s="12">
        <v>75379.47</v>
      </c>
      <c r="C129" s="12">
        <f t="shared" si="8"/>
        <v>75.379469999999998</v>
      </c>
      <c r="D129" s="12">
        <f t="shared" si="9"/>
        <v>5.2765629000000001</v>
      </c>
      <c r="E129" s="12">
        <f t="shared" si="10"/>
        <v>0.23556084375000003</v>
      </c>
      <c r="F129" s="12">
        <f>E129/Calculation!K$10*1000</f>
        <v>0.19515586325337747</v>
      </c>
      <c r="G129" s="12">
        <f t="shared" si="11"/>
        <v>62.850743820499979</v>
      </c>
    </row>
    <row r="130" spans="1:7">
      <c r="A130" s="12">
        <v>11.5</v>
      </c>
      <c r="B130" s="12">
        <v>77221.94</v>
      </c>
      <c r="C130" s="12">
        <f t="shared" si="8"/>
        <v>77.221940000000004</v>
      </c>
      <c r="D130" s="12">
        <f t="shared" si="9"/>
        <v>5.4055358</v>
      </c>
      <c r="E130" s="12">
        <f t="shared" si="10"/>
        <v>0.24131856250000003</v>
      </c>
      <c r="F130" s="12">
        <f>E130/Calculation!K$10*1000</f>
        <v>0.19992597935220985</v>
      </c>
      <c r="G130" s="12">
        <f t="shared" si="11"/>
        <v>68.776971459583791</v>
      </c>
    </row>
    <row r="131" spans="1:7">
      <c r="A131" s="12">
        <v>12</v>
      </c>
      <c r="B131" s="12">
        <v>80441.02</v>
      </c>
      <c r="C131" s="12">
        <f t="shared" si="8"/>
        <v>80.441020000000009</v>
      </c>
      <c r="D131" s="12">
        <f t="shared" si="9"/>
        <v>5.6308714000000002</v>
      </c>
      <c r="E131" s="12">
        <f t="shared" si="10"/>
        <v>0.25137818750000002</v>
      </c>
      <c r="F131" s="12">
        <f>E131/Calculation!K$11*1000</f>
        <v>0.21627011402605809</v>
      </c>
      <c r="G131" s="12">
        <f t="shared" si="11"/>
        <v>75.019912860257804</v>
      </c>
    </row>
    <row r="132" spans="1:7">
      <c r="A132" s="12">
        <v>12.5</v>
      </c>
      <c r="B132" s="12">
        <v>102951.11</v>
      </c>
      <c r="C132" s="12">
        <f t="shared" si="8"/>
        <v>102.95111</v>
      </c>
      <c r="D132" s="12">
        <f t="shared" si="9"/>
        <v>7.2065776999999995</v>
      </c>
      <c r="E132" s="12">
        <f t="shared" si="10"/>
        <v>0.32172221875000001</v>
      </c>
      <c r="F132" s="12">
        <f>E132/Calculation!K$11*1000</f>
        <v>0.27678973114474736</v>
      </c>
      <c r="G132" s="12">
        <f t="shared" si="11"/>
        <v>82.41581053781988</v>
      </c>
    </row>
    <row r="133" spans="1:7">
      <c r="A133" s="12">
        <v>13</v>
      </c>
      <c r="B133" s="12">
        <v>81995.59</v>
      </c>
      <c r="C133" s="12">
        <f t="shared" si="8"/>
        <v>81.995589999999993</v>
      </c>
      <c r="D133" s="12">
        <f t="shared" si="9"/>
        <v>5.7396912999999996</v>
      </c>
      <c r="E133" s="12">
        <f t="shared" si="10"/>
        <v>0.25623621875000002</v>
      </c>
      <c r="F133" s="12">
        <f>E133/Calculation!K$12*1000</f>
        <v>0.22961120547547278</v>
      </c>
      <c r="G133" s="12">
        <f t="shared" si="11"/>
        <v>90.011824587123186</v>
      </c>
    </row>
    <row r="134" spans="1:7">
      <c r="A134" s="12">
        <v>13.5</v>
      </c>
      <c r="B134" s="12">
        <v>79353.17</v>
      </c>
      <c r="C134" s="12">
        <f t="shared" si="8"/>
        <v>79.353169999999992</v>
      </c>
      <c r="D134" s="12">
        <f t="shared" si="9"/>
        <v>5.5547218999999988</v>
      </c>
      <c r="E134" s="12">
        <f t="shared" si="10"/>
        <v>0.24797865624999996</v>
      </c>
      <c r="F134" s="12">
        <f>E134/Calculation!K$12*1000</f>
        <v>0.22221167043252105</v>
      </c>
      <c r="G134" s="12">
        <f t="shared" si="11"/>
        <v>96.789167725743098</v>
      </c>
    </row>
    <row r="135" spans="1:7">
      <c r="A135" s="12">
        <v>14</v>
      </c>
      <c r="B135" s="12">
        <v>82985.23</v>
      </c>
      <c r="C135" s="12">
        <f t="shared" si="8"/>
        <v>82.985230000000001</v>
      </c>
      <c r="D135" s="12">
        <f t="shared" si="9"/>
        <v>5.8089661000000001</v>
      </c>
      <c r="E135" s="12">
        <f t="shared" si="10"/>
        <v>0.25932884375000004</v>
      </c>
      <c r="F135" s="12">
        <f>E135/Calculation!K$12*1000</f>
        <v>0.23238248175248657</v>
      </c>
      <c r="G135" s="12">
        <f t="shared" si="11"/>
        <v>103.60808000851821</v>
      </c>
    </row>
    <row r="136" spans="1:7">
      <c r="A136" s="12">
        <v>14.5</v>
      </c>
      <c r="B136" s="12">
        <v>55970.1</v>
      </c>
      <c r="C136" s="12">
        <f t="shared" si="8"/>
        <v>55.970099999999995</v>
      </c>
      <c r="D136" s="12">
        <f t="shared" si="9"/>
        <v>3.9179069999999996</v>
      </c>
      <c r="E136" s="12">
        <f t="shared" si="10"/>
        <v>0.1749065625</v>
      </c>
      <c r="F136" s="12">
        <f>E136/Calculation!K$13*1000</f>
        <v>0.1642294829841254</v>
      </c>
      <c r="G136" s="12">
        <f t="shared" si="11"/>
        <v>109.55725947956739</v>
      </c>
    </row>
    <row r="137" spans="1:7">
      <c r="A137" s="12">
        <v>15</v>
      </c>
      <c r="B137" s="12">
        <v>22047.58</v>
      </c>
      <c r="C137" s="12">
        <f t="shared" si="8"/>
        <v>22.047580000000004</v>
      </c>
      <c r="D137" s="12">
        <f t="shared" si="9"/>
        <v>1.5433306000000002</v>
      </c>
      <c r="E137" s="12">
        <f t="shared" si="10"/>
        <v>6.8898687500000014E-2</v>
      </c>
      <c r="F137" s="12">
        <f>E137/Calculation!K$13*1000</f>
        <v>6.469280320119393E-2</v>
      </c>
      <c r="G137" s="12">
        <f t="shared" si="11"/>
        <v>112.99109377234718</v>
      </c>
    </row>
    <row r="138" spans="1:7">
      <c r="A138" s="12">
        <v>15.5</v>
      </c>
      <c r="B138" s="12">
        <v>6591.78</v>
      </c>
      <c r="C138" s="12">
        <f t="shared" si="8"/>
        <v>6.59178</v>
      </c>
      <c r="D138" s="12">
        <f t="shared" si="9"/>
        <v>0.46142460000000002</v>
      </c>
      <c r="E138" s="12">
        <f t="shared" si="10"/>
        <v>2.0599312500000001E-2</v>
      </c>
      <c r="F138" s="12">
        <f>E138/Calculation!K$13*1000</f>
        <v>1.9341838255516754E-2</v>
      </c>
      <c r="G138" s="12">
        <f t="shared" si="11"/>
        <v>114.25161339419785</v>
      </c>
    </row>
    <row r="139" spans="1:7">
      <c r="A139" s="12">
        <v>16</v>
      </c>
      <c r="B139" s="12">
        <v>2834.64</v>
      </c>
      <c r="C139" s="12">
        <f t="shared" si="8"/>
        <v>2.8346399999999998</v>
      </c>
      <c r="D139" s="12">
        <f t="shared" si="9"/>
        <v>0.19842479999999998</v>
      </c>
      <c r="E139" s="12">
        <f t="shared" si="10"/>
        <v>8.8582499999999998E-3</v>
      </c>
      <c r="F139" s="12">
        <f>E139/Calculation!K$14*1000</f>
        <v>8.6987540636505305E-3</v>
      </c>
      <c r="G139" s="12">
        <f t="shared" si="11"/>
        <v>114.67222227898536</v>
      </c>
    </row>
    <row r="140" spans="1:7">
      <c r="A140" s="12">
        <v>16.5</v>
      </c>
      <c r="B140" s="12">
        <v>1374.93</v>
      </c>
      <c r="C140" s="12">
        <f t="shared" si="8"/>
        <v>1.37493</v>
      </c>
      <c r="D140" s="12">
        <f t="shared" si="9"/>
        <v>9.62451E-2</v>
      </c>
      <c r="E140" s="12">
        <f t="shared" si="10"/>
        <v>4.2966562500000001E-3</v>
      </c>
      <c r="F140" s="12">
        <f>E140/Calculation!K$14*1000</f>
        <v>4.2192934287017137E-3</v>
      </c>
      <c r="G140" s="12">
        <f t="shared" si="11"/>
        <v>114.86599299137065</v>
      </c>
    </row>
    <row r="141" spans="1:7">
      <c r="A141" s="12">
        <v>17</v>
      </c>
      <c r="B141" s="12">
        <v>617.79999999999995</v>
      </c>
      <c r="C141" s="12">
        <f t="shared" si="8"/>
        <v>0.6177999999999999</v>
      </c>
      <c r="D141" s="12">
        <f t="shared" si="9"/>
        <v>4.3245999999999993E-2</v>
      </c>
      <c r="E141" s="12">
        <f t="shared" si="10"/>
        <v>1.9306249999999998E-3</v>
      </c>
      <c r="F141" s="12">
        <f>E141/Calculation!K$15*1000</f>
        <v>1.9945674986460138E-3</v>
      </c>
      <c r="G141" s="12">
        <f t="shared" si="11"/>
        <v>114.95920090528087</v>
      </c>
    </row>
    <row r="142" spans="1:7">
      <c r="A142" s="12">
        <v>17.5</v>
      </c>
      <c r="B142" s="12">
        <v>411.3</v>
      </c>
      <c r="C142" s="12">
        <f t="shared" si="8"/>
        <v>0.4113</v>
      </c>
      <c r="D142" s="12">
        <f t="shared" si="9"/>
        <v>2.8791000000000001E-2</v>
      </c>
      <c r="E142" s="12">
        <f t="shared" si="10"/>
        <v>1.2853125000000002E-3</v>
      </c>
      <c r="F142" s="12">
        <f>E142/Calculation!K$15*1000</f>
        <v>1.3278821822484716E-3</v>
      </c>
      <c r="G142" s="12">
        <f t="shared" si="11"/>
        <v>115.00903765049428</v>
      </c>
    </row>
    <row r="143" spans="1:7">
      <c r="A143" s="12">
        <v>18</v>
      </c>
      <c r="B143" s="12">
        <v>271.95999999999998</v>
      </c>
      <c r="C143" s="12">
        <f t="shared" si="8"/>
        <v>0.27195999999999998</v>
      </c>
      <c r="D143" s="12">
        <f t="shared" si="9"/>
        <v>1.9037199999999997E-2</v>
      </c>
      <c r="E143" s="12">
        <f t="shared" si="10"/>
        <v>8.4987499999999994E-4</v>
      </c>
      <c r="F143" s="12">
        <f>E143/Calculation!K$15*1000</f>
        <v>8.7802294744540295E-4</v>
      </c>
      <c r="G143" s="12">
        <f t="shared" si="11"/>
        <v>115.04212622743968</v>
      </c>
    </row>
    <row r="144" spans="1:7">
      <c r="A144" s="12">
        <v>18.5</v>
      </c>
      <c r="B144" s="12">
        <v>220.76</v>
      </c>
      <c r="C144" s="12">
        <f t="shared" si="8"/>
        <v>0.22075999999999998</v>
      </c>
      <c r="D144" s="12">
        <f t="shared" si="9"/>
        <v>1.54532E-2</v>
      </c>
      <c r="E144" s="12">
        <f t="shared" si="10"/>
        <v>6.8987500000000006E-4</v>
      </c>
      <c r="F144" s="12">
        <f>E144/Calculation!K$16*1000</f>
        <v>7.5027425813155139E-4</v>
      </c>
      <c r="G144" s="12">
        <f t="shared" si="11"/>
        <v>115.06655068552334</v>
      </c>
    </row>
    <row r="145" spans="1:7">
      <c r="A145" s="12">
        <v>19</v>
      </c>
      <c r="B145" s="12">
        <v>209.01</v>
      </c>
      <c r="C145" s="12">
        <f t="shared" si="8"/>
        <v>0.20901</v>
      </c>
      <c r="D145" s="12">
        <f t="shared" si="9"/>
        <v>1.46307E-2</v>
      </c>
      <c r="E145" s="12">
        <f t="shared" si="10"/>
        <v>6.5315625000000009E-4</v>
      </c>
      <c r="F145" s="12">
        <f>E145/Calculation!K$16*1000</f>
        <v>7.1034074421124998E-4</v>
      </c>
      <c r="G145" s="12">
        <f t="shared" si="11"/>
        <v>115.08845991055848</v>
      </c>
    </row>
    <row r="146" spans="1:7">
      <c r="A146" s="12">
        <v>19.5</v>
      </c>
      <c r="B146" s="12">
        <v>167.04</v>
      </c>
      <c r="C146" s="12">
        <f t="shared" si="8"/>
        <v>0.16703999999999999</v>
      </c>
      <c r="D146" s="12">
        <f t="shared" si="9"/>
        <v>1.16928E-2</v>
      </c>
      <c r="E146" s="12">
        <f t="shared" si="10"/>
        <v>5.22E-4</v>
      </c>
      <c r="F146" s="12">
        <f>E146/Calculation!K$16*1000</f>
        <v>5.6770163108486296E-4</v>
      </c>
      <c r="G146" s="12">
        <f t="shared" si="11"/>
        <v>115.10763054618792</v>
      </c>
    </row>
    <row r="147" spans="1:7">
      <c r="A147" s="12">
        <v>20</v>
      </c>
      <c r="B147" s="12">
        <v>165.36</v>
      </c>
      <c r="C147" s="12">
        <f t="shared" si="8"/>
        <v>0.16536000000000001</v>
      </c>
      <c r="D147" s="12">
        <f t="shared" si="9"/>
        <v>1.1575200000000001E-2</v>
      </c>
      <c r="E147" s="12">
        <f t="shared" si="10"/>
        <v>5.1675000000000007E-4</v>
      </c>
      <c r="F147" s="12">
        <f>E147/Calculation!K$16*1000</f>
        <v>5.6199198824349211E-4</v>
      </c>
      <c r="G147" s="12">
        <f t="shared" si="11"/>
        <v>115.12457595047785</v>
      </c>
    </row>
    <row r="148" spans="1:7">
      <c r="A148" s="12">
        <v>20.5</v>
      </c>
      <c r="B148" s="12">
        <v>160.32</v>
      </c>
      <c r="C148" s="12">
        <f t="shared" si="8"/>
        <v>0.16031999999999999</v>
      </c>
      <c r="D148" s="12">
        <f t="shared" si="9"/>
        <v>1.1222399999999999E-2</v>
      </c>
      <c r="E148" s="12">
        <f t="shared" si="10"/>
        <v>5.0099999999999993E-4</v>
      </c>
      <c r="F148" s="12">
        <f>E148/Calculation!K$16*1000</f>
        <v>5.4486305971937975E-4</v>
      </c>
      <c r="G148" s="12">
        <f t="shared" si="11"/>
        <v>115.14117877619729</v>
      </c>
    </row>
    <row r="149" spans="1:7">
      <c r="A149" s="12">
        <v>21</v>
      </c>
      <c r="B149" s="12">
        <v>158.65</v>
      </c>
      <c r="C149" s="12">
        <f t="shared" si="8"/>
        <v>0.15865000000000001</v>
      </c>
      <c r="D149" s="12">
        <f t="shared" si="9"/>
        <v>1.1105500000000001E-2</v>
      </c>
      <c r="E149" s="12">
        <f t="shared" si="10"/>
        <v>4.9578125000000002E-4</v>
      </c>
      <c r="F149" s="12">
        <f>E149/Calculation!K$16*1000</f>
        <v>5.3918740284730304E-4</v>
      </c>
      <c r="G149" s="12">
        <f t="shared" si="11"/>
        <v>115.15743953313579</v>
      </c>
    </row>
    <row r="150" spans="1:7">
      <c r="A150" s="12">
        <v>21.5</v>
      </c>
      <c r="B150" s="12">
        <v>153.61000000000001</v>
      </c>
      <c r="C150" s="12">
        <f t="shared" si="8"/>
        <v>0.15361000000000002</v>
      </c>
      <c r="D150" s="12">
        <f t="shared" si="9"/>
        <v>1.07527E-2</v>
      </c>
      <c r="E150" s="12">
        <f t="shared" si="10"/>
        <v>4.8003125000000004E-4</v>
      </c>
      <c r="F150" s="12">
        <f>E150/Calculation!K$16*1000</f>
        <v>5.220584743231908E-4</v>
      </c>
      <c r="G150" s="12">
        <f t="shared" si="11"/>
        <v>115.17335822129334</v>
      </c>
    </row>
    <row r="151" spans="1:7">
      <c r="A151" s="12">
        <v>22</v>
      </c>
      <c r="B151" s="12">
        <v>143.54</v>
      </c>
      <c r="C151" s="12">
        <f t="shared" si="8"/>
        <v>0.14354</v>
      </c>
      <c r="D151" s="12">
        <f t="shared" si="9"/>
        <v>1.0047799999999999E-2</v>
      </c>
      <c r="E151" s="12">
        <f t="shared" si="10"/>
        <v>4.4856250000000001E-4</v>
      </c>
      <c r="F151" s="12">
        <f>E151/Calculation!K$16*1000</f>
        <v>4.8783460324426013E-4</v>
      </c>
      <c r="G151" s="12">
        <f t="shared" si="11"/>
        <v>115.18850661745685</v>
      </c>
    </row>
    <row r="152" spans="1:7">
      <c r="A152" s="12">
        <v>22.5</v>
      </c>
      <c r="B152" s="12">
        <v>126.75</v>
      </c>
      <c r="C152" s="12">
        <f t="shared" si="8"/>
        <v>0.12675</v>
      </c>
      <c r="D152" s="12">
        <f t="shared" si="9"/>
        <v>8.8725000000000002E-3</v>
      </c>
      <c r="E152" s="12">
        <f t="shared" si="10"/>
        <v>3.9609375000000002E-4</v>
      </c>
      <c r="F152" s="12">
        <f>E152/Calculation!K$16*1000</f>
        <v>4.3077216079984658E-4</v>
      </c>
      <c r="G152" s="12">
        <f t="shared" si="11"/>
        <v>115.20228571891751</v>
      </c>
    </row>
    <row r="153" spans="1:7">
      <c r="A153" s="12">
        <v>23</v>
      </c>
      <c r="B153" s="12">
        <v>159.49</v>
      </c>
      <c r="C153" s="12">
        <f t="shared" si="8"/>
        <v>0.15949000000000002</v>
      </c>
      <c r="D153" s="12">
        <f t="shared" si="9"/>
        <v>1.1164300000000002E-2</v>
      </c>
      <c r="E153" s="12">
        <f t="shared" si="10"/>
        <v>4.9840625000000015E-4</v>
      </c>
      <c r="F153" s="12">
        <f>E153/Calculation!K$16*1000</f>
        <v>5.4204222426798858E-4</v>
      </c>
      <c r="G153" s="12">
        <f t="shared" si="11"/>
        <v>115.21687793469353</v>
      </c>
    </row>
    <row r="154" spans="1:7">
      <c r="A154" s="12">
        <v>23.5</v>
      </c>
      <c r="B154" s="12">
        <v>169.56</v>
      </c>
      <c r="C154" s="12">
        <f t="shared" si="8"/>
        <v>0.16955999999999999</v>
      </c>
      <c r="D154" s="12">
        <f t="shared" si="9"/>
        <v>1.18692E-2</v>
      </c>
      <c r="E154" s="12">
        <f t="shared" si="10"/>
        <v>5.2987500000000007E-4</v>
      </c>
      <c r="F154" s="12">
        <f>E154/Calculation!K$16*1000</f>
        <v>5.7626609534691914E-4</v>
      </c>
      <c r="G154" s="12">
        <f t="shared" si="11"/>
        <v>115.23365255948775</v>
      </c>
    </row>
    <row r="155" spans="1:7">
      <c r="A155" s="12">
        <v>24</v>
      </c>
      <c r="B155" s="12">
        <v>175.43</v>
      </c>
      <c r="C155" s="12">
        <f t="shared" si="8"/>
        <v>0.17543</v>
      </c>
      <c r="D155" s="12">
        <f t="shared" si="9"/>
        <v>1.2280099999999999E-2</v>
      </c>
      <c r="E155" s="12">
        <f t="shared" si="10"/>
        <v>5.4821874999999999E-4</v>
      </c>
      <c r="F155" s="12">
        <f>E155/Calculation!K$17*1000</f>
        <v>6.334793505300742E-4</v>
      </c>
      <c r="G155" s="12">
        <f t="shared" si="11"/>
        <v>115.2517987411759</v>
      </c>
    </row>
    <row r="156" spans="1:7">
      <c r="A156" s="12">
        <v>24.5</v>
      </c>
      <c r="B156" s="12">
        <v>167.04</v>
      </c>
      <c r="C156" s="12">
        <f t="shared" si="8"/>
        <v>0.16703999999999999</v>
      </c>
      <c r="D156" s="12">
        <f t="shared" si="9"/>
        <v>1.16928E-2</v>
      </c>
      <c r="E156" s="12">
        <f t="shared" si="10"/>
        <v>5.22E-4</v>
      </c>
      <c r="F156" s="12">
        <f>E156/Calculation!K$17*1000</f>
        <v>6.0318298302766682E-4</v>
      </c>
      <c r="G156" s="12">
        <f t="shared" si="11"/>
        <v>115.27034867617927</v>
      </c>
    </row>
    <row r="157" spans="1:7">
      <c r="A157" s="12">
        <v>25</v>
      </c>
      <c r="B157" s="12">
        <v>191.38</v>
      </c>
      <c r="C157" s="12">
        <f t="shared" si="8"/>
        <v>0.19137999999999999</v>
      </c>
      <c r="D157" s="12">
        <f t="shared" si="9"/>
        <v>1.33966E-2</v>
      </c>
      <c r="E157" s="12">
        <f t="shared" si="10"/>
        <v>5.9806250000000007E-4</v>
      </c>
      <c r="F157" s="12">
        <f>E157/Calculation!K$17*1000</f>
        <v>6.9107494786778542E-4</v>
      </c>
      <c r="G157" s="12">
        <f t="shared" si="11"/>
        <v>115.28976254514269</v>
      </c>
    </row>
    <row r="158" spans="1:7">
      <c r="A158" s="12">
        <v>25.5</v>
      </c>
      <c r="B158" s="12">
        <v>164.52</v>
      </c>
      <c r="C158" s="12">
        <f t="shared" si="8"/>
        <v>0.16452</v>
      </c>
      <c r="D158" s="12">
        <f t="shared" si="9"/>
        <v>1.15164E-2</v>
      </c>
      <c r="E158" s="12">
        <f t="shared" si="10"/>
        <v>5.1412500000000004E-4</v>
      </c>
      <c r="F158" s="12">
        <f>E158/Calculation!K$17*1000</f>
        <v>5.9408323974923221E-4</v>
      </c>
      <c r="G158" s="12">
        <f t="shared" si="11"/>
        <v>115.30903991795695</v>
      </c>
    </row>
    <row r="159" spans="1:7">
      <c r="A159" s="12">
        <v>26</v>
      </c>
      <c r="B159" s="12">
        <v>159.49</v>
      </c>
      <c r="C159" s="12">
        <f t="shared" si="8"/>
        <v>0.15949000000000002</v>
      </c>
      <c r="D159" s="12">
        <f t="shared" si="9"/>
        <v>1.1164300000000002E-2</v>
      </c>
      <c r="E159" s="12">
        <f t="shared" si="10"/>
        <v>4.9840625000000015E-4</v>
      </c>
      <c r="F159" s="12">
        <f>E159/Calculation!K$17*1000</f>
        <v>5.759198632847379E-4</v>
      </c>
      <c r="G159" s="12">
        <f t="shared" si="11"/>
        <v>115.32658996450246</v>
      </c>
    </row>
    <row r="160" spans="1:7">
      <c r="A160" s="12">
        <v>26.5</v>
      </c>
      <c r="B160" s="12">
        <v>182.15</v>
      </c>
      <c r="C160" s="12">
        <f t="shared" si="8"/>
        <v>0.18215000000000001</v>
      </c>
      <c r="D160" s="12">
        <f t="shared" si="9"/>
        <v>1.2750500000000001E-2</v>
      </c>
      <c r="E160" s="12">
        <f t="shared" si="10"/>
        <v>5.6921875000000006E-4</v>
      </c>
      <c r="F160" s="12">
        <f>E160/Calculation!K$17*1000</f>
        <v>6.5774533260589991E-4</v>
      </c>
      <c r="G160" s="12">
        <f t="shared" si="11"/>
        <v>115.34509494244082</v>
      </c>
    </row>
    <row r="161" spans="1:7">
      <c r="A161" s="12">
        <v>27</v>
      </c>
      <c r="B161" s="12">
        <v>200.62</v>
      </c>
      <c r="C161" s="12">
        <f t="shared" si="8"/>
        <v>0.20061999999999999</v>
      </c>
      <c r="D161" s="12">
        <f t="shared" si="9"/>
        <v>1.4043399999999999E-2</v>
      </c>
      <c r="E161" s="12">
        <f t="shared" si="10"/>
        <v>6.269375E-4</v>
      </c>
      <c r="F161" s="12">
        <f>E161/Calculation!K$17*1000</f>
        <v>7.2444067322204573E-4</v>
      </c>
      <c r="G161" s="12">
        <f t="shared" si="11"/>
        <v>115.36582773252825</v>
      </c>
    </row>
    <row r="162" spans="1:7">
      <c r="A162" s="12">
        <v>27.5</v>
      </c>
      <c r="B162" s="12">
        <v>183.83</v>
      </c>
      <c r="C162" s="12">
        <f t="shared" si="8"/>
        <v>0.18383000000000002</v>
      </c>
      <c r="D162" s="12">
        <f t="shared" si="9"/>
        <v>1.2868100000000002E-2</v>
      </c>
      <c r="E162" s="12">
        <f t="shared" si="10"/>
        <v>5.7446875000000011E-4</v>
      </c>
      <c r="F162" s="12">
        <f>E162/Calculation!K$17*1000</f>
        <v>6.6381182812485639E-4</v>
      </c>
      <c r="G162" s="12">
        <f t="shared" si="11"/>
        <v>115.38665152004845</v>
      </c>
    </row>
    <row r="163" spans="1:7">
      <c r="A163" s="12">
        <v>28</v>
      </c>
      <c r="B163" s="12">
        <v>186.35</v>
      </c>
      <c r="C163" s="12">
        <f t="shared" si="8"/>
        <v>0.18634999999999999</v>
      </c>
      <c r="D163" s="12">
        <f t="shared" si="9"/>
        <v>1.3044499999999999E-2</v>
      </c>
      <c r="E163" s="12">
        <f t="shared" si="10"/>
        <v>5.8234374999999996E-4</v>
      </c>
      <c r="F163" s="12">
        <f>E163/Calculation!K$17*1000</f>
        <v>6.7291157140329089E-4</v>
      </c>
      <c r="G163" s="12">
        <f t="shared" si="11"/>
        <v>115.40670237104136</v>
      </c>
    </row>
    <row r="164" spans="1:7">
      <c r="A164" s="12">
        <v>28.5</v>
      </c>
      <c r="B164" s="12">
        <v>191.38</v>
      </c>
      <c r="C164" s="12">
        <f t="shared" si="8"/>
        <v>0.19137999999999999</v>
      </c>
      <c r="D164" s="12">
        <f t="shared" si="9"/>
        <v>1.33966E-2</v>
      </c>
      <c r="E164" s="12">
        <f t="shared" si="10"/>
        <v>5.9806250000000007E-4</v>
      </c>
      <c r="F164" s="12">
        <f>E164/Calculation!K$17*1000</f>
        <v>6.9107494786778542E-4</v>
      </c>
      <c r="G164" s="12">
        <f t="shared" si="11"/>
        <v>115.42716216883044</v>
      </c>
    </row>
    <row r="165" spans="1:7">
      <c r="A165" s="12">
        <v>29</v>
      </c>
      <c r="B165" s="12">
        <v>174.59</v>
      </c>
      <c r="C165" s="12">
        <f t="shared" si="8"/>
        <v>0.17459</v>
      </c>
      <c r="D165" s="12">
        <f t="shared" si="9"/>
        <v>1.2221299999999999E-2</v>
      </c>
      <c r="E165" s="12">
        <f t="shared" si="10"/>
        <v>5.4559374999999996E-4</v>
      </c>
      <c r="F165" s="12">
        <f>E165/Calculation!K$17*1000</f>
        <v>6.3044610277059596E-4</v>
      </c>
      <c r="G165" s="12">
        <f t="shared" si="11"/>
        <v>115.44698498459002</v>
      </c>
    </row>
    <row r="166" spans="1:7">
      <c r="A166" s="12">
        <v>29.5</v>
      </c>
      <c r="B166" s="12">
        <v>195.58</v>
      </c>
      <c r="C166" s="12">
        <f t="shared" si="8"/>
        <v>0.19558</v>
      </c>
      <c r="D166" s="12">
        <f t="shared" si="9"/>
        <v>1.3690599999999999E-2</v>
      </c>
      <c r="E166" s="12">
        <f t="shared" si="10"/>
        <v>6.1118749999999997E-4</v>
      </c>
      <c r="F166" s="12">
        <f>E166/Calculation!K$17*1000</f>
        <v>7.0624118666517651E-4</v>
      </c>
      <c r="G166" s="12">
        <f t="shared" si="11"/>
        <v>115.46703529393156</v>
      </c>
    </row>
    <row r="167" spans="1:7">
      <c r="A167" s="12">
        <v>30</v>
      </c>
      <c r="B167" s="12">
        <v>198.1</v>
      </c>
      <c r="C167" s="12">
        <f t="shared" si="8"/>
        <v>0.1981</v>
      </c>
      <c r="D167" s="12">
        <f t="shared" si="9"/>
        <v>1.3866999999999999E-2</v>
      </c>
      <c r="E167" s="12">
        <f t="shared" si="10"/>
        <v>6.1906250000000004E-4</v>
      </c>
      <c r="F167" s="12">
        <f>E167/Calculation!K$18*1000</f>
        <v>7.6208432793292528E-4</v>
      </c>
      <c r="G167" s="12">
        <f t="shared" si="11"/>
        <v>115.48906017665053</v>
      </c>
    </row>
    <row r="168" spans="1:7">
      <c r="A168" s="12">
        <v>30.5</v>
      </c>
      <c r="B168" s="12">
        <v>214.05</v>
      </c>
      <c r="C168" s="12">
        <f t="shared" si="8"/>
        <v>0.21405000000000002</v>
      </c>
      <c r="D168" s="12">
        <f t="shared" si="9"/>
        <v>1.4983500000000002E-2</v>
      </c>
      <c r="E168" s="12">
        <f t="shared" si="10"/>
        <v>6.6890625000000012E-4</v>
      </c>
      <c r="F168" s="12">
        <f>E168/Calculation!K$18*1000</f>
        <v>8.2344346488663644E-4</v>
      </c>
      <c r="G168" s="12">
        <f t="shared" si="11"/>
        <v>115.51284309354281</v>
      </c>
    </row>
    <row r="169" spans="1:7">
      <c r="A169" s="12">
        <v>31</v>
      </c>
      <c r="B169" s="12">
        <v>177.95</v>
      </c>
      <c r="C169" s="12">
        <f t="shared" si="8"/>
        <v>0.17795</v>
      </c>
      <c r="D169" s="12">
        <f t="shared" si="9"/>
        <v>1.2456499999999999E-2</v>
      </c>
      <c r="E169" s="12">
        <f t="shared" si="10"/>
        <v>5.5609374999999995E-4</v>
      </c>
      <c r="F169" s="12">
        <f>E169/Calculation!K$18*1000</f>
        <v>6.8456792607604253E-4</v>
      </c>
      <c r="G169" s="12">
        <f t="shared" si="11"/>
        <v>115.53546326440726</v>
      </c>
    </row>
    <row r="170" spans="1:7">
      <c r="A170" s="12">
        <v>31.5</v>
      </c>
      <c r="B170" s="12">
        <v>217.4</v>
      </c>
      <c r="C170" s="12">
        <f t="shared" si="8"/>
        <v>0.21740000000000001</v>
      </c>
      <c r="D170" s="12">
        <f t="shared" si="9"/>
        <v>1.5218000000000001E-2</v>
      </c>
      <c r="E170" s="12">
        <f t="shared" si="10"/>
        <v>6.7937500000000007E-4</v>
      </c>
      <c r="F170" s="12">
        <f>E170/Calculation!K$18*1000</f>
        <v>8.3633080713083269E-4</v>
      </c>
      <c r="G170" s="12">
        <f t="shared" si="11"/>
        <v>115.55827674540537</v>
      </c>
    </row>
    <row r="171" spans="1:7">
      <c r="A171" s="12">
        <v>32</v>
      </c>
      <c r="B171" s="12">
        <v>235.03</v>
      </c>
      <c r="C171" s="12">
        <f t="shared" si="8"/>
        <v>0.23502999999999999</v>
      </c>
      <c r="D171" s="12">
        <f t="shared" si="9"/>
        <v>1.6452099999999997E-2</v>
      </c>
      <c r="E171" s="12">
        <f t="shared" si="10"/>
        <v>7.3446874999999988E-4</v>
      </c>
      <c r="F171" s="12">
        <f>E171/Calculation!K$18*1000</f>
        <v>9.0415285004581214E-4</v>
      </c>
      <c r="G171" s="12">
        <f t="shared" si="11"/>
        <v>115.58438400026301</v>
      </c>
    </row>
    <row r="172" spans="1:7">
      <c r="A172" s="12">
        <v>32.5</v>
      </c>
      <c r="B172" s="12">
        <v>204.81</v>
      </c>
      <c r="C172" s="12">
        <f t="shared" ref="C172:C203" si="12">B172/1000</f>
        <v>0.20480999999999999</v>
      </c>
      <c r="D172" s="12">
        <f t="shared" si="9"/>
        <v>1.4336699999999999E-2</v>
      </c>
      <c r="E172" s="12">
        <f t="shared" si="10"/>
        <v>6.4003124999999998E-4</v>
      </c>
      <c r="F172" s="12">
        <f>E172/Calculation!K$18*1000</f>
        <v>7.8789748209965877E-4</v>
      </c>
      <c r="G172" s="12">
        <f t="shared" si="11"/>
        <v>115.60976475524519</v>
      </c>
    </row>
    <row r="173" spans="1:7">
      <c r="A173" s="12">
        <v>33</v>
      </c>
      <c r="B173" s="12">
        <v>229.16</v>
      </c>
      <c r="C173" s="12">
        <f t="shared" si="12"/>
        <v>0.22916</v>
      </c>
      <c r="D173" s="12">
        <f t="shared" ref="D173:D203" si="13">C173/1000*$B$1</f>
        <v>1.6041200000000002E-2</v>
      </c>
      <c r="E173" s="12">
        <f t="shared" ref="E173:E203" si="14">D173/22.4</f>
        <v>7.1612500000000018E-4</v>
      </c>
      <c r="F173" s="12">
        <f>E173/Calculation!K$18*1000</f>
        <v>8.8157114885971323E-4</v>
      </c>
      <c r="G173" s="12">
        <f t="shared" ref="G173:G203" si="15">G172+(F173+F172)/2*30</f>
        <v>115.63480678470958</v>
      </c>
    </row>
    <row r="174" spans="1:7">
      <c r="A174" s="12">
        <v>33.5</v>
      </c>
      <c r="B174" s="12">
        <v>240.91</v>
      </c>
      <c r="C174" s="12">
        <f t="shared" si="12"/>
        <v>0.24090999999999999</v>
      </c>
      <c r="D174" s="12">
        <f t="shared" si="13"/>
        <v>1.6863699999999999E-2</v>
      </c>
      <c r="E174" s="12">
        <f t="shared" si="14"/>
        <v>7.5284375000000004E-4</v>
      </c>
      <c r="F174" s="12">
        <f>E174/Calculation!K$18*1000</f>
        <v>9.2677302091025257E-4</v>
      </c>
      <c r="G174" s="12">
        <f t="shared" si="15"/>
        <v>115.66193194725614</v>
      </c>
    </row>
    <row r="175" spans="1:7">
      <c r="A175" s="12">
        <v>34</v>
      </c>
      <c r="B175" s="12">
        <v>200.62</v>
      </c>
      <c r="C175" s="12">
        <f t="shared" si="12"/>
        <v>0.20061999999999999</v>
      </c>
      <c r="D175" s="12">
        <f t="shared" si="13"/>
        <v>1.4043399999999999E-2</v>
      </c>
      <c r="E175" s="12">
        <f t="shared" si="14"/>
        <v>6.269375E-4</v>
      </c>
      <c r="F175" s="12">
        <f>E175/Calculation!K$18*1000</f>
        <v>7.7177868687482816E-4</v>
      </c>
      <c r="G175" s="12">
        <f t="shared" si="15"/>
        <v>115.68741022287291</v>
      </c>
    </row>
    <row r="176" spans="1:7">
      <c r="A176" s="12">
        <v>34.5</v>
      </c>
      <c r="B176" s="12">
        <v>284.56</v>
      </c>
      <c r="C176" s="12">
        <f t="shared" si="12"/>
        <v>0.28455999999999998</v>
      </c>
      <c r="D176" s="12">
        <f t="shared" si="13"/>
        <v>1.9919200000000001E-2</v>
      </c>
      <c r="E176" s="12">
        <f t="shared" si="14"/>
        <v>8.8925000000000017E-4</v>
      </c>
      <c r="F176" s="12">
        <f>E176/Calculation!K$18*1000</f>
        <v>1.0946931668682144E-3</v>
      </c>
      <c r="G176" s="12">
        <f t="shared" si="15"/>
        <v>115.71540730067906</v>
      </c>
    </row>
    <row r="177" spans="1:7">
      <c r="A177" s="12">
        <v>35</v>
      </c>
      <c r="B177" s="12">
        <v>341.63</v>
      </c>
      <c r="C177" s="12">
        <f t="shared" si="12"/>
        <v>0.34162999999999999</v>
      </c>
      <c r="D177" s="12">
        <f t="shared" si="13"/>
        <v>2.3914100000000001E-2</v>
      </c>
      <c r="E177" s="12">
        <f t="shared" si="14"/>
        <v>1.0675937500000002E-3</v>
      </c>
      <c r="F177" s="12">
        <f>E177/Calculation!K$18*1000</f>
        <v>1.3142396211596429E-3</v>
      </c>
      <c r="G177" s="12">
        <f t="shared" si="15"/>
        <v>115.75154129249948</v>
      </c>
    </row>
    <row r="178" spans="1:7">
      <c r="A178" s="12">
        <v>35.5</v>
      </c>
      <c r="B178" s="12">
        <v>261.05</v>
      </c>
      <c r="C178" s="12">
        <f t="shared" si="12"/>
        <v>0.26105</v>
      </c>
      <c r="D178" s="12">
        <f t="shared" si="13"/>
        <v>1.8273500000000002E-2</v>
      </c>
      <c r="E178" s="12">
        <f t="shared" si="14"/>
        <v>8.157812500000001E-4</v>
      </c>
      <c r="F178" s="12">
        <f>E178/Calculation!K$18*1000</f>
        <v>1.0042509530887945E-3</v>
      </c>
      <c r="G178" s="12">
        <f t="shared" si="15"/>
        <v>115.78631865111321</v>
      </c>
    </row>
    <row r="179" spans="1:7">
      <c r="A179" s="12">
        <v>36</v>
      </c>
      <c r="B179" s="12">
        <v>287.07</v>
      </c>
      <c r="C179" s="12">
        <f t="shared" si="12"/>
        <v>0.28706999999999999</v>
      </c>
      <c r="D179" s="12">
        <f t="shared" si="13"/>
        <v>2.0094899999999999E-2</v>
      </c>
      <c r="E179" s="12">
        <f t="shared" si="14"/>
        <v>8.9709375E-4</v>
      </c>
      <c r="F179" s="12">
        <f>E179/Calculation!K$18*1000</f>
        <v>1.1043490561317762E-3</v>
      </c>
      <c r="G179" s="12">
        <f t="shared" si="15"/>
        <v>115.81794765125152</v>
      </c>
    </row>
    <row r="180" spans="1:7">
      <c r="A180" s="12">
        <v>36.5</v>
      </c>
      <c r="B180" s="12">
        <v>275.32</v>
      </c>
      <c r="C180" s="12">
        <f t="shared" si="12"/>
        <v>0.27532000000000001</v>
      </c>
      <c r="D180" s="12">
        <f t="shared" si="13"/>
        <v>1.9272400000000002E-2</v>
      </c>
      <c r="E180" s="12">
        <f t="shared" si="14"/>
        <v>8.6037500000000014E-4</v>
      </c>
      <c r="F180" s="12">
        <f>E180/Calculation!K$18*1000</f>
        <v>1.0591471840812369E-3</v>
      </c>
      <c r="G180" s="12">
        <f t="shared" si="15"/>
        <v>115.85040009485471</v>
      </c>
    </row>
    <row r="181" spans="1:7">
      <c r="A181" s="12">
        <v>37</v>
      </c>
      <c r="B181" s="12">
        <v>250.98</v>
      </c>
      <c r="C181" s="12">
        <f t="shared" si="12"/>
        <v>0.25097999999999998</v>
      </c>
      <c r="D181" s="12">
        <f t="shared" si="13"/>
        <v>1.75686E-2</v>
      </c>
      <c r="E181" s="12">
        <f t="shared" si="14"/>
        <v>7.8431250000000007E-4</v>
      </c>
      <c r="F181" s="12">
        <f>E181/Calculation!K$18*1000</f>
        <v>9.655119869995234E-4</v>
      </c>
      <c r="G181" s="12">
        <f t="shared" si="15"/>
        <v>115.88076998242092</v>
      </c>
    </row>
    <row r="182" spans="1:7">
      <c r="A182" s="12">
        <v>37.5</v>
      </c>
      <c r="B182" s="12">
        <v>278.68</v>
      </c>
      <c r="C182" s="12">
        <f t="shared" si="12"/>
        <v>0.27867999999999998</v>
      </c>
      <c r="D182" s="12">
        <f t="shared" si="13"/>
        <v>1.95076E-2</v>
      </c>
      <c r="E182" s="12">
        <f t="shared" si="14"/>
        <v>8.7087500000000001E-4</v>
      </c>
      <c r="F182" s="12">
        <f>E182/Calculation!K$18*1000</f>
        <v>1.0720729960037739E-3</v>
      </c>
      <c r="G182" s="12">
        <f t="shared" si="15"/>
        <v>115.91133375716596</v>
      </c>
    </row>
    <row r="183" spans="1:7">
      <c r="A183" s="12">
        <v>38</v>
      </c>
      <c r="B183" s="12">
        <v>293.79000000000002</v>
      </c>
      <c r="C183" s="12">
        <f t="shared" si="12"/>
        <v>0.29379</v>
      </c>
      <c r="D183" s="12">
        <f t="shared" si="13"/>
        <v>2.0565299999999998E-2</v>
      </c>
      <c r="E183" s="12">
        <f t="shared" si="14"/>
        <v>9.1809374999999996E-4</v>
      </c>
      <c r="F183" s="12">
        <f>E183/Calculation!K$18*1000</f>
        <v>1.1302006799768505E-3</v>
      </c>
      <c r="G183" s="12">
        <f t="shared" si="15"/>
        <v>115.94436786230567</v>
      </c>
    </row>
    <row r="184" spans="1:7">
      <c r="A184" s="12">
        <v>38.5</v>
      </c>
      <c r="B184" s="12">
        <v>268.61</v>
      </c>
      <c r="C184" s="12">
        <f t="shared" si="12"/>
        <v>0.26861000000000002</v>
      </c>
      <c r="D184" s="12">
        <f t="shared" si="13"/>
        <v>1.8802700000000002E-2</v>
      </c>
      <c r="E184" s="12">
        <f t="shared" si="14"/>
        <v>8.3940625000000009E-4</v>
      </c>
      <c r="F184" s="12">
        <f>E184/Calculation!K$18*1000</f>
        <v>1.0333340299145031E-3</v>
      </c>
      <c r="G184" s="12">
        <f t="shared" si="15"/>
        <v>115.97682088295404</v>
      </c>
    </row>
    <row r="185" spans="1:7">
      <c r="A185" s="12">
        <v>39</v>
      </c>
      <c r="B185" s="12">
        <v>288.75</v>
      </c>
      <c r="C185" s="12">
        <f t="shared" si="12"/>
        <v>0.28875000000000001</v>
      </c>
      <c r="D185" s="12">
        <f t="shared" si="13"/>
        <v>2.0212500000000001E-2</v>
      </c>
      <c r="E185" s="12">
        <f t="shared" si="14"/>
        <v>9.0234375000000015E-4</v>
      </c>
      <c r="F185" s="12">
        <f>E185/Calculation!K$18*1000</f>
        <v>1.1108119620930449E-3</v>
      </c>
      <c r="G185" s="12">
        <f t="shared" si="15"/>
        <v>116.00898307283416</v>
      </c>
    </row>
    <row r="186" spans="1:7">
      <c r="A186" s="12">
        <v>39.5</v>
      </c>
      <c r="B186" s="12">
        <v>271.95999999999998</v>
      </c>
      <c r="C186" s="12">
        <f t="shared" si="12"/>
        <v>0.27195999999999998</v>
      </c>
      <c r="D186" s="12">
        <f t="shared" si="13"/>
        <v>1.9037199999999997E-2</v>
      </c>
      <c r="E186" s="12">
        <f t="shared" si="14"/>
        <v>8.4987499999999994E-4</v>
      </c>
      <c r="F186" s="12">
        <f>E186/Calculation!K$18*1000</f>
        <v>1.0462213721586992E-3</v>
      </c>
      <c r="G186" s="12">
        <f t="shared" si="15"/>
        <v>116.04133857284793</v>
      </c>
    </row>
    <row r="187" spans="1:7">
      <c r="A187" s="12">
        <v>40</v>
      </c>
      <c r="B187" s="12">
        <v>300.5</v>
      </c>
      <c r="C187" s="12">
        <f t="shared" si="12"/>
        <v>0.30049999999999999</v>
      </c>
      <c r="D187" s="12">
        <f t="shared" si="13"/>
        <v>2.1034999999999998E-2</v>
      </c>
      <c r="E187" s="12">
        <f t="shared" si="14"/>
        <v>9.3906250000000001E-4</v>
      </c>
      <c r="F187" s="12">
        <f>E187/Calculation!K$18*1000</f>
        <v>1.1560138341435841E-3</v>
      </c>
      <c r="G187" s="12">
        <f t="shared" si="15"/>
        <v>116.07437210094247</v>
      </c>
    </row>
    <row r="188" spans="1:7">
      <c r="A188" s="12">
        <v>40.5</v>
      </c>
      <c r="B188" s="12">
        <v>295.47000000000003</v>
      </c>
      <c r="C188" s="12">
        <f t="shared" si="12"/>
        <v>0.29547000000000001</v>
      </c>
      <c r="D188" s="12">
        <f t="shared" si="13"/>
        <v>2.0682900000000001E-2</v>
      </c>
      <c r="E188" s="12">
        <f t="shared" si="14"/>
        <v>9.2334375000000012E-4</v>
      </c>
      <c r="F188" s="12">
        <f>E188/Calculation!K$18*1000</f>
        <v>1.1366635859381192E-3</v>
      </c>
      <c r="G188" s="12">
        <f t="shared" si="15"/>
        <v>116.1087622622437</v>
      </c>
    </row>
    <row r="189" spans="1:7">
      <c r="A189" s="12">
        <v>41</v>
      </c>
      <c r="B189" s="12">
        <v>297.14999999999998</v>
      </c>
      <c r="C189" s="12">
        <f t="shared" si="12"/>
        <v>0.29714999999999997</v>
      </c>
      <c r="D189" s="12">
        <f t="shared" si="13"/>
        <v>2.08005E-2</v>
      </c>
      <c r="E189" s="12">
        <f t="shared" si="14"/>
        <v>9.2859375000000006E-4</v>
      </c>
      <c r="F189" s="12">
        <f>E189/Calculation!K$18*1000</f>
        <v>1.1431264918993877E-3</v>
      </c>
      <c r="G189" s="12">
        <f t="shared" si="15"/>
        <v>116.14295911341127</v>
      </c>
    </row>
    <row r="190" spans="1:7">
      <c r="A190" s="12">
        <v>41.5</v>
      </c>
      <c r="B190" s="12">
        <v>285.39</v>
      </c>
      <c r="C190" s="12">
        <f t="shared" si="12"/>
        <v>0.28538999999999998</v>
      </c>
      <c r="D190" s="12">
        <f t="shared" si="13"/>
        <v>1.99773E-2</v>
      </c>
      <c r="E190" s="12">
        <f t="shared" si="14"/>
        <v>8.9184375000000006E-4</v>
      </c>
      <c r="F190" s="12">
        <f>E190/Calculation!K$18*1000</f>
        <v>1.0978861501705075E-3</v>
      </c>
      <c r="G190" s="12">
        <f t="shared" si="15"/>
        <v>116.17657430304232</v>
      </c>
    </row>
    <row r="191" spans="1:7">
      <c r="A191" s="12">
        <v>42</v>
      </c>
      <c r="B191" s="12">
        <v>321.49</v>
      </c>
      <c r="C191" s="12">
        <f t="shared" si="12"/>
        <v>0.32149</v>
      </c>
      <c r="D191" s="12">
        <f t="shared" si="13"/>
        <v>2.2504300000000001E-2</v>
      </c>
      <c r="E191" s="12">
        <f t="shared" si="14"/>
        <v>1.0046562500000001E-3</v>
      </c>
      <c r="F191" s="12">
        <f>E191/Calculation!K$18*1000</f>
        <v>1.2367616889811012E-3</v>
      </c>
      <c r="G191" s="12">
        <f t="shared" si="15"/>
        <v>116.21159402062959</v>
      </c>
    </row>
    <row r="192" spans="1:7">
      <c r="A192" s="12">
        <v>42.5</v>
      </c>
      <c r="B192" s="12">
        <v>268.61</v>
      </c>
      <c r="C192" s="12">
        <f t="shared" si="12"/>
        <v>0.26861000000000002</v>
      </c>
      <c r="D192" s="12">
        <f t="shared" si="13"/>
        <v>1.8802700000000002E-2</v>
      </c>
      <c r="E192" s="12">
        <f t="shared" si="14"/>
        <v>8.3940625000000009E-4</v>
      </c>
      <c r="F192" s="12">
        <f>E192/Calculation!K$18*1000</f>
        <v>1.0333340299145031E-3</v>
      </c>
      <c r="G192" s="12">
        <f t="shared" si="15"/>
        <v>116.24564545641303</v>
      </c>
    </row>
    <row r="193" spans="1:7">
      <c r="A193" s="12">
        <v>43</v>
      </c>
      <c r="B193" s="12">
        <v>254.34</v>
      </c>
      <c r="C193" s="12">
        <f t="shared" si="12"/>
        <v>0.25434000000000001</v>
      </c>
      <c r="D193" s="12">
        <f t="shared" si="13"/>
        <v>1.7803800000000002E-2</v>
      </c>
      <c r="E193" s="12">
        <f t="shared" si="14"/>
        <v>7.9481250000000016E-4</v>
      </c>
      <c r="F193" s="12">
        <f>E193/Calculation!K$18*1000</f>
        <v>9.7843779892206064E-4</v>
      </c>
      <c r="G193" s="12">
        <f t="shared" si="15"/>
        <v>116.27582203384557</v>
      </c>
    </row>
    <row r="194" spans="1:7">
      <c r="A194" s="12">
        <v>43.5</v>
      </c>
      <c r="B194" s="12">
        <v>290.43</v>
      </c>
      <c r="C194" s="12">
        <f t="shared" si="12"/>
        <v>0.29043000000000002</v>
      </c>
      <c r="D194" s="12">
        <f t="shared" si="13"/>
        <v>2.03301E-2</v>
      </c>
      <c r="E194" s="12">
        <f t="shared" si="14"/>
        <v>9.0759375000000009E-4</v>
      </c>
      <c r="F194" s="12">
        <f>E194/Calculation!K$18*1000</f>
        <v>1.1172748680543135E-3</v>
      </c>
      <c r="G194" s="12">
        <f t="shared" si="15"/>
        <v>116.30725772385021</v>
      </c>
    </row>
    <row r="195" spans="1:7">
      <c r="A195" s="12">
        <v>44</v>
      </c>
      <c r="B195" s="12">
        <v>259.37</v>
      </c>
      <c r="C195" s="12">
        <f t="shared" si="12"/>
        <v>0.25936999999999999</v>
      </c>
      <c r="D195" s="12">
        <f t="shared" si="13"/>
        <v>1.8155899999999999E-2</v>
      </c>
      <c r="E195" s="12">
        <f t="shared" si="14"/>
        <v>8.1053125000000005E-4</v>
      </c>
      <c r="F195" s="12">
        <f>E195/Calculation!K$18*1000</f>
        <v>9.9778804712752573E-4</v>
      </c>
      <c r="G195" s="12">
        <f t="shared" si="15"/>
        <v>116.33898366757793</v>
      </c>
    </row>
    <row r="196" spans="1:7">
      <c r="A196" s="12">
        <v>44.5</v>
      </c>
      <c r="B196" s="12">
        <v>260.20999999999998</v>
      </c>
      <c r="C196" s="12">
        <f t="shared" si="12"/>
        <v>0.26021</v>
      </c>
      <c r="D196" s="12">
        <f t="shared" si="13"/>
        <v>1.8214699999999997E-2</v>
      </c>
      <c r="E196" s="12">
        <f t="shared" si="14"/>
        <v>8.1315624999999986E-4</v>
      </c>
      <c r="F196" s="12">
        <f>E196/Calculation!K$18*1000</f>
        <v>1.0010195001081599E-3</v>
      </c>
      <c r="G196" s="12">
        <f t="shared" si="15"/>
        <v>116.36896578078647</v>
      </c>
    </row>
    <row r="197" spans="1:7">
      <c r="A197" s="12">
        <v>45</v>
      </c>
      <c r="B197" s="12">
        <v>236.71</v>
      </c>
      <c r="C197" s="12">
        <f t="shared" si="12"/>
        <v>0.23671</v>
      </c>
      <c r="D197" s="12">
        <f t="shared" si="13"/>
        <v>1.65697E-2</v>
      </c>
      <c r="E197" s="12">
        <f t="shared" si="14"/>
        <v>7.3971875000000003E-4</v>
      </c>
      <c r="F197" s="12">
        <f>E197/Calculation!K$18*1000</f>
        <v>9.1061575600708097E-4</v>
      </c>
      <c r="G197" s="12">
        <f t="shared" si="15"/>
        <v>116.3976403096282</v>
      </c>
    </row>
    <row r="198" spans="1:7">
      <c r="A198" s="12">
        <v>45.5</v>
      </c>
      <c r="B198" s="12">
        <v>333.24</v>
      </c>
      <c r="C198" s="12">
        <f t="shared" si="12"/>
        <v>0.33324000000000004</v>
      </c>
      <c r="D198" s="12">
        <f t="shared" si="13"/>
        <v>2.3326800000000005E-2</v>
      </c>
      <c r="E198" s="12">
        <f t="shared" si="14"/>
        <v>1.0413750000000002E-3</v>
      </c>
      <c r="F198" s="12">
        <f>E198/Calculation!K$18*1000</f>
        <v>1.2819635610316407E-3</v>
      </c>
      <c r="G198" s="12">
        <f t="shared" si="15"/>
        <v>116.43052899938378</v>
      </c>
    </row>
    <row r="199" spans="1:7">
      <c r="A199" s="12">
        <v>46</v>
      </c>
      <c r="B199" s="12">
        <v>203.97</v>
      </c>
      <c r="C199" s="12">
        <f t="shared" si="12"/>
        <v>0.20397000000000001</v>
      </c>
      <c r="D199" s="12">
        <f t="shared" si="13"/>
        <v>1.4277900000000001E-2</v>
      </c>
      <c r="E199" s="12">
        <f t="shared" si="14"/>
        <v>6.3740625000000006E-4</v>
      </c>
      <c r="F199" s="12">
        <f>E199/Calculation!K$18*1000</f>
        <v>7.8466602911902463E-4</v>
      </c>
      <c r="G199" s="12">
        <f t="shared" si="15"/>
        <v>116.46152844323605</v>
      </c>
    </row>
    <row r="200" spans="1:7">
      <c r="A200" s="12">
        <v>46.5</v>
      </c>
      <c r="B200" s="12">
        <v>177.11</v>
      </c>
      <c r="C200" s="12">
        <f t="shared" si="12"/>
        <v>0.17711000000000002</v>
      </c>
      <c r="D200" s="12">
        <f t="shared" si="13"/>
        <v>1.2397700000000001E-2</v>
      </c>
      <c r="E200" s="12">
        <f t="shared" si="14"/>
        <v>5.5346875000000003E-4</v>
      </c>
      <c r="F200" s="12">
        <f>E200/Calculation!K$18*1000</f>
        <v>6.8133647309540828E-4</v>
      </c>
      <c r="G200" s="12">
        <f t="shared" si="15"/>
        <v>116.48351848076926</v>
      </c>
    </row>
    <row r="201" spans="1:7">
      <c r="A201" s="12">
        <v>47</v>
      </c>
      <c r="B201" s="12">
        <v>214.89</v>
      </c>
      <c r="C201" s="12">
        <f t="shared" si="12"/>
        <v>0.21489</v>
      </c>
      <c r="D201" s="12">
        <f t="shared" si="13"/>
        <v>1.50423E-2</v>
      </c>
      <c r="E201" s="12">
        <f t="shared" si="14"/>
        <v>6.7153125000000004E-4</v>
      </c>
      <c r="F201" s="12">
        <f>E201/Calculation!K$18*1000</f>
        <v>8.2667491786727059E-4</v>
      </c>
      <c r="G201" s="12">
        <f t="shared" si="15"/>
        <v>116.50613865163371</v>
      </c>
    </row>
    <row r="202" spans="1:7">
      <c r="A202" s="12">
        <v>47.5</v>
      </c>
      <c r="B202" s="12">
        <v>172.92</v>
      </c>
      <c r="C202" s="12">
        <f t="shared" si="12"/>
        <v>0.17291999999999999</v>
      </c>
      <c r="D202" s="12">
        <f t="shared" si="13"/>
        <v>1.21044E-2</v>
      </c>
      <c r="E202" s="12">
        <f t="shared" si="14"/>
        <v>5.4037500000000006E-4</v>
      </c>
      <c r="F202" s="12">
        <f>E202/Calculation!K$18*1000</f>
        <v>6.6521767787057766E-4</v>
      </c>
      <c r="G202" s="12">
        <f t="shared" si="15"/>
        <v>116.52851704056977</v>
      </c>
    </row>
    <row r="203" spans="1:7">
      <c r="A203" s="12">
        <v>48</v>
      </c>
      <c r="B203" s="12">
        <v>237.55</v>
      </c>
      <c r="C203" s="12">
        <f t="shared" si="12"/>
        <v>0.23755000000000001</v>
      </c>
      <c r="D203" s="12">
        <f t="shared" si="13"/>
        <v>1.6628500000000001E-2</v>
      </c>
      <c r="E203" s="12">
        <f t="shared" si="14"/>
        <v>7.4234375000000006E-4</v>
      </c>
      <c r="F203" s="12">
        <f>E203/Calculation!K$19*1000</f>
        <v>9.7167128796832748E-4</v>
      </c>
      <c r="G203" s="12">
        <f t="shared" si="15"/>
        <v>116.55307037505735</v>
      </c>
    </row>
  </sheetData>
  <mergeCells count="6">
    <mergeCell ref="A105:A106"/>
    <mergeCell ref="B105:C105"/>
    <mergeCell ref="D105:F105"/>
    <mergeCell ref="A3:A4"/>
    <mergeCell ref="B3:C3"/>
    <mergeCell ref="D3:F3"/>
  </mergeCells>
  <pageMargins left="0.7" right="0.7" top="0.75" bottom="0.75" header="0.3" footer="0.3"/>
  <ignoredErrors>
    <ignoredError sqref="C5" evalError="1"/>
    <ignoredError sqref="F9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Fermentation</vt:lpstr>
      <vt:lpstr>Calculation</vt:lpstr>
      <vt:lpstr>Plate Count</vt:lpstr>
      <vt:lpstr>Flow cytometer</vt:lpstr>
      <vt:lpstr>Calibration R. intestinalis </vt:lpstr>
      <vt:lpstr>Determination cell counts RI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 Lefeber</dc:creator>
  <cp:keywords/>
  <dc:description/>
  <cp:lastModifiedBy>Kevin D'hoe</cp:lastModifiedBy>
  <cp:lastPrinted>2009-02-16T08:48:51Z</cp:lastPrinted>
  <dcterms:created xsi:type="dcterms:W3CDTF">2009-02-15T16:08:16Z</dcterms:created>
  <dcterms:modified xsi:type="dcterms:W3CDTF">2016-04-13T16:11:56Z</dcterms:modified>
  <cp:category/>
</cp:coreProperties>
</file>